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icolas Dezecache\Reboisement ND_Choux (39)\Dossier d'instruction\"/>
    </mc:Choice>
  </mc:AlternateContent>
  <xr:revisionPtr revIDLastSave="0" documentId="13_ncr:1_{4D6A2715-09A2-42FA-8847-CB2C3B1E61CC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W162" i="2"/>
  <c r="EB162" i="2"/>
  <c r="ED162" i="2" s="1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FR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Y192" i="2"/>
  <c r="FQ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Y201" i="2"/>
  <c r="HG202" i="2"/>
  <c r="FR202" i="2"/>
  <c r="HH202" i="2"/>
  <c r="EX202" i="2"/>
  <c r="EY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53" i="2" a="1"/>
  <c r="EI153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DN155" i="2" l="1" a="1"/>
  <c r="DN155" i="2" s="1"/>
  <c r="FD144" i="2" a="1"/>
  <c r="FD144" i="2" s="1"/>
  <c r="FD21" i="2" a="1"/>
  <c r="FD21" i="2" s="1"/>
  <c r="EI166" i="2" a="1"/>
  <c r="EI166" i="2" s="1"/>
  <c r="EI106" i="2" a="1"/>
  <c r="EI10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<sst xmlns="http://schemas.openxmlformats.org/spreadsheetml/2006/main" count="1187" uniqueCount="327">
  <si>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</si>
  <si>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</si>
  <si>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</si>
  <si>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</si>
  <si>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</si>
  <si>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</si>
  <si>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</si>
  <si>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</si>
  <si>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</si>
  <si>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</si>
  <si>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</si>
  <si>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</si>
  <si>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</si>
  <si>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</si>
  <si>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</si>
  <si>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</si>
  <si>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</si>
  <si>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</si>
  <si>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</si>
  <si>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</si>
  <si>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</si>
  <si>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</si>
  <si>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</si>
  <si>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</si>
  <si>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</si>
  <si>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</si>
  <si>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</si>
  <si>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</si>
  <si>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</si>
  <si>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</si>
  <si>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</si>
  <si>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</si>
  <si>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</si>
  <si>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</si>
  <si>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</si>
  <si>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</si>
  <si>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</si>
  <si>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</si>
  <si>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</si>
  <si>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</si>
  <si>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</si>
  <si>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</si>
  <si>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</si>
  <si>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</si>
  <si>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</si>
  <si>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</si>
  <si>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</si>
  <si>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</si>
  <si>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</si>
  <si>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</si>
  <si>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</si>
  <si>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</si>
  <si>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</si>
  <si>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</si>
  <si>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</si>
  <si>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</si>
  <si>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</si>
  <si>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</si>
  <si>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</si>
  <si>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</si>
  <si>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</si>
  <si>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</si>
  <si>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</si>
  <si>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</si>
  <si>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</si>
  <si>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</si>
  <si>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</si>
  <si>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</si>
  <si>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</si>
  <si>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</si>
  <si>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</si>
  <si>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</si>
  <si>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</si>
  <si>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</si>
  <si>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</si>
  <si>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</si>
  <si>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</si>
  <si>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</si>
  <si>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</si>
  <si>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</si>
  <si>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</si>
  <si>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</si>
  <si>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</si>
  <si>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</si>
  <si>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</si>
  <si>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</si>
  <si>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</si>
  <si>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</si>
  <si>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</si>
  <si>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</si>
  <si>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</si>
  <si>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</si>
  <si>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</si>
  <si>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</si>
  <si>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</si>
  <si>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</si>
  <si>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</si>
  <si>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</si>
  <si>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</si>
  <si>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</si>
  <si>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</si>
  <si>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</si>
  <si>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</si>
  <si>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</si>
  <si>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</si>
  <si>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</si>
  <si>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</si>
  <si>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</si>
  <si>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</si>
  <si>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</si>
  <si>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</si>
  <si>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</si>
  <si>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</si>
  <si>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</si>
  <si>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</si>
  <si>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</si>
  <si>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</si>
  <si>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</si>
  <si>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</si>
  <si>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</si>
  <si>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</si>
  <si>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</si>
  <si>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</si>
  <si>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</si>
  <si>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</si>
  <si>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</si>
  <si>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</si>
  <si>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</si>
  <si>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</si>
  <si>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</si>
  <si>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</si>
  <si>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</si>
  <si>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</si>
  <si>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</si>
  <si>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</si>
  <si>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</si>
  <si>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</si>
  <si>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</si>
  <si>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</si>
  <si>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</si>
  <si>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</si>
  <si>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</si>
  <si>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</si>
  <si>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</si>
  <si>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</si>
  <si>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</si>
  <si>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</si>
  <si>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</si>
  <si>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</si>
  <si>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</si>
  <si>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</si>
  <si>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</si>
  <si>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</si>
  <si>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</si>
  <si>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</si>
  <si>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</si>
  <si>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</si>
  <si>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</si>
  <si>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</si>
  <si>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</si>
  <si>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</si>
  <si>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</si>
  <si>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</si>
  <si>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</si>
  <si>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</si>
  <si>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</si>
  <si>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</si>
  <si>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</si>
  <si>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</si>
  <si>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</si>
  <si>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</si>
  <si>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</si>
  <si>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</si>
  <si>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</si>
  <si>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</si>
  <si>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</si>
  <si>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</si>
  <si>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</si>
  <si>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</si>
  <si>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</si>
  <si>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</si>
  <si>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</si>
  <si>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</si>
  <si>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</si>
  <si>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</si>
  <si>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</si>
  <si>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</si>
  <si>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</si>
  <si>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</si>
  <si>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</si>
  <si>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</si>
  <si>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</si>
  <si>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</si>
  <si>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</si>
  <si>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</si>
  <si>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</si>
  <si>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</si>
  <si>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</si>
  <si>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</si>
  <si>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</si>
  <si>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</si>
  <si>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</si>
  <si>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</si>
  <si>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</si>
  <si>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</si>
  <si>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</si>
  <si>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</si>
  <si>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</si>
  <si>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</si>
  <si>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</si>
  <si>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</si>
  <si>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</si>
  <si>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</si>
  <si>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</si>
  <si>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</si>
  <si>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</si>
  <si>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</si>
  <si>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</si>
  <si>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</si>
  <si>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</si>
  <si>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</si>
  <si>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</si>
  <si>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</si>
  <si>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</si>
  <si>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</si>
  <si>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</si>
  <si>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</si>
  <si>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</si>
  <si>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</si>
  <si>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</si>
  <si>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</si>
  <si>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</si>
  <si>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</si>
  <si>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</si>
  <si>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</si>
  <si>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</si>
  <si>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</si>
  <si>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</si>
  <si>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</si>
  <si>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</si>
  <si>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</si>
  <si>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</si>
  <si>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</si>
  <si>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</si>
  <si>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</si>
  <si>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</si>
  <si>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</si>
  <si>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</si>
  <si>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</si>
  <si>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</si>
  <si>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</si>
  <si>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</si>
  <si>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</si>
  <si>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</si>
  <si>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</si>
  <si>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</si>
  <si>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</si>
  <si>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</si>
  <si>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</si>
  <si>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</si>
  <si>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</si>
  <si>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</si>
  <si>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</si>
  <si>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</si>
  <si>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</si>
  <si>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</si>
  <si>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</si>
  <si>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</si>
  <si>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</si>
  <si>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</si>
  <si>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</si>
  <si>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</si>
  <si>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</si>
  <si>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</si>
  <si>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</si>
  <si>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</si>
  <si>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</si>
  <si>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</si>
  <si>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</si>
  <si>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</si>
  <si>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</si>
  <si>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</si>
  <si>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</si>
  <si>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</si>
  <si>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</si>
  <si>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</si>
  <si>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</si>
  <si>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</si>
  <si>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</si>
  <si>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</si>
  <si>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</si>
  <si>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</si>
  <si>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</si>
  <si>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</si>
  <si>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</si>
  <si>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</si>
  <si>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</si>
  <si>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</si>
  <si>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</si>
  <si>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</si>
  <si>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</si>
  <si>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</si>
  <si>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</si>
  <si>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</si>
  <si>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</si>
  <si>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</si>
  <si>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</si>
  <si>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</si>
  <si>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</si>
  <si>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</si>
  <si>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</si>
  <si>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</si>
  <si>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</si>
  <si>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</si>
  <si>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</si>
  <si>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</si>
  <si>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</si>
  <si>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</si>
  <si>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</si>
  <si>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</si>
  <si>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</si>
  <si>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</si>
  <si>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</si>
  <si>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</si>
  <si>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4/5</t>
  </si>
  <si>
    <t>classe 3/5</t>
  </si>
  <si>
    <t>classe 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</si>
</sst>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16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1.5662654077622691</c:v>
                </c:pt>
                <c:pt idx="2">
                  <c:v>2.0022686974934745</c:v>
                </c:pt>
                <c:pt idx="3">
                  <c:v>2.5601358738617885</c:v>
                </c:pt>
                <c:pt idx="4">
                  <c:v>3.2740584706490359</c:v>
                </c:pt>
                <c:pt idx="5">
                  <c:v>4.1878554875977096</c:v>
                </c:pt>
                <c:pt idx="6">
                  <c:v>5.3576932319294466</c:v>
                </c:pt>
                <c:pt idx="7">
                  <c:v>6.8555758875977437</c:v>
                </c:pt>
                <c:pt idx="8">
                  <c:v>8.7738258268839733</c:v>
                </c:pt>
                <c:pt idx="9">
                  <c:v>11.230835074250992</c:v>
                </c:pt>
                <c:pt idx="10">
                  <c:v>14.378449544648545</c:v>
                </c:pt>
                <c:pt idx="11">
                  <c:v>18.411450805970173</c:v>
                </c:pt>
                <c:pt idx="12">
                  <c:v>23.579732717920521</c:v>
                </c:pt>
                <c:pt idx="13">
                  <c:v>30.203940818281627</c:v>
                </c:pt>
                <c:pt idx="14">
                  <c:v>38.695561625288114</c:v>
                </c:pt>
                <c:pt idx="15">
                  <c:v>49.582731081946861</c:v>
                </c:pt>
                <c:pt idx="16">
                  <c:v>67.934991888930114</c:v>
                </c:pt>
                <c:pt idx="17">
                  <c:v>86.158510470515978</c:v>
                </c:pt>
                <c:pt idx="18">
                  <c:v>104.28461245280988</c:v>
                </c:pt>
                <c:pt idx="19">
                  <c:v>122.33269980817094</c:v>
                </c:pt>
                <c:pt idx="20">
                  <c:v>140.31593562076515</c:v>
                </c:pt>
                <c:pt idx="21">
                  <c:v>158.44725261766806</c:v>
                </c:pt>
                <c:pt idx="22">
                  <c:v>181.60054396431894</c:v>
                </c:pt>
                <c:pt idx="23">
                  <c:v>204.68470429512661</c:v>
                </c:pt>
                <c:pt idx="24">
                  <c:v>227.70863017246904</c:v>
                </c:pt>
                <c:pt idx="25">
                  <c:v>250.67926877807736</c:v>
                </c:pt>
                <c:pt idx="26">
                  <c:v>212.97177773051013</c:v>
                </c:pt>
                <c:pt idx="27">
                  <c:v>238.79723773455598</c:v>
                </c:pt>
                <c:pt idx="28">
                  <c:v>264.55905752945108</c:v>
                </c:pt>
                <c:pt idx="29">
                  <c:v>290.26430348393382</c:v>
                </c:pt>
                <c:pt idx="30">
                  <c:v>315.91868734548376</c:v>
                </c:pt>
                <c:pt idx="31">
                  <c:v>279.0248271673409</c:v>
                </c:pt>
                <c:pt idx="32">
                  <c:v>305.30201751370748</c:v>
                </c:pt>
                <c:pt idx="33">
                  <c:v>331.52892903575224</c:v>
                </c:pt>
                <c:pt idx="34">
                  <c:v>357.71009532310586</c:v>
                </c:pt>
                <c:pt idx="35">
                  <c:v>383.84933229384143</c:v>
                </c:pt>
                <c:pt idx="36">
                  <c:v>346.32365295129557</c:v>
                </c:pt>
                <c:pt idx="37">
                  <c:v>371.68262431492644</c:v>
                </c:pt>
                <c:pt idx="38">
                  <c:v>397.00388252467866</c:v>
                </c:pt>
                <c:pt idx="39">
                  <c:v>422.29016891510395</c:v>
                </c:pt>
                <c:pt idx="40">
                  <c:v>447.54386995067085</c:v>
                </c:pt>
                <c:pt idx="41">
                  <c:v>408.95436431597773</c:v>
                </c:pt>
                <c:pt idx="42">
                  <c:v>433.03181736772245</c:v>
                </c:pt>
                <c:pt idx="43">
                  <c:v>457.08053131224602</c:v>
                </c:pt>
                <c:pt idx="44">
                  <c:v>481.10222941810252</c:v>
                </c:pt>
                <c:pt idx="45">
                  <c:v>505.09844897378457</c:v>
                </c:pt>
                <c:pt idx="46">
                  <c:v>465.22306071546291</c:v>
                </c:pt>
                <c:pt idx="47">
                  <c:v>487.84748036508421</c:v>
                </c:pt>
                <c:pt idx="48">
                  <c:v>510.44964264087201</c:v>
                </c:pt>
                <c:pt idx="49">
                  <c:v>533.03067078806453</c:v>
                </c:pt>
                <c:pt idx="50">
                  <c:v>555.59158520777839</c:v>
                </c:pt>
                <c:pt idx="51">
                  <c:v>514.61086214265538</c:v>
                </c:pt>
                <c:pt idx="52">
                  <c:v>536.00034040625997</c:v>
                </c:pt>
                <c:pt idx="53">
                  <c:v>557.37188141896695</c:v>
                </c:pt>
                <c:pt idx="54">
                  <c:v>578.72626910034842</c:v>
                </c:pt>
                <c:pt idx="55">
                  <c:v>600.06422485487667</c:v>
                </c:pt>
                <c:pt idx="56">
                  <c:v>560.53655870248667</c:v>
                </c:pt>
                <c:pt idx="57">
                  <c:v>580.30741343620048</c:v>
                </c:pt>
                <c:pt idx="58">
                  <c:v>600.06422485487667</c:v>
                </c:pt>
                <c:pt idx="59">
                  <c:v>619.80752000507778</c:v>
                </c:pt>
                <c:pt idx="60">
                  <c:v>639.53778964906974</c:v>
                </c:pt>
                <c:pt idx="61">
                  <c:v>605.59368819098427</c:v>
                </c:pt>
                <c:pt idx="62">
                  <c:v>623.95194130359994</c:v>
                </c:pt>
                <c:pt idx="63">
                  <c:v>642.29901441291406</c:v>
                </c:pt>
                <c:pt idx="64">
                  <c:v>660.63527156703685</c:v>
                </c:pt>
                <c:pt idx="65">
                  <c:v>678.96105497560313</c:v>
                </c:pt>
                <c:pt idx="66">
                  <c:v>648.60946697820702</c:v>
                </c:pt>
                <c:pt idx="67">
                  <c:v>665.5625730214748</c:v>
                </c:pt>
                <c:pt idx="68">
                  <c:v>682.50679856649663</c:v>
                </c:pt>
                <c:pt idx="69">
                  <c:v>699.44239495532054</c:v>
                </c:pt>
                <c:pt idx="70">
                  <c:v>716.36960037654364</c:v>
                </c:pt>
                <c:pt idx="71">
                  <c:v>687.62776149155127</c:v>
                </c:pt>
                <c:pt idx="72">
                  <c:v>703.18284041313893</c:v>
                </c:pt>
                <c:pt idx="73">
                  <c:v>718.73088187113206</c:v>
                </c:pt>
                <c:pt idx="74">
                  <c:v>734.27205943137631</c:v>
                </c:pt>
                <c:pt idx="75">
                  <c:v>749.80653871950153</c:v>
                </c:pt>
                <c:pt idx="76">
                  <c:v>721.87901096599273</c:v>
                </c:pt>
                <c:pt idx="77">
                  <c:v>736.2388161381981</c:v>
                </c:pt>
                <c:pt idx="78">
                  <c:v>750.59291937728619</c:v>
                </c:pt>
                <c:pt idx="79">
                  <c:v>764.94144500648144</c:v>
                </c:pt>
                <c:pt idx="80">
                  <c:v>779.28451230837447</c:v>
                </c:pt>
                <c:pt idx="81">
                  <c:v>738.9920958575475</c:v>
                </c:pt>
                <c:pt idx="82">
                  <c:v>738.9920958575475</c:v>
                </c:pt>
                <c:pt idx="83">
                  <c:v>738.9920958575475</c:v>
                </c:pt>
                <c:pt idx="84">
                  <c:v>738.9920958575475</c:v>
                </c:pt>
                <c:pt idx="85">
                  <c:v>738.9920958575475</c:v>
                </c:pt>
                <c:pt idx="86">
                  <c:v>738.9920958575475</c:v>
                </c:pt>
                <c:pt idx="87">
                  <c:v>738.9920958575475</c:v>
                </c:pt>
                <c:pt idx="88">
                  <c:v>738.9920958575475</c:v>
                </c:pt>
                <c:pt idx="89">
                  <c:v>738.9920958575475</c:v>
                </c:pt>
                <c:pt idx="90">
                  <c:v>738.9920958575475</c:v>
                </c:pt>
                <c:pt idx="91">
                  <c:v>738.9920958575475</c:v>
                </c:pt>
                <c:pt idx="92">
                  <c:v>738.9920958575475</c:v>
                </c:pt>
                <c:pt idx="93">
                  <c:v>738.9920958575475</c:v>
                </c:pt>
                <c:pt idx="94">
                  <c:v>738.9920958575475</c:v>
                </c:pt>
                <c:pt idx="95">
                  <c:v>738.9920958575475</c:v>
                </c:pt>
                <c:pt idx="96">
                  <c:v>738.9920958575475</c:v>
                </c:pt>
                <c:pt idx="97">
                  <c:v>738.9920958575475</c:v>
                </c:pt>
                <c:pt idx="98">
                  <c:v>738.9920958575475</c:v>
                </c:pt>
                <c:pt idx="99">
                  <c:v>738.9920958575475</c:v>
                </c:pt>
                <c:pt idx="100">
                  <c:v>738.9920958575475</c:v>
                </c:pt>
                <c:pt idx="101">
                  <c:v>738.9920958575475</c:v>
                </c:pt>
                <c:pt idx="102">
                  <c:v>738.9920958575475</c:v>
                </c:pt>
                <c:pt idx="103">
                  <c:v>738.9920958575475</c:v>
                </c:pt>
                <c:pt idx="104">
                  <c:v>738.9920958575475</c:v>
                </c:pt>
                <c:pt idx="105">
                  <c:v>738.9920958575475</c:v>
                </c:pt>
                <c:pt idx="106">
                  <c:v>738.9920958575475</c:v>
                </c:pt>
                <c:pt idx="107">
                  <c:v>738.9920958575475</c:v>
                </c:pt>
                <c:pt idx="108">
                  <c:v>738.9920958575475</c:v>
                </c:pt>
                <c:pt idx="109">
                  <c:v>738.9920958575475</c:v>
                </c:pt>
                <c:pt idx="110">
                  <c:v>738.9920958575475</c:v>
                </c:pt>
                <c:pt idx="111">
                  <c:v>738.9920958575475</c:v>
                </c:pt>
                <c:pt idx="112">
                  <c:v>738.9920958575475</c:v>
                </c:pt>
                <c:pt idx="113">
                  <c:v>738.9920958575475</c:v>
                </c:pt>
                <c:pt idx="114">
                  <c:v>738.9920958575475</c:v>
                </c:pt>
                <c:pt idx="115">
                  <c:v>738.9920958575475</c:v>
                </c:pt>
                <c:pt idx="116">
                  <c:v>738.9920958575475</c:v>
                </c:pt>
                <c:pt idx="117">
                  <c:v>738.9920958575475</c:v>
                </c:pt>
                <c:pt idx="118">
                  <c:v>738.9920958575475</c:v>
                </c:pt>
                <c:pt idx="119">
                  <c:v>738.9920958575475</c:v>
                </c:pt>
                <c:pt idx="120">
                  <c:v>738.9920958575475</c:v>
                </c:pt>
                <c:pt idx="121">
                  <c:v>738.9920958575475</c:v>
                </c:pt>
                <c:pt idx="122">
                  <c:v>738.9920958575475</c:v>
                </c:pt>
                <c:pt idx="123">
                  <c:v>738.9920958575475</c:v>
                </c:pt>
                <c:pt idx="124">
                  <c:v>738.9920958575475</c:v>
                </c:pt>
                <c:pt idx="125">
                  <c:v>738.9920958575475</c:v>
                </c:pt>
                <c:pt idx="126">
                  <c:v>738.9920958575475</c:v>
                </c:pt>
                <c:pt idx="127">
                  <c:v>738.9920958575475</c:v>
                </c:pt>
                <c:pt idx="128">
                  <c:v>738.9920958575475</c:v>
                </c:pt>
                <c:pt idx="129">
                  <c:v>738.9920958575475</c:v>
                </c:pt>
                <c:pt idx="130">
                  <c:v>738.9920958575475</c:v>
                </c:pt>
                <c:pt idx="131">
                  <c:v>738.9920958575475</c:v>
                </c:pt>
                <c:pt idx="132">
                  <c:v>738.9920958575475</c:v>
                </c:pt>
                <c:pt idx="133">
                  <c:v>738.9920958575475</c:v>
                </c:pt>
                <c:pt idx="134">
                  <c:v>738.9920958575475</c:v>
                </c:pt>
                <c:pt idx="135">
                  <c:v>738.9920958575475</c:v>
                </c:pt>
                <c:pt idx="136">
                  <c:v>738.9920958575475</c:v>
                </c:pt>
                <c:pt idx="137">
                  <c:v>738.9920958575475</c:v>
                </c:pt>
                <c:pt idx="138">
                  <c:v>738.9920958575475</c:v>
                </c:pt>
                <c:pt idx="139">
                  <c:v>738.9920958575475</c:v>
                </c:pt>
                <c:pt idx="140">
                  <c:v>738.9920958575475</c:v>
                </c:pt>
                <c:pt idx="141">
                  <c:v>738.9920958575475</c:v>
                </c:pt>
                <c:pt idx="142">
                  <c:v>738.9920958575475</c:v>
                </c:pt>
                <c:pt idx="143">
                  <c:v>738.9920958575475</c:v>
                </c:pt>
                <c:pt idx="144">
                  <c:v>738.9920958575475</c:v>
                </c:pt>
                <c:pt idx="145">
                  <c:v>738.9920958575475</c:v>
                </c:pt>
                <c:pt idx="146">
                  <c:v>738.9920958575475</c:v>
                </c:pt>
                <c:pt idx="147">
                  <c:v>738.9920958575475</c:v>
                </c:pt>
                <c:pt idx="148">
                  <c:v>738.9920958575475</c:v>
                </c:pt>
                <c:pt idx="149">
                  <c:v>738.9920958575475</c:v>
                </c:pt>
                <c:pt idx="150">
                  <c:v>738.9920958575475</c:v>
                </c:pt>
                <c:pt idx="151">
                  <c:v>738.9920958575475</c:v>
                </c:pt>
                <c:pt idx="152">
                  <c:v>738.9920958575475</c:v>
                </c:pt>
                <c:pt idx="153">
                  <c:v>738.9920958575475</c:v>
                </c:pt>
                <c:pt idx="154">
                  <c:v>738.9920958575475</c:v>
                </c:pt>
                <c:pt idx="155">
                  <c:v>738.9920958575475</c:v>
                </c:pt>
                <c:pt idx="156">
                  <c:v>738.9920958575475</c:v>
                </c:pt>
                <c:pt idx="157">
                  <c:v>738.9920958575475</c:v>
                </c:pt>
                <c:pt idx="158">
                  <c:v>738.9920958575475</c:v>
                </c:pt>
                <c:pt idx="159">
                  <c:v>738.9920958575475</c:v>
                </c:pt>
                <c:pt idx="160">
                  <c:v>738.9920958575475</c:v>
                </c:pt>
                <c:pt idx="161">
                  <c:v>738.9920958575475</c:v>
                </c:pt>
                <c:pt idx="162">
                  <c:v>738.9920958575475</c:v>
                </c:pt>
                <c:pt idx="163">
                  <c:v>738.9920958575475</c:v>
                </c:pt>
                <c:pt idx="164">
                  <c:v>738.9920958575475</c:v>
                </c:pt>
                <c:pt idx="165">
                  <c:v>738.9920958575475</c:v>
                </c:pt>
                <c:pt idx="166">
                  <c:v>738.9920958575475</c:v>
                </c:pt>
                <c:pt idx="167">
                  <c:v>738.9920958575475</c:v>
                </c:pt>
                <c:pt idx="168">
                  <c:v>738.9920958575475</c:v>
                </c:pt>
                <c:pt idx="169">
                  <c:v>738.9920958575475</c:v>
                </c:pt>
                <c:pt idx="170">
                  <c:v>738.9920958575475</c:v>
                </c:pt>
                <c:pt idx="171">
                  <c:v>738.9920958575475</c:v>
                </c:pt>
                <c:pt idx="172">
                  <c:v>738.9920958575475</c:v>
                </c:pt>
                <c:pt idx="173">
                  <c:v>738.9920958575475</c:v>
                </c:pt>
                <c:pt idx="174">
                  <c:v>738.9920958575475</c:v>
                </c:pt>
                <c:pt idx="175">
                  <c:v>738.9920958575475</c:v>
                </c:pt>
                <c:pt idx="176">
                  <c:v>738.9920958575475</c:v>
                </c:pt>
                <c:pt idx="177">
                  <c:v>738.9920958575475</c:v>
                </c:pt>
                <c:pt idx="178">
                  <c:v>738.9920958575475</c:v>
                </c:pt>
                <c:pt idx="179">
                  <c:v>738.9920958575475</c:v>
                </c:pt>
                <c:pt idx="180">
                  <c:v>738.9920958575475</c:v>
                </c:pt>
                <c:pt idx="181">
                  <c:v>738.9920958575475</c:v>
                </c:pt>
                <c:pt idx="182">
                  <c:v>738.9920958575475</c:v>
                </c:pt>
                <c:pt idx="183">
                  <c:v>738.9920958575475</c:v>
                </c:pt>
                <c:pt idx="184">
                  <c:v>738.9920958575475</c:v>
                </c:pt>
                <c:pt idx="185">
                  <c:v>738.9920958575475</c:v>
                </c:pt>
                <c:pt idx="186">
                  <c:v>738.9920958575475</c:v>
                </c:pt>
                <c:pt idx="187">
                  <c:v>738.9920958575475</c:v>
                </c:pt>
                <c:pt idx="188">
                  <c:v>738.9920958575475</c:v>
                </c:pt>
                <c:pt idx="189">
                  <c:v>738.9920958575475</c:v>
                </c:pt>
                <c:pt idx="190">
                  <c:v>738.9920958575475</c:v>
                </c:pt>
                <c:pt idx="191">
                  <c:v>738.9920958575475</c:v>
                </c:pt>
                <c:pt idx="192">
                  <c:v>738.9920958575475</c:v>
                </c:pt>
                <c:pt idx="193">
                  <c:v>738.9920958575475</c:v>
                </c:pt>
                <c:pt idx="194">
                  <c:v>738.9920958575475</c:v>
                </c:pt>
                <c:pt idx="195">
                  <c:v>738.9920958575475</c:v>
                </c:pt>
                <c:pt idx="196">
                  <c:v>738.9920958575475</c:v>
                </c:pt>
                <c:pt idx="197">
                  <c:v>738.9920958575475</c:v>
                </c:pt>
                <c:pt idx="198">
                  <c:v>738.9920958575475</c:v>
                </c:pt>
                <c:pt idx="199">
                  <c:v>738.9920958575475</c:v>
                </c:pt>
                <c:pt idx="200">
                  <c:v>738.9920958575475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885.11601908790863</c:v>
                </c:pt>
                <c:pt idx="67">
                  <c:v>885.11601908790863</c:v>
                </c:pt>
                <c:pt idx="68">
                  <c:v>885.11601908790863</c:v>
                </c:pt>
                <c:pt idx="69">
                  <c:v>885.11601908790863</c:v>
                </c:pt>
                <c:pt idx="70">
                  <c:v>885.11601908790863</c:v>
                </c:pt>
                <c:pt idx="71">
                  <c:v>885.11601908790863</c:v>
                </c:pt>
                <c:pt idx="72">
                  <c:v>885.11601908790863</c:v>
                </c:pt>
                <c:pt idx="73">
                  <c:v>885.11601908790863</c:v>
                </c:pt>
                <c:pt idx="74">
                  <c:v>885.11601908790863</c:v>
                </c:pt>
                <c:pt idx="75">
                  <c:v>885.11601908790863</c:v>
                </c:pt>
                <c:pt idx="76">
                  <c:v>885.11601908790863</c:v>
                </c:pt>
                <c:pt idx="77">
                  <c:v>885.11601908790863</c:v>
                </c:pt>
                <c:pt idx="78">
                  <c:v>885.11601908790863</c:v>
                </c:pt>
                <c:pt idx="79">
                  <c:v>885.11601908790863</c:v>
                </c:pt>
                <c:pt idx="80">
                  <c:v>885.11601908790863</c:v>
                </c:pt>
                <c:pt idx="81">
                  <c:v>885.11601908790863</c:v>
                </c:pt>
                <c:pt idx="82">
                  <c:v>885.11601908790863</c:v>
                </c:pt>
                <c:pt idx="83">
                  <c:v>885.11601908790863</c:v>
                </c:pt>
                <c:pt idx="84">
                  <c:v>885.11601908790863</c:v>
                </c:pt>
                <c:pt idx="85">
                  <c:v>885.11601908790863</c:v>
                </c:pt>
                <c:pt idx="86">
                  <c:v>885.11601908790863</c:v>
                </c:pt>
                <c:pt idx="87">
                  <c:v>885.11601908790863</c:v>
                </c:pt>
                <c:pt idx="88">
                  <c:v>885.11601908790863</c:v>
                </c:pt>
                <c:pt idx="89">
                  <c:v>885.11601908790863</c:v>
                </c:pt>
                <c:pt idx="90">
                  <c:v>885.11601908790863</c:v>
                </c:pt>
                <c:pt idx="91">
                  <c:v>885.11601908790863</c:v>
                </c:pt>
                <c:pt idx="92">
                  <c:v>885.11601908790863</c:v>
                </c:pt>
                <c:pt idx="93">
                  <c:v>885.11601908790863</c:v>
                </c:pt>
                <c:pt idx="94">
                  <c:v>885.11601908790863</c:v>
                </c:pt>
                <c:pt idx="95">
                  <c:v>885.11601908790863</c:v>
                </c:pt>
                <c:pt idx="96">
                  <c:v>885.11601908790863</c:v>
                </c:pt>
                <c:pt idx="97">
                  <c:v>885.11601908790863</c:v>
                </c:pt>
                <c:pt idx="98">
                  <c:v>885.11601908790863</c:v>
                </c:pt>
                <c:pt idx="99">
                  <c:v>885.11601908790863</c:v>
                </c:pt>
                <c:pt idx="100">
                  <c:v>885.11601908790863</c:v>
                </c:pt>
                <c:pt idx="101">
                  <c:v>885.11601908790863</c:v>
                </c:pt>
                <c:pt idx="102">
                  <c:v>885.11601908790863</c:v>
                </c:pt>
                <c:pt idx="103">
                  <c:v>885.11601908790863</c:v>
                </c:pt>
                <c:pt idx="104">
                  <c:v>885.11601908790863</c:v>
                </c:pt>
                <c:pt idx="105">
                  <c:v>885.11601908790863</c:v>
                </c:pt>
                <c:pt idx="106">
                  <c:v>885.11601908790863</c:v>
                </c:pt>
                <c:pt idx="107">
                  <c:v>885.11601908790863</c:v>
                </c:pt>
                <c:pt idx="108">
                  <c:v>885.11601908790863</c:v>
                </c:pt>
                <c:pt idx="109">
                  <c:v>885.11601908790863</c:v>
                </c:pt>
                <c:pt idx="110">
                  <c:v>885.11601908790863</c:v>
                </c:pt>
                <c:pt idx="111">
                  <c:v>885.11601908790863</c:v>
                </c:pt>
                <c:pt idx="112">
                  <c:v>885.11601908790863</c:v>
                </c:pt>
                <c:pt idx="113">
                  <c:v>885.11601908790863</c:v>
                </c:pt>
                <c:pt idx="114">
                  <c:v>885.11601908790863</c:v>
                </c:pt>
                <c:pt idx="115">
                  <c:v>885.11601908790863</c:v>
                </c:pt>
                <c:pt idx="116">
                  <c:v>885.11601908790863</c:v>
                </c:pt>
                <c:pt idx="117">
                  <c:v>885.11601908790863</c:v>
                </c:pt>
                <c:pt idx="118">
                  <c:v>885.11601908790863</c:v>
                </c:pt>
                <c:pt idx="119">
                  <c:v>885.11601908790863</c:v>
                </c:pt>
                <c:pt idx="120">
                  <c:v>885.11601908790863</c:v>
                </c:pt>
                <c:pt idx="121">
                  <c:v>885.11601908790863</c:v>
                </c:pt>
                <c:pt idx="122">
                  <c:v>885.11601908790863</c:v>
                </c:pt>
                <c:pt idx="123">
                  <c:v>885.11601908790863</c:v>
                </c:pt>
                <c:pt idx="124">
                  <c:v>885.11601908790863</c:v>
                </c:pt>
                <c:pt idx="125">
                  <c:v>885.11601908790863</c:v>
                </c:pt>
                <c:pt idx="126">
                  <c:v>885.11601908790863</c:v>
                </c:pt>
                <c:pt idx="127">
                  <c:v>885.11601908790863</c:v>
                </c:pt>
                <c:pt idx="128">
                  <c:v>885.11601908790863</c:v>
                </c:pt>
                <c:pt idx="129">
                  <c:v>885.11601908790863</c:v>
                </c:pt>
                <c:pt idx="130">
                  <c:v>885.11601908790863</c:v>
                </c:pt>
                <c:pt idx="131">
                  <c:v>885.11601908790863</c:v>
                </c:pt>
                <c:pt idx="132">
                  <c:v>885.11601908790863</c:v>
                </c:pt>
                <c:pt idx="133">
                  <c:v>885.11601908790863</c:v>
                </c:pt>
                <c:pt idx="134">
                  <c:v>885.11601908790863</c:v>
                </c:pt>
                <c:pt idx="135">
                  <c:v>885.11601908790863</c:v>
                </c:pt>
                <c:pt idx="136">
                  <c:v>885.11601908790863</c:v>
                </c:pt>
                <c:pt idx="137">
                  <c:v>885.11601908790863</c:v>
                </c:pt>
                <c:pt idx="138">
                  <c:v>885.11601908790863</c:v>
                </c:pt>
                <c:pt idx="139">
                  <c:v>885.11601908790863</c:v>
                </c:pt>
                <c:pt idx="140">
                  <c:v>885.11601908790863</c:v>
                </c:pt>
                <c:pt idx="141">
                  <c:v>885.11601908790863</c:v>
                </c:pt>
                <c:pt idx="142">
                  <c:v>885.11601908790863</c:v>
                </c:pt>
                <c:pt idx="143">
                  <c:v>885.11601908790863</c:v>
                </c:pt>
                <c:pt idx="144">
                  <c:v>885.11601908790863</c:v>
                </c:pt>
                <c:pt idx="145">
                  <c:v>885.11601908790863</c:v>
                </c:pt>
                <c:pt idx="146">
                  <c:v>885.11601908790863</c:v>
                </c:pt>
                <c:pt idx="147">
                  <c:v>885.11601908790863</c:v>
                </c:pt>
                <c:pt idx="148">
                  <c:v>885.11601908790863</c:v>
                </c:pt>
                <c:pt idx="149">
                  <c:v>885.11601908790863</c:v>
                </c:pt>
                <c:pt idx="150">
                  <c:v>885.11601908790863</c:v>
                </c:pt>
                <c:pt idx="151">
                  <c:v>885.11601908790863</c:v>
                </c:pt>
                <c:pt idx="152">
                  <c:v>885.11601908790863</c:v>
                </c:pt>
                <c:pt idx="153">
                  <c:v>885.11601908790863</c:v>
                </c:pt>
                <c:pt idx="154">
                  <c:v>885.11601908790863</c:v>
                </c:pt>
                <c:pt idx="155">
                  <c:v>885.11601908790863</c:v>
                </c:pt>
                <c:pt idx="156">
                  <c:v>885.11601908790863</c:v>
                </c:pt>
                <c:pt idx="157">
                  <c:v>885.11601908790863</c:v>
                </c:pt>
                <c:pt idx="158">
                  <c:v>885.11601908790863</c:v>
                </c:pt>
                <c:pt idx="159">
                  <c:v>885.11601908790863</c:v>
                </c:pt>
                <c:pt idx="160">
                  <c:v>885.11601908790863</c:v>
                </c:pt>
                <c:pt idx="161">
                  <c:v>885.11601908790863</c:v>
                </c:pt>
                <c:pt idx="162">
                  <c:v>885.11601908790863</c:v>
                </c:pt>
                <c:pt idx="163">
                  <c:v>885.11601908790863</c:v>
                </c:pt>
                <c:pt idx="164">
                  <c:v>885.11601908790863</c:v>
                </c:pt>
                <c:pt idx="165">
                  <c:v>885.11601908790863</c:v>
                </c:pt>
                <c:pt idx="166">
                  <c:v>885.11601908790863</c:v>
                </c:pt>
                <c:pt idx="167">
                  <c:v>885.11601908790863</c:v>
                </c:pt>
                <c:pt idx="168">
                  <c:v>885.11601908790863</c:v>
                </c:pt>
                <c:pt idx="169">
                  <c:v>885.11601908790863</c:v>
                </c:pt>
                <c:pt idx="170">
                  <c:v>885.11601908790863</c:v>
                </c:pt>
                <c:pt idx="171">
                  <c:v>885.11601908790863</c:v>
                </c:pt>
                <c:pt idx="172">
                  <c:v>885.11601908790863</c:v>
                </c:pt>
                <c:pt idx="173">
                  <c:v>885.11601908790863</c:v>
                </c:pt>
                <c:pt idx="174">
                  <c:v>885.11601908790863</c:v>
                </c:pt>
                <c:pt idx="175">
                  <c:v>885.11601908790863</c:v>
                </c:pt>
                <c:pt idx="176">
                  <c:v>885.11601908790863</c:v>
                </c:pt>
                <c:pt idx="177">
                  <c:v>885.11601908790863</c:v>
                </c:pt>
                <c:pt idx="178">
                  <c:v>885.11601908790863</c:v>
                </c:pt>
                <c:pt idx="179">
                  <c:v>885.11601908790863</c:v>
                </c:pt>
                <c:pt idx="180">
                  <c:v>885.11601908790863</c:v>
                </c:pt>
                <c:pt idx="181">
                  <c:v>885.11601908790863</c:v>
                </c:pt>
                <c:pt idx="182">
                  <c:v>885.11601908790863</c:v>
                </c:pt>
                <c:pt idx="183">
                  <c:v>885.11601908790863</c:v>
                </c:pt>
                <c:pt idx="184">
                  <c:v>885.11601908790863</c:v>
                </c:pt>
                <c:pt idx="185">
                  <c:v>885.11601908790863</c:v>
                </c:pt>
                <c:pt idx="186">
                  <c:v>885.11601908790863</c:v>
                </c:pt>
                <c:pt idx="187">
                  <c:v>885.11601908790863</c:v>
                </c:pt>
                <c:pt idx="188">
                  <c:v>885.11601908790863</c:v>
                </c:pt>
                <c:pt idx="189">
                  <c:v>885.11601908790863</c:v>
                </c:pt>
                <c:pt idx="190">
                  <c:v>885.11601908790863</c:v>
                </c:pt>
                <c:pt idx="191">
                  <c:v>885.11601908790863</c:v>
                </c:pt>
                <c:pt idx="192">
                  <c:v>885.11601908790863</c:v>
                </c:pt>
                <c:pt idx="193">
                  <c:v>885.11601908790863</c:v>
                </c:pt>
                <c:pt idx="194">
                  <c:v>885.11601908790863</c:v>
                </c:pt>
                <c:pt idx="195">
                  <c:v>885.11601908790863</c:v>
                </c:pt>
                <c:pt idx="196">
                  <c:v>885.11601908790863</c:v>
                </c:pt>
                <c:pt idx="197">
                  <c:v>885.11601908790863</c:v>
                </c:pt>
                <c:pt idx="198">
                  <c:v>885.11601908790863</c:v>
                </c:pt>
                <c:pt idx="199">
                  <c:v>885.11601908790863</c:v>
                </c:pt>
                <c:pt idx="200">
                  <c:v>885.11601908790863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2.3506827876702365</c:v>
                </c:pt>
                <c:pt idx="2">
                  <c:v>2.7069020618273747</c:v>
                </c:pt>
                <c:pt idx="3">
                  <c:v>3.1172974732130618</c:v>
                </c:pt>
                <c:pt idx="4">
                  <c:v>3.590136552411817</c:v>
                </c:pt>
                <c:pt idx="5">
                  <c:v>4.1349525172371857</c:v>
                </c:pt>
                <c:pt idx="6">
                  <c:v>4.7627386132127274</c:v>
                </c:pt>
                <c:pt idx="7">
                  <c:v>5.4861723759815355</c:v>
                </c:pt>
                <c:pt idx="8">
                  <c:v>6.3198744342378603</c:v>
                </c:pt>
                <c:pt idx="9">
                  <c:v>7.2807071863215178</c:v>
                </c:pt>
                <c:pt idx="10">
                  <c:v>8.3881195089433387</c:v>
                </c:pt>
                <c:pt idx="11">
                  <c:v>9.6645446098257679</c:v>
                </c:pt>
                <c:pt idx="12">
                  <c:v>11.135859237232149</c:v>
                </c:pt>
                <c:pt idx="13">
                  <c:v>12.831913731401018</c:v>
                </c:pt>
                <c:pt idx="14">
                  <c:v>14.787143872355102</c:v>
                </c:pt>
                <c:pt idx="15">
                  <c:v>17.041277176110768</c:v>
                </c:pt>
                <c:pt idx="16">
                  <c:v>34.453320496639996</c:v>
                </c:pt>
                <c:pt idx="17">
                  <c:v>51.613399015111831</c:v>
                </c:pt>
                <c:pt idx="18">
                  <c:v>68.620447763566887</c:v>
                </c:pt>
                <c:pt idx="19">
                  <c:v>85.518340702972125</c:v>
                </c:pt>
                <c:pt idx="20">
                  <c:v>102.33185371141569</c:v>
                </c:pt>
                <c:pt idx="21">
                  <c:v>83.059783755906594</c:v>
                </c:pt>
                <c:pt idx="22">
                  <c:v>100.5838664607631</c:v>
                </c:pt>
                <c:pt idx="23">
                  <c:v>118.03208120289027</c:v>
                </c:pt>
                <c:pt idx="24">
                  <c:v>135.41725555203229</c:v>
                </c:pt>
                <c:pt idx="25">
                  <c:v>152.74863657956141</c:v>
                </c:pt>
                <c:pt idx="26">
                  <c:v>133.33403236134612</c:v>
                </c:pt>
                <c:pt idx="27">
                  <c:v>150.32520254476188</c:v>
                </c:pt>
                <c:pt idx="28">
                  <c:v>167.27057244935506</c:v>
                </c:pt>
                <c:pt idx="29">
                  <c:v>184.1754383487191</c:v>
                </c:pt>
                <c:pt idx="30">
                  <c:v>201.04404298625983</c:v>
                </c:pt>
                <c:pt idx="31">
                  <c:v>179.69416671649591</c:v>
                </c:pt>
                <c:pt idx="32">
                  <c:v>194.5072237017408</c:v>
                </c:pt>
                <c:pt idx="33">
                  <c:v>209.29406224425134</c:v>
                </c:pt>
                <c:pt idx="34">
                  <c:v>224.05679616015789</c:v>
                </c:pt>
                <c:pt idx="35">
                  <c:v>238.79723773455581</c:v>
                </c:pt>
                <c:pt idx="36">
                  <c:v>215.81998944310419</c:v>
                </c:pt>
                <c:pt idx="37">
                  <c:v>228.85837653967619</c:v>
                </c:pt>
                <c:pt idx="38">
                  <c:v>241.87977545595186</c:v>
                </c:pt>
                <c:pt idx="39">
                  <c:v>254.88522992676107</c:v>
                </c:pt>
                <c:pt idx="40">
                  <c:v>267.87566841306398</c:v>
                </c:pt>
                <c:pt idx="41">
                  <c:v>242.90708874646216</c:v>
                </c:pt>
                <c:pt idx="42">
                  <c:v>253.85904094930413</c:v>
                </c:pt>
                <c:pt idx="43">
                  <c:v>264.80029706883334</c:v>
                </c:pt>
                <c:pt idx="44">
                  <c:v>275.73136161299811</c:v>
                </c:pt>
                <c:pt idx="45">
                  <c:v>286.65269579557503</c:v>
                </c:pt>
                <c:pt idx="46">
                  <c:v>265.48378219284547</c:v>
                </c:pt>
                <c:pt idx="47">
                  <c:v>275.04845973255499</c:v>
                </c:pt>
                <c:pt idx="48">
                  <c:v>284.60566685788712</c:v>
                </c:pt>
                <c:pt idx="49">
                  <c:v>294.15568998866848</c:v>
                </c:pt>
                <c:pt idx="50">
                  <c:v>303.69879541443908</c:v>
                </c:pt>
                <c:pt idx="51">
                  <c:v>289.72262669927983</c:v>
                </c:pt>
                <c:pt idx="52">
                  <c:v>297.9055780022702</c:v>
                </c:pt>
                <c:pt idx="53">
                  <c:v>306.08352033451564</c:v>
                </c:pt>
                <c:pt idx="54">
                  <c:v>314.25660652237013</c:v>
                </c:pt>
                <c:pt idx="55">
                  <c:v>322.4249807869187</c:v>
                </c:pt>
                <c:pt idx="56">
                  <c:v>310.5112020975094</c:v>
                </c:pt>
                <c:pt idx="57">
                  <c:v>317.32029156286296</c:v>
                </c:pt>
                <c:pt idx="58">
                  <c:v>324.12614511182926</c:v>
                </c:pt>
                <c:pt idx="59">
                  <c:v>330.92884034916193</c:v>
                </c:pt>
                <c:pt idx="60">
                  <c:v>337.72845142534106</c:v>
                </c:pt>
                <c:pt idx="61">
                  <c:v>328.20813643129185</c:v>
                </c:pt>
                <c:pt idx="62">
                  <c:v>333.98904268407705</c:v>
                </c:pt>
                <c:pt idx="63">
                  <c:v>339.76774401998046</c:v>
                </c:pt>
                <c:pt idx="64">
                  <c:v>345.54428327562624</c:v>
                </c:pt>
                <c:pt idx="65">
                  <c:v>351.31870173688304</c:v>
                </c:pt>
                <c:pt idx="66">
                  <c:v>342.82617852900449</c:v>
                </c:pt>
                <c:pt idx="67">
                  <c:v>347.92223953697527</c:v>
                </c:pt>
                <c:pt idx="68">
                  <c:v>353.01666232745418</c:v>
                </c:pt>
                <c:pt idx="69">
                  <c:v>358.10947390735419</c:v>
                </c:pt>
                <c:pt idx="70">
                  <c:v>363.2007004518166</c:v>
                </c:pt>
                <c:pt idx="71">
                  <c:v>354.03535269094073</c:v>
                </c:pt>
                <c:pt idx="72">
                  <c:v>358.44893803761056</c:v>
                </c:pt>
                <c:pt idx="73">
                  <c:v>362.86133414806545</c:v>
                </c:pt>
                <c:pt idx="74">
                  <c:v>367.2725575433945</c:v>
                </c:pt>
                <c:pt idx="75">
                  <c:v>371.68262431492644</c:v>
                </c:pt>
                <c:pt idx="76">
                  <c:v>363.87941227215782</c:v>
                </c:pt>
                <c:pt idx="77">
                  <c:v>367.95110424042531</c:v>
                </c:pt>
                <c:pt idx="78">
                  <c:v>372.02181276517587</c:v>
                </c:pt>
                <c:pt idx="79">
                  <c:v>376.09155014049162</c:v>
                </c:pt>
                <c:pt idx="80">
                  <c:v>380.16032837232228</c:v>
                </c:pt>
                <c:pt idx="81">
                  <c:v>369.98658065798855</c:v>
                </c:pt>
                <c:pt idx="82">
                  <c:v>369.98658065798855</c:v>
                </c:pt>
                <c:pt idx="83">
                  <c:v>369.98658065798855</c:v>
                </c:pt>
                <c:pt idx="84">
                  <c:v>369.98658065798855</c:v>
                </c:pt>
                <c:pt idx="85">
                  <c:v>369.98658065798855</c:v>
                </c:pt>
                <c:pt idx="86">
                  <c:v>369.98658065798855</c:v>
                </c:pt>
                <c:pt idx="87">
                  <c:v>369.98658065798855</c:v>
                </c:pt>
                <c:pt idx="88">
                  <c:v>369.98658065798855</c:v>
                </c:pt>
                <c:pt idx="89">
                  <c:v>369.98658065798855</c:v>
                </c:pt>
                <c:pt idx="90">
                  <c:v>369.98658065798855</c:v>
                </c:pt>
                <c:pt idx="91">
                  <c:v>369.98658065798855</c:v>
                </c:pt>
                <c:pt idx="92">
                  <c:v>369.98658065798855</c:v>
                </c:pt>
                <c:pt idx="93">
                  <c:v>369.98658065798855</c:v>
                </c:pt>
                <c:pt idx="94">
                  <c:v>369.98658065798855</c:v>
                </c:pt>
                <c:pt idx="95">
                  <c:v>369.98658065798855</c:v>
                </c:pt>
                <c:pt idx="96">
                  <c:v>369.98658065798855</c:v>
                </c:pt>
                <c:pt idx="97">
                  <c:v>369.98658065798855</c:v>
                </c:pt>
                <c:pt idx="98">
                  <c:v>369.98658065798855</c:v>
                </c:pt>
                <c:pt idx="99">
                  <c:v>369.98658065798855</c:v>
                </c:pt>
                <c:pt idx="100">
                  <c:v>369.98658065798855</c:v>
                </c:pt>
                <c:pt idx="101">
                  <c:v>369.98658065798855</c:v>
                </c:pt>
                <c:pt idx="102">
                  <c:v>369.98658065798855</c:v>
                </c:pt>
                <c:pt idx="103">
                  <c:v>369.98658065798855</c:v>
                </c:pt>
                <c:pt idx="104">
                  <c:v>369.98658065798855</c:v>
                </c:pt>
                <c:pt idx="105">
                  <c:v>369.98658065798855</c:v>
                </c:pt>
                <c:pt idx="106">
                  <c:v>369.98658065798855</c:v>
                </c:pt>
                <c:pt idx="107">
                  <c:v>369.98658065798855</c:v>
                </c:pt>
                <c:pt idx="108">
                  <c:v>369.98658065798855</c:v>
                </c:pt>
                <c:pt idx="109">
                  <c:v>369.98658065798855</c:v>
                </c:pt>
                <c:pt idx="110">
                  <c:v>369.98658065798855</c:v>
                </c:pt>
                <c:pt idx="111">
                  <c:v>369.98658065798855</c:v>
                </c:pt>
                <c:pt idx="112">
                  <c:v>369.98658065798855</c:v>
                </c:pt>
                <c:pt idx="113">
                  <c:v>369.98658065798855</c:v>
                </c:pt>
                <c:pt idx="114">
                  <c:v>369.98658065798855</c:v>
                </c:pt>
                <c:pt idx="115">
                  <c:v>369.98658065798855</c:v>
                </c:pt>
                <c:pt idx="116">
                  <c:v>369.98658065798855</c:v>
                </c:pt>
                <c:pt idx="117">
                  <c:v>369.98658065798855</c:v>
                </c:pt>
                <c:pt idx="118">
                  <c:v>369.98658065798855</c:v>
                </c:pt>
                <c:pt idx="119">
                  <c:v>369.98658065798855</c:v>
                </c:pt>
                <c:pt idx="120">
                  <c:v>369.98658065798855</c:v>
                </c:pt>
                <c:pt idx="121">
                  <c:v>369.98658065798855</c:v>
                </c:pt>
                <c:pt idx="122">
                  <c:v>369.98658065798855</c:v>
                </c:pt>
                <c:pt idx="123">
                  <c:v>369.98658065798855</c:v>
                </c:pt>
                <c:pt idx="124">
                  <c:v>369.98658065798855</c:v>
                </c:pt>
                <c:pt idx="125">
                  <c:v>369.98658065798855</c:v>
                </c:pt>
                <c:pt idx="126">
                  <c:v>369.98658065798855</c:v>
                </c:pt>
                <c:pt idx="127">
                  <c:v>369.98658065798855</c:v>
                </c:pt>
                <c:pt idx="128">
                  <c:v>369.98658065798855</c:v>
                </c:pt>
                <c:pt idx="129">
                  <c:v>369.98658065798855</c:v>
                </c:pt>
                <c:pt idx="130">
                  <c:v>369.98658065798855</c:v>
                </c:pt>
                <c:pt idx="131">
                  <c:v>369.98658065798855</c:v>
                </c:pt>
                <c:pt idx="132">
                  <c:v>369.98658065798855</c:v>
                </c:pt>
                <c:pt idx="133">
                  <c:v>369.98658065798855</c:v>
                </c:pt>
                <c:pt idx="134">
                  <c:v>369.98658065798855</c:v>
                </c:pt>
                <c:pt idx="135">
                  <c:v>369.98658065798855</c:v>
                </c:pt>
                <c:pt idx="136">
                  <c:v>369.98658065798855</c:v>
                </c:pt>
                <c:pt idx="137">
                  <c:v>369.98658065798855</c:v>
                </c:pt>
                <c:pt idx="138">
                  <c:v>369.98658065798855</c:v>
                </c:pt>
                <c:pt idx="139">
                  <c:v>369.98658065798855</c:v>
                </c:pt>
                <c:pt idx="140">
                  <c:v>369.98658065798855</c:v>
                </c:pt>
                <c:pt idx="141">
                  <c:v>369.98658065798855</c:v>
                </c:pt>
                <c:pt idx="142">
                  <c:v>369.98658065798855</c:v>
                </c:pt>
                <c:pt idx="143">
                  <c:v>369.98658065798855</c:v>
                </c:pt>
                <c:pt idx="144">
                  <c:v>369.98658065798855</c:v>
                </c:pt>
                <c:pt idx="145">
                  <c:v>369.98658065798855</c:v>
                </c:pt>
                <c:pt idx="146">
                  <c:v>369.98658065798855</c:v>
                </c:pt>
                <c:pt idx="147">
                  <c:v>369.98658065798855</c:v>
                </c:pt>
                <c:pt idx="148">
                  <c:v>369.98658065798855</c:v>
                </c:pt>
                <c:pt idx="149">
                  <c:v>369.98658065798855</c:v>
                </c:pt>
                <c:pt idx="150">
                  <c:v>369.98658065798855</c:v>
                </c:pt>
                <c:pt idx="151">
                  <c:v>369.98658065798855</c:v>
                </c:pt>
                <c:pt idx="152">
                  <c:v>369.98658065798855</c:v>
                </c:pt>
                <c:pt idx="153">
                  <c:v>369.98658065798855</c:v>
                </c:pt>
                <c:pt idx="154">
                  <c:v>369.98658065798855</c:v>
                </c:pt>
                <c:pt idx="155">
                  <c:v>369.98658065798855</c:v>
                </c:pt>
                <c:pt idx="156">
                  <c:v>369.98658065798855</c:v>
                </c:pt>
                <c:pt idx="157">
                  <c:v>369.98658065798855</c:v>
                </c:pt>
                <c:pt idx="158">
                  <c:v>369.98658065798855</c:v>
                </c:pt>
                <c:pt idx="159">
                  <c:v>369.98658065798855</c:v>
                </c:pt>
                <c:pt idx="160">
                  <c:v>369.98658065798855</c:v>
                </c:pt>
                <c:pt idx="161">
                  <c:v>369.98658065798855</c:v>
                </c:pt>
                <c:pt idx="162">
                  <c:v>369.98658065798855</c:v>
                </c:pt>
                <c:pt idx="163">
                  <c:v>369.98658065798855</c:v>
                </c:pt>
                <c:pt idx="164">
                  <c:v>369.98658065798855</c:v>
                </c:pt>
                <c:pt idx="165">
                  <c:v>369.98658065798855</c:v>
                </c:pt>
                <c:pt idx="166">
                  <c:v>369.98658065798855</c:v>
                </c:pt>
                <c:pt idx="167">
                  <c:v>369.98658065798855</c:v>
                </c:pt>
                <c:pt idx="168">
                  <c:v>369.98658065798855</c:v>
                </c:pt>
                <c:pt idx="169">
                  <c:v>369.98658065798855</c:v>
                </c:pt>
                <c:pt idx="170">
                  <c:v>369.98658065798855</c:v>
                </c:pt>
                <c:pt idx="171">
                  <c:v>369.98658065798855</c:v>
                </c:pt>
                <c:pt idx="172">
                  <c:v>369.98658065798855</c:v>
                </c:pt>
                <c:pt idx="173">
                  <c:v>369.98658065798855</c:v>
                </c:pt>
                <c:pt idx="174">
                  <c:v>369.98658065798855</c:v>
                </c:pt>
                <c:pt idx="175">
                  <c:v>369.98658065798855</c:v>
                </c:pt>
                <c:pt idx="176">
                  <c:v>369.98658065798855</c:v>
                </c:pt>
                <c:pt idx="177">
                  <c:v>369.98658065798855</c:v>
                </c:pt>
                <c:pt idx="178">
                  <c:v>369.98658065798855</c:v>
                </c:pt>
                <c:pt idx="179">
                  <c:v>369.98658065798855</c:v>
                </c:pt>
                <c:pt idx="180">
                  <c:v>369.98658065798855</c:v>
                </c:pt>
                <c:pt idx="181">
                  <c:v>369.98658065798855</c:v>
                </c:pt>
                <c:pt idx="182">
                  <c:v>369.98658065798855</c:v>
                </c:pt>
                <c:pt idx="183">
                  <c:v>369.98658065798855</c:v>
                </c:pt>
                <c:pt idx="184">
                  <c:v>369.98658065798855</c:v>
                </c:pt>
                <c:pt idx="185">
                  <c:v>369.98658065798855</c:v>
                </c:pt>
                <c:pt idx="186">
                  <c:v>369.98658065798855</c:v>
                </c:pt>
                <c:pt idx="187">
                  <c:v>369.98658065798855</c:v>
                </c:pt>
                <c:pt idx="188">
                  <c:v>369.98658065798855</c:v>
                </c:pt>
                <c:pt idx="189">
                  <c:v>369.98658065798855</c:v>
                </c:pt>
                <c:pt idx="190">
                  <c:v>369.98658065798855</c:v>
                </c:pt>
                <c:pt idx="191">
                  <c:v>369.98658065798855</c:v>
                </c:pt>
                <c:pt idx="192">
                  <c:v>369.98658065798855</c:v>
                </c:pt>
                <c:pt idx="193">
                  <c:v>369.98658065798855</c:v>
                </c:pt>
                <c:pt idx="194">
                  <c:v>369.98658065798855</c:v>
                </c:pt>
                <c:pt idx="195">
                  <c:v>369.98658065798855</c:v>
                </c:pt>
                <c:pt idx="196">
                  <c:v>369.98658065798855</c:v>
                </c:pt>
                <c:pt idx="197">
                  <c:v>369.98658065798855</c:v>
                </c:pt>
                <c:pt idx="198">
                  <c:v>369.98658065798855</c:v>
                </c:pt>
                <c:pt idx="199">
                  <c:v>369.98658065798855</c:v>
                </c:pt>
                <c:pt idx="200">
                  <c:v>369.98658065798855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1.6075378892139109</c:v>
                </c:pt>
                <c:pt idx="2">
                  <c:v>2.0023005381231651</c:v>
                </c:pt>
                <c:pt idx="3">
                  <c:v>2.4943890364643395</c:v>
                </c:pt>
                <c:pt idx="4">
                  <c:v>3.1078879470840577</c:v>
                </c:pt>
                <c:pt idx="5">
                  <c:v>3.8728626872921983</c:v>
                </c:pt>
                <c:pt idx="6">
                  <c:v>4.8268495553982502</c:v>
                </c:pt>
                <c:pt idx="7">
                  <c:v>6.0167180826689401</c:v>
                </c:pt>
                <c:pt idx="8">
                  <c:v>7.5009990022173056</c:v>
                </c:pt>
                <c:pt idx="9">
                  <c:v>9.3527945604186442</c:v>
                </c:pt>
                <c:pt idx="10">
                  <c:v>11.663417230373812</c:v>
                </c:pt>
                <c:pt idx="11">
                  <c:v>14.546939609119406</c:v>
                </c:pt>
                <c:pt idx="12">
                  <c:v>18.14588425532385</c:v>
                </c:pt>
                <c:pt idx="13">
                  <c:v>22.638339788145615</c:v>
                </c:pt>
                <c:pt idx="14">
                  <c:v>28.246861647619344</c:v>
                </c:pt>
                <c:pt idx="15">
                  <c:v>35.249606179712963</c:v>
                </c:pt>
                <c:pt idx="16">
                  <c:v>43.99425975050741</c:v>
                </c:pt>
                <c:pt idx="17">
                  <c:v>54.915466172585091</c:v>
                </c:pt>
                <c:pt idx="18">
                  <c:v>68.556633059752883</c:v>
                </c:pt>
                <c:pt idx="19">
                  <c:v>85.597219858864364</c:v>
                </c:pt>
                <c:pt idx="20">
                  <c:v>106.88688857676283</c:v>
                </c:pt>
                <c:pt idx="21">
                  <c:v>130.45752752190077</c:v>
                </c:pt>
                <c:pt idx="22">
                  <c:v>153.92494942820065</c:v>
                </c:pt>
                <c:pt idx="23">
                  <c:v>177.30714612984767</c:v>
                </c:pt>
                <c:pt idx="24">
                  <c:v>200.61695228195785</c:v>
                </c:pt>
                <c:pt idx="25">
                  <c:v>223.86396670660386</c:v>
                </c:pt>
                <c:pt idx="26">
                  <c:v>205.31380173209774</c:v>
                </c:pt>
                <c:pt idx="27">
                  <c:v>229.40070609082542</c:v>
                </c:pt>
                <c:pt idx="28">
                  <c:v>253.4297575784752</c:v>
                </c:pt>
                <c:pt idx="29">
                  <c:v>277.40721159666236</c:v>
                </c:pt>
                <c:pt idx="30">
                  <c:v>301.33815311300532</c:v>
                </c:pt>
                <c:pt idx="31">
                  <c:v>266.16722763722106</c:v>
                </c:pt>
                <c:pt idx="32">
                  <c:v>290.33117559318293</c:v>
                </c:pt>
                <c:pt idx="33">
                  <c:v>314.45019220953321</c:v>
                </c:pt>
                <c:pt idx="34">
                  <c:v>338.52820622756059</c:v>
                </c:pt>
                <c:pt idx="35">
                  <c:v>362.56854195764805</c:v>
                </c:pt>
                <c:pt idx="36">
                  <c:v>327.12771904371101</c:v>
                </c:pt>
                <c:pt idx="37">
                  <c:v>350.76377367863552</c:v>
                </c:pt>
                <c:pt idx="38">
                  <c:v>374.36491121217637</c:v>
                </c:pt>
                <c:pt idx="39">
                  <c:v>397.93364074958487</c:v>
                </c:pt>
                <c:pt idx="40">
                  <c:v>421.47215007770643</c:v>
                </c:pt>
                <c:pt idx="41">
                  <c:v>385.73230992229577</c:v>
                </c:pt>
                <c:pt idx="42">
                  <c:v>408.86587026056333</c:v>
                </c:pt>
                <c:pt idx="43">
                  <c:v>431.97117107689905</c:v>
                </c:pt>
                <c:pt idx="44">
                  <c:v>455.04993520782722</c:v>
                </c:pt>
                <c:pt idx="45">
                  <c:v>478.10369660688599</c:v>
                </c:pt>
                <c:pt idx="46">
                  <c:v>441.20577134076024</c:v>
                </c:pt>
                <c:pt idx="47">
                  <c:v>463.01671585438959</c:v>
                </c:pt>
                <c:pt idx="48">
                  <c:v>484.80575132371069</c:v>
                </c:pt>
                <c:pt idx="49">
                  <c:v>506.57400011669642</c:v>
                </c:pt>
                <c:pt idx="50">
                  <c:v>528.32248035244027</c:v>
                </c:pt>
                <c:pt idx="51">
                  <c:v>490.45907856773647</c:v>
                </c:pt>
                <c:pt idx="52">
                  <c:v>511.17625624478842</c:v>
                </c:pt>
                <c:pt idx="53">
                  <c:v>531.87570538266539</c:v>
                </c:pt>
                <c:pt idx="54">
                  <c:v>552.55821244780407</c:v>
                </c:pt>
                <c:pt idx="55">
                  <c:v>573.22450027959906</c:v>
                </c:pt>
                <c:pt idx="56">
                  <c:v>534.17458462732077</c:v>
                </c:pt>
                <c:pt idx="57">
                  <c:v>553.6023474341182</c:v>
                </c:pt>
                <c:pt idx="58">
                  <c:v>573.01582873119753</c:v>
                </c:pt>
                <c:pt idx="59">
                  <c:v>592.41558008208119</c:v>
                </c:pt>
                <c:pt idx="60">
                  <c:v>611.80211401107306</c:v>
                </c:pt>
                <c:pt idx="61">
                  <c:v>578.0235093685011</c:v>
                </c:pt>
                <c:pt idx="62">
                  <c:v>596.37732806732379</c:v>
                </c:pt>
                <c:pt idx="63">
                  <c:v>614.71940241540619</c:v>
                </c:pt>
                <c:pt idx="64">
                  <c:v>633.05013189910608</c:v>
                </c:pt>
                <c:pt idx="65">
                  <c:v>651.36989100261587</c:v>
                </c:pt>
                <c:pt idx="66">
                  <c:v>621.59473481310067</c:v>
                </c:pt>
                <c:pt idx="67">
                  <c:v>638.67211695309231</c:v>
                </c:pt>
                <c:pt idx="68">
                  <c:v>655.74006960423117</c:v>
                </c:pt>
                <c:pt idx="69">
                  <c:v>672.79887257534381</c:v>
                </c:pt>
                <c:pt idx="70">
                  <c:v>689.8487903409009</c:v>
                </c:pt>
                <c:pt idx="71">
                  <c:v>660.73382499079833</c:v>
                </c:pt>
                <c:pt idx="72">
                  <c:v>676.33433322667088</c:v>
                </c:pt>
                <c:pt idx="73">
                  <c:v>691.92745300992465</c:v>
                </c:pt>
                <c:pt idx="74">
                  <c:v>707.51337417674677</c:v>
                </c:pt>
                <c:pt idx="75">
                  <c:v>723.09227752401921</c:v>
                </c:pt>
                <c:pt idx="76">
                  <c:v>694.42167934111421</c:v>
                </c:pt>
                <c:pt idx="77">
                  <c:v>709.38320964570164</c:v>
                </c:pt>
                <c:pt idx="78">
                  <c:v>724.33829184058038</c:v>
                </c:pt>
                <c:pt idx="79">
                  <c:v>739.28707771280381</c:v>
                </c:pt>
                <c:pt idx="80">
                  <c:v>754.2297124153265</c:v>
                </c:pt>
                <c:pt idx="81">
                  <c:v>711.66842732721636</c:v>
                </c:pt>
                <c:pt idx="82">
                  <c:v>711.66842732721636</c:v>
                </c:pt>
                <c:pt idx="83">
                  <c:v>711.66842732721636</c:v>
                </c:pt>
                <c:pt idx="84">
                  <c:v>711.66842732721636</c:v>
                </c:pt>
                <c:pt idx="85">
                  <c:v>711.66842732721636</c:v>
                </c:pt>
                <c:pt idx="86">
                  <c:v>711.66842732721636</c:v>
                </c:pt>
                <c:pt idx="87">
                  <c:v>711.66842732721636</c:v>
                </c:pt>
                <c:pt idx="88">
                  <c:v>711.66842732721636</c:v>
                </c:pt>
                <c:pt idx="89">
                  <c:v>711.66842732721636</c:v>
                </c:pt>
                <c:pt idx="90">
                  <c:v>711.66842732721636</c:v>
                </c:pt>
                <c:pt idx="91">
                  <c:v>711.66842732721636</c:v>
                </c:pt>
                <c:pt idx="92">
                  <c:v>711.66842732721636</c:v>
                </c:pt>
                <c:pt idx="93">
                  <c:v>711.66842732721636</c:v>
                </c:pt>
                <c:pt idx="94">
                  <c:v>711.66842732721636</c:v>
                </c:pt>
                <c:pt idx="95">
                  <c:v>711.66842732721636</c:v>
                </c:pt>
                <c:pt idx="96">
                  <c:v>711.66842732721636</c:v>
                </c:pt>
                <c:pt idx="97">
                  <c:v>711.66842732721636</c:v>
                </c:pt>
                <c:pt idx="98">
                  <c:v>711.66842732721636</c:v>
                </c:pt>
                <c:pt idx="99">
                  <c:v>711.66842732721636</c:v>
                </c:pt>
                <c:pt idx="100">
                  <c:v>711.66842732721636</c:v>
                </c:pt>
                <c:pt idx="101">
                  <c:v>711.66842732721636</c:v>
                </c:pt>
                <c:pt idx="102">
                  <c:v>711.66842732721636</c:v>
                </c:pt>
                <c:pt idx="103">
                  <c:v>711.66842732721636</c:v>
                </c:pt>
                <c:pt idx="104">
                  <c:v>711.66842732721636</c:v>
                </c:pt>
                <c:pt idx="105">
                  <c:v>711.66842732721636</c:v>
                </c:pt>
                <c:pt idx="106">
                  <c:v>711.66842732721636</c:v>
                </c:pt>
                <c:pt idx="107">
                  <c:v>711.66842732721636</c:v>
                </c:pt>
                <c:pt idx="108">
                  <c:v>711.66842732721636</c:v>
                </c:pt>
                <c:pt idx="109">
                  <c:v>711.66842732721636</c:v>
                </c:pt>
                <c:pt idx="110">
                  <c:v>711.66842732721636</c:v>
                </c:pt>
                <c:pt idx="111">
                  <c:v>711.66842732721636</c:v>
                </c:pt>
                <c:pt idx="112">
                  <c:v>711.66842732721636</c:v>
                </c:pt>
                <c:pt idx="113">
                  <c:v>711.66842732721636</c:v>
                </c:pt>
                <c:pt idx="114">
                  <c:v>711.66842732721636</c:v>
                </c:pt>
                <c:pt idx="115">
                  <c:v>711.66842732721636</c:v>
                </c:pt>
                <c:pt idx="116">
                  <c:v>711.66842732721636</c:v>
                </c:pt>
                <c:pt idx="117">
                  <c:v>711.66842732721636</c:v>
                </c:pt>
                <c:pt idx="118">
                  <c:v>711.66842732721636</c:v>
                </c:pt>
                <c:pt idx="119">
                  <c:v>711.66842732721636</c:v>
                </c:pt>
                <c:pt idx="120">
                  <c:v>711.66842732721636</c:v>
                </c:pt>
                <c:pt idx="121">
                  <c:v>711.66842732721636</c:v>
                </c:pt>
                <c:pt idx="122">
                  <c:v>711.66842732721636</c:v>
                </c:pt>
                <c:pt idx="123">
                  <c:v>711.66842732721636</c:v>
                </c:pt>
                <c:pt idx="124">
                  <c:v>711.66842732721636</c:v>
                </c:pt>
                <c:pt idx="125">
                  <c:v>711.66842732721636</c:v>
                </c:pt>
                <c:pt idx="126">
                  <c:v>711.66842732721636</c:v>
                </c:pt>
                <c:pt idx="127">
                  <c:v>711.66842732721636</c:v>
                </c:pt>
                <c:pt idx="128">
                  <c:v>711.66842732721636</c:v>
                </c:pt>
                <c:pt idx="129">
                  <c:v>711.66842732721636</c:v>
                </c:pt>
                <c:pt idx="130">
                  <c:v>711.66842732721636</c:v>
                </c:pt>
                <c:pt idx="131">
                  <c:v>711.66842732721636</c:v>
                </c:pt>
                <c:pt idx="132">
                  <c:v>711.66842732721636</c:v>
                </c:pt>
                <c:pt idx="133">
                  <c:v>711.66842732721636</c:v>
                </c:pt>
                <c:pt idx="134">
                  <c:v>711.66842732721636</c:v>
                </c:pt>
                <c:pt idx="135">
                  <c:v>711.66842732721636</c:v>
                </c:pt>
                <c:pt idx="136">
                  <c:v>711.66842732721636</c:v>
                </c:pt>
                <c:pt idx="137">
                  <c:v>711.66842732721636</c:v>
                </c:pt>
                <c:pt idx="138">
                  <c:v>711.66842732721636</c:v>
                </c:pt>
                <c:pt idx="139">
                  <c:v>711.66842732721636</c:v>
                </c:pt>
                <c:pt idx="140">
                  <c:v>711.66842732721636</c:v>
                </c:pt>
                <c:pt idx="141">
                  <c:v>711.66842732721636</c:v>
                </c:pt>
                <c:pt idx="142">
                  <c:v>711.66842732721636</c:v>
                </c:pt>
                <c:pt idx="143">
                  <c:v>711.66842732721636</c:v>
                </c:pt>
                <c:pt idx="144">
                  <c:v>711.66842732721636</c:v>
                </c:pt>
                <c:pt idx="145">
                  <c:v>711.66842732721636</c:v>
                </c:pt>
                <c:pt idx="146">
                  <c:v>711.66842732721636</c:v>
                </c:pt>
                <c:pt idx="147">
                  <c:v>711.66842732721636</c:v>
                </c:pt>
                <c:pt idx="148">
                  <c:v>711.66842732721636</c:v>
                </c:pt>
                <c:pt idx="149">
                  <c:v>711.66842732721636</c:v>
                </c:pt>
                <c:pt idx="150">
                  <c:v>711.66842732721636</c:v>
                </c:pt>
                <c:pt idx="151">
                  <c:v>711.66842732721636</c:v>
                </c:pt>
                <c:pt idx="152">
                  <c:v>711.66842732721636</c:v>
                </c:pt>
                <c:pt idx="153">
                  <c:v>711.66842732721636</c:v>
                </c:pt>
                <c:pt idx="154">
                  <c:v>711.66842732721636</c:v>
                </c:pt>
                <c:pt idx="155">
                  <c:v>711.66842732721636</c:v>
                </c:pt>
                <c:pt idx="156">
                  <c:v>711.66842732721636</c:v>
                </c:pt>
                <c:pt idx="157">
                  <c:v>711.66842732721636</c:v>
                </c:pt>
                <c:pt idx="158">
                  <c:v>711.66842732721636</c:v>
                </c:pt>
                <c:pt idx="159">
                  <c:v>711.66842732721636</c:v>
                </c:pt>
                <c:pt idx="160">
                  <c:v>711.66842732721636</c:v>
                </c:pt>
                <c:pt idx="161">
                  <c:v>711.66842732721636</c:v>
                </c:pt>
                <c:pt idx="162">
                  <c:v>711.66842732721636</c:v>
                </c:pt>
                <c:pt idx="163">
                  <c:v>711.66842732721636</c:v>
                </c:pt>
                <c:pt idx="164">
                  <c:v>711.66842732721636</c:v>
                </c:pt>
                <c:pt idx="165">
                  <c:v>711.66842732721636</c:v>
                </c:pt>
                <c:pt idx="166">
                  <c:v>711.66842732721636</c:v>
                </c:pt>
                <c:pt idx="167">
                  <c:v>711.66842732721636</c:v>
                </c:pt>
                <c:pt idx="168">
                  <c:v>711.66842732721636</c:v>
                </c:pt>
                <c:pt idx="169">
                  <c:v>711.66842732721636</c:v>
                </c:pt>
                <c:pt idx="170">
                  <c:v>711.66842732721636</c:v>
                </c:pt>
                <c:pt idx="171">
                  <c:v>711.66842732721636</c:v>
                </c:pt>
                <c:pt idx="172">
                  <c:v>711.66842732721636</c:v>
                </c:pt>
                <c:pt idx="173">
                  <c:v>711.66842732721636</c:v>
                </c:pt>
                <c:pt idx="174">
                  <c:v>711.66842732721636</c:v>
                </c:pt>
                <c:pt idx="175">
                  <c:v>711.66842732721636</c:v>
                </c:pt>
                <c:pt idx="176">
                  <c:v>711.66842732721636</c:v>
                </c:pt>
                <c:pt idx="177">
                  <c:v>711.66842732721636</c:v>
                </c:pt>
                <c:pt idx="178">
                  <c:v>711.66842732721636</c:v>
                </c:pt>
                <c:pt idx="179">
                  <c:v>711.66842732721636</c:v>
                </c:pt>
                <c:pt idx="180">
                  <c:v>711.66842732721636</c:v>
                </c:pt>
                <c:pt idx="181">
                  <c:v>711.66842732721636</c:v>
                </c:pt>
                <c:pt idx="182">
                  <c:v>711.66842732721636</c:v>
                </c:pt>
                <c:pt idx="183">
                  <c:v>711.66842732721636</c:v>
                </c:pt>
                <c:pt idx="184">
                  <c:v>711.66842732721636</c:v>
                </c:pt>
                <c:pt idx="185">
                  <c:v>711.66842732721636</c:v>
                </c:pt>
                <c:pt idx="186">
                  <c:v>711.66842732721636</c:v>
                </c:pt>
                <c:pt idx="187">
                  <c:v>711.66842732721636</c:v>
                </c:pt>
                <c:pt idx="188">
                  <c:v>711.66842732721636</c:v>
                </c:pt>
                <c:pt idx="189">
                  <c:v>711.66842732721636</c:v>
                </c:pt>
                <c:pt idx="190">
                  <c:v>711.66842732721636</c:v>
                </c:pt>
                <c:pt idx="191">
                  <c:v>711.66842732721636</c:v>
                </c:pt>
                <c:pt idx="192">
                  <c:v>711.66842732721636</c:v>
                </c:pt>
                <c:pt idx="193">
                  <c:v>711.66842732721636</c:v>
                </c:pt>
                <c:pt idx="194">
                  <c:v>711.66842732721636</c:v>
                </c:pt>
                <c:pt idx="195">
                  <c:v>711.66842732721636</c:v>
                </c:pt>
                <c:pt idx="196">
                  <c:v>711.66842732721636</c:v>
                </c:pt>
                <c:pt idx="197">
                  <c:v>711.66842732721636</c:v>
                </c:pt>
                <c:pt idx="198">
                  <c:v>711.66842732721636</c:v>
                </c:pt>
                <c:pt idx="199">
                  <c:v>711.66842732721636</c:v>
                </c:pt>
                <c:pt idx="200">
                  <c:v>711.66842732721636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150.5085198437738</c:v>
                </c:pt>
                <c:pt idx="14">
                  <c:v>181.66813736078151</c:v>
                </c:pt>
                <c:pt idx="15">
                  <c:v>212.70239804910193</c:v>
                </c:pt>
                <c:pt idx="16">
                  <c:v>243.63219153359822</c:v>
                </c:pt>
                <c:pt idx="17">
                  <c:v>274.47265011228387</c:v>
                </c:pt>
                <c:pt idx="18">
                  <c:v>305.23522033866374</c:v>
                </c:pt>
                <c:pt idx="19">
                  <c:v>217.97633317853592</c:v>
                </c:pt>
                <c:pt idx="20">
                  <c:v>243.81122169703403</c:v>
                </c:pt>
                <c:pt idx="21">
                  <c:v>269.58386372150011</c:v>
                </c:pt>
                <c:pt idx="22">
                  <c:v>295.30104458450194</c:v>
                </c:pt>
                <c:pt idx="23">
                  <c:v>320.9682705782111</c:v>
                </c:pt>
                <c:pt idx="24">
                  <c:v>346.59009528166484</c:v>
                </c:pt>
                <c:pt idx="25">
                  <c:v>270.34298331048649</c:v>
                </c:pt>
                <c:pt idx="26">
                  <c:v>292.58233627164475</c:v>
                </c:pt>
                <c:pt idx="27">
                  <c:v>314.78395443038511</c:v>
                </c:pt>
                <c:pt idx="28">
                  <c:v>336.95087205446197</c:v>
                </c:pt>
                <c:pt idx="29">
                  <c:v>359.08569164809904</c:v>
                </c:pt>
                <c:pt idx="30">
                  <c:v>381.19066877305704</c:v>
                </c:pt>
                <c:pt idx="31">
                  <c:v>317.25355162035788</c:v>
                </c:pt>
                <c:pt idx="32">
                  <c:v>336.72869926538851</c:v>
                </c:pt>
                <c:pt idx="33">
                  <c:v>356.17905353680152</c:v>
                </c:pt>
                <c:pt idx="34">
                  <c:v>375.60615822359978</c:v>
                </c:pt>
                <c:pt idx="35">
                  <c:v>395.01138443660466</c:v>
                </c:pt>
                <c:pt idx="36">
                  <c:v>414.39595763230847</c:v>
                </c:pt>
                <c:pt idx="37">
                  <c:v>355.24704452320003</c:v>
                </c:pt>
                <c:pt idx="38">
                  <c:v>373.74425409046029</c:v>
                </c:pt>
                <c:pt idx="39">
                  <c:v>392.22152076799495</c:v>
                </c:pt>
                <c:pt idx="40">
                  <c:v>410.6799158393672</c:v>
                </c:pt>
                <c:pt idx="41">
                  <c:v>429.12040646848072</c:v>
                </c:pt>
                <c:pt idx="42">
                  <c:v>447.54386995067097</c:v>
                </c:pt>
                <c:pt idx="43">
                  <c:v>392.26580767185396</c:v>
                </c:pt>
                <c:pt idx="44">
                  <c:v>409.44107422908195</c:v>
                </c:pt>
                <c:pt idx="45">
                  <c:v>426.60078727178939</c:v>
                </c:pt>
                <c:pt idx="46">
                  <c:v>443.74566024874019</c:v>
                </c:pt>
                <c:pt idx="47">
                  <c:v>460.87634700218206</c:v>
                </c:pt>
                <c:pt idx="48">
                  <c:v>477.99344882393416</c:v>
                </c:pt>
                <c:pt idx="49">
                  <c:v>429.42981141856944</c:v>
                </c:pt>
                <c:pt idx="50">
                  <c:v>444.71736133815199</c:v>
                </c:pt>
                <c:pt idx="51">
                  <c:v>459.99365893934191</c:v>
                </c:pt>
                <c:pt idx="52">
                  <c:v>475.25913042471711</c:v>
                </c:pt>
                <c:pt idx="53">
                  <c:v>490.51417239279317</c:v>
                </c:pt>
                <c:pt idx="54">
                  <c:v>505.75915477017446</c:v>
                </c:pt>
                <c:pt idx="55">
                  <c:v>460.01572658133705</c:v>
                </c:pt>
                <c:pt idx="56">
                  <c:v>476.31761585408549</c:v>
                </c:pt>
                <c:pt idx="57">
                  <c:v>492.60764062836614</c:v>
                </c:pt>
                <c:pt idx="58">
                  <c:v>508.88624832362757</c:v>
                </c:pt>
                <c:pt idx="59">
                  <c:v>525.15385541340027</c:v>
                </c:pt>
                <c:pt idx="60">
                  <c:v>541.41085047775289</c:v>
                </c:pt>
                <c:pt idx="61">
                  <c:v>541.41085047775289</c:v>
                </c:pt>
                <c:pt idx="62">
                  <c:v>541.41085047775289</c:v>
                </c:pt>
                <c:pt idx="63">
                  <c:v>541.41085047775289</c:v>
                </c:pt>
                <c:pt idx="64">
                  <c:v>541.41085047775289</c:v>
                </c:pt>
                <c:pt idx="65">
                  <c:v>541.41085047775289</c:v>
                </c:pt>
                <c:pt idx="66">
                  <c:v>541.41085047775289</c:v>
                </c:pt>
                <c:pt idx="67">
                  <c:v>541.41085047775289</c:v>
                </c:pt>
                <c:pt idx="68">
                  <c:v>541.41085047775289</c:v>
                </c:pt>
                <c:pt idx="69">
                  <c:v>541.41085047775289</c:v>
                </c:pt>
                <c:pt idx="70">
                  <c:v>541.41085047775289</c:v>
                </c:pt>
                <c:pt idx="71">
                  <c:v>541.41085047775289</c:v>
                </c:pt>
                <c:pt idx="72">
                  <c:v>541.41085047775289</c:v>
                </c:pt>
                <c:pt idx="73">
                  <c:v>541.41085047775289</c:v>
                </c:pt>
                <c:pt idx="74">
                  <c:v>541.41085047775289</c:v>
                </c:pt>
                <c:pt idx="75">
                  <c:v>541.41085047775289</c:v>
                </c:pt>
                <c:pt idx="76">
                  <c:v>541.41085047775289</c:v>
                </c:pt>
                <c:pt idx="77">
                  <c:v>541.41085047775289</c:v>
                </c:pt>
                <c:pt idx="78">
                  <c:v>541.41085047775289</c:v>
                </c:pt>
                <c:pt idx="79">
                  <c:v>541.41085047775289</c:v>
                </c:pt>
                <c:pt idx="80">
                  <c:v>541.41085047775289</c:v>
                </c:pt>
                <c:pt idx="81">
                  <c:v>541.41085047775289</c:v>
                </c:pt>
                <c:pt idx="82">
                  <c:v>541.41085047775289</c:v>
                </c:pt>
                <c:pt idx="83">
                  <c:v>541.41085047775289</c:v>
                </c:pt>
                <c:pt idx="84">
                  <c:v>541.41085047775289</c:v>
                </c:pt>
                <c:pt idx="85">
                  <c:v>541.41085047775289</c:v>
                </c:pt>
                <c:pt idx="86">
                  <c:v>541.41085047775289</c:v>
                </c:pt>
                <c:pt idx="87">
                  <c:v>541.41085047775289</c:v>
                </c:pt>
                <c:pt idx="88">
                  <c:v>541.41085047775289</c:v>
                </c:pt>
                <c:pt idx="89">
                  <c:v>541.41085047775289</c:v>
                </c:pt>
                <c:pt idx="90">
                  <c:v>541.41085047775289</c:v>
                </c:pt>
                <c:pt idx="91">
                  <c:v>541.41085047775289</c:v>
                </c:pt>
                <c:pt idx="92">
                  <c:v>541.41085047775289</c:v>
                </c:pt>
                <c:pt idx="93">
                  <c:v>541.41085047775289</c:v>
                </c:pt>
                <c:pt idx="94">
                  <c:v>541.41085047775289</c:v>
                </c:pt>
                <c:pt idx="95">
                  <c:v>541.41085047775289</c:v>
                </c:pt>
                <c:pt idx="96">
                  <c:v>541.41085047775289</c:v>
                </c:pt>
                <c:pt idx="97">
                  <c:v>541.41085047775289</c:v>
                </c:pt>
                <c:pt idx="98">
                  <c:v>541.41085047775289</c:v>
                </c:pt>
                <c:pt idx="99">
                  <c:v>541.41085047775289</c:v>
                </c:pt>
                <c:pt idx="100">
                  <c:v>541.41085047775289</c:v>
                </c:pt>
                <c:pt idx="101">
                  <c:v>541.41085047775289</c:v>
                </c:pt>
                <c:pt idx="102">
                  <c:v>541.41085047775289</c:v>
                </c:pt>
                <c:pt idx="103">
                  <c:v>541.41085047775289</c:v>
                </c:pt>
                <c:pt idx="104">
                  <c:v>541.41085047775289</c:v>
                </c:pt>
                <c:pt idx="105">
                  <c:v>541.41085047775289</c:v>
                </c:pt>
                <c:pt idx="106">
                  <c:v>541.41085047775289</c:v>
                </c:pt>
                <c:pt idx="107">
                  <c:v>541.41085047775289</c:v>
                </c:pt>
                <c:pt idx="108">
                  <c:v>541.41085047775289</c:v>
                </c:pt>
                <c:pt idx="109">
                  <c:v>541.41085047775289</c:v>
                </c:pt>
                <c:pt idx="110">
                  <c:v>541.41085047775289</c:v>
                </c:pt>
                <c:pt idx="111">
                  <c:v>541.41085047775289</c:v>
                </c:pt>
                <c:pt idx="112">
                  <c:v>541.41085047775289</c:v>
                </c:pt>
                <c:pt idx="113">
                  <c:v>541.41085047775289</c:v>
                </c:pt>
                <c:pt idx="114">
                  <c:v>541.41085047775289</c:v>
                </c:pt>
                <c:pt idx="115">
                  <c:v>541.41085047775289</c:v>
                </c:pt>
                <c:pt idx="116">
                  <c:v>541.41085047775289</c:v>
                </c:pt>
                <c:pt idx="117">
                  <c:v>541.41085047775289</c:v>
                </c:pt>
                <c:pt idx="118">
                  <c:v>541.41085047775289</c:v>
                </c:pt>
                <c:pt idx="119">
                  <c:v>541.41085047775289</c:v>
                </c:pt>
                <c:pt idx="120">
                  <c:v>541.41085047775289</c:v>
                </c:pt>
                <c:pt idx="121">
                  <c:v>541.41085047775289</c:v>
                </c:pt>
                <c:pt idx="122">
                  <c:v>541.41085047775289</c:v>
                </c:pt>
                <c:pt idx="123">
                  <c:v>541.41085047775289</c:v>
                </c:pt>
                <c:pt idx="124">
                  <c:v>541.41085047775289</c:v>
                </c:pt>
                <c:pt idx="125">
                  <c:v>541.41085047775289</c:v>
                </c:pt>
                <c:pt idx="126">
                  <c:v>541.41085047775289</c:v>
                </c:pt>
                <c:pt idx="127">
                  <c:v>541.41085047775289</c:v>
                </c:pt>
                <c:pt idx="128">
                  <c:v>541.41085047775289</c:v>
                </c:pt>
                <c:pt idx="129">
                  <c:v>541.41085047775289</c:v>
                </c:pt>
                <c:pt idx="130">
                  <c:v>541.41085047775289</c:v>
                </c:pt>
                <c:pt idx="131">
                  <c:v>541.41085047775289</c:v>
                </c:pt>
                <c:pt idx="132">
                  <c:v>541.41085047775289</c:v>
                </c:pt>
                <c:pt idx="133">
                  <c:v>541.41085047775289</c:v>
                </c:pt>
                <c:pt idx="134">
                  <c:v>541.41085047775289</c:v>
                </c:pt>
                <c:pt idx="135">
                  <c:v>541.41085047775289</c:v>
                </c:pt>
                <c:pt idx="136">
                  <c:v>541.41085047775289</c:v>
                </c:pt>
                <c:pt idx="137">
                  <c:v>541.41085047775289</c:v>
                </c:pt>
                <c:pt idx="138">
                  <c:v>541.41085047775289</c:v>
                </c:pt>
                <c:pt idx="139">
                  <c:v>541.41085047775289</c:v>
                </c:pt>
                <c:pt idx="140">
                  <c:v>541.41085047775289</c:v>
                </c:pt>
                <c:pt idx="141">
                  <c:v>541.41085047775289</c:v>
                </c:pt>
                <c:pt idx="142">
                  <c:v>541.41085047775289</c:v>
                </c:pt>
                <c:pt idx="143">
                  <c:v>541.41085047775289</c:v>
                </c:pt>
                <c:pt idx="144">
                  <c:v>541.41085047775289</c:v>
                </c:pt>
                <c:pt idx="145">
                  <c:v>541.41085047775289</c:v>
                </c:pt>
                <c:pt idx="146">
                  <c:v>541.41085047775289</c:v>
                </c:pt>
                <c:pt idx="147">
                  <c:v>541.41085047775289</c:v>
                </c:pt>
                <c:pt idx="148">
                  <c:v>541.41085047775289</c:v>
                </c:pt>
                <c:pt idx="149">
                  <c:v>541.41085047775289</c:v>
                </c:pt>
                <c:pt idx="150">
                  <c:v>541.41085047775289</c:v>
                </c:pt>
                <c:pt idx="151">
                  <c:v>541.41085047775289</c:v>
                </c:pt>
                <c:pt idx="152">
                  <c:v>541.41085047775289</c:v>
                </c:pt>
                <c:pt idx="153">
                  <c:v>541.41085047775289</c:v>
                </c:pt>
                <c:pt idx="154">
                  <c:v>541.41085047775289</c:v>
                </c:pt>
                <c:pt idx="155">
                  <c:v>541.41085047775289</c:v>
                </c:pt>
                <c:pt idx="156">
                  <c:v>541.41085047775289</c:v>
                </c:pt>
                <c:pt idx="157">
                  <c:v>541.41085047775289</c:v>
                </c:pt>
                <c:pt idx="158">
                  <c:v>541.41085047775289</c:v>
                </c:pt>
                <c:pt idx="159">
                  <c:v>541.41085047775289</c:v>
                </c:pt>
                <c:pt idx="160">
                  <c:v>541.41085047775289</c:v>
                </c:pt>
                <c:pt idx="161">
                  <c:v>541.41085047775289</c:v>
                </c:pt>
                <c:pt idx="162">
                  <c:v>541.41085047775289</c:v>
                </c:pt>
                <c:pt idx="163">
                  <c:v>541.41085047775289</c:v>
                </c:pt>
                <c:pt idx="164">
                  <c:v>541.41085047775289</c:v>
                </c:pt>
                <c:pt idx="165">
                  <c:v>541.41085047775289</c:v>
                </c:pt>
                <c:pt idx="166">
                  <c:v>541.41085047775289</c:v>
                </c:pt>
                <c:pt idx="167">
                  <c:v>541.41085047775289</c:v>
                </c:pt>
                <c:pt idx="168">
                  <c:v>541.41085047775289</c:v>
                </c:pt>
                <c:pt idx="169">
                  <c:v>541.41085047775289</c:v>
                </c:pt>
                <c:pt idx="170">
                  <c:v>541.41085047775289</c:v>
                </c:pt>
                <c:pt idx="171">
                  <c:v>541.41085047775289</c:v>
                </c:pt>
                <c:pt idx="172">
                  <c:v>541.41085047775289</c:v>
                </c:pt>
                <c:pt idx="173">
                  <c:v>541.41085047775289</c:v>
                </c:pt>
                <c:pt idx="174">
                  <c:v>541.41085047775289</c:v>
                </c:pt>
                <c:pt idx="175">
                  <c:v>541.41085047775289</c:v>
                </c:pt>
                <c:pt idx="176">
                  <c:v>541.41085047775289</c:v>
                </c:pt>
                <c:pt idx="177">
                  <c:v>541.41085047775289</c:v>
                </c:pt>
                <c:pt idx="178">
                  <c:v>541.41085047775289</c:v>
                </c:pt>
                <c:pt idx="179">
                  <c:v>541.41085047775289</c:v>
                </c:pt>
                <c:pt idx="180">
                  <c:v>541.41085047775289</c:v>
                </c:pt>
                <c:pt idx="181">
                  <c:v>541.41085047775289</c:v>
                </c:pt>
                <c:pt idx="182">
                  <c:v>541.41085047775289</c:v>
                </c:pt>
                <c:pt idx="183">
                  <c:v>541.41085047775289</c:v>
                </c:pt>
                <c:pt idx="184">
                  <c:v>541.41085047775289</c:v>
                </c:pt>
                <c:pt idx="185">
                  <c:v>541.41085047775289</c:v>
                </c:pt>
                <c:pt idx="186">
                  <c:v>541.41085047775289</c:v>
                </c:pt>
                <c:pt idx="187">
                  <c:v>541.41085047775289</c:v>
                </c:pt>
                <c:pt idx="188">
                  <c:v>541.41085047775289</c:v>
                </c:pt>
                <c:pt idx="189">
                  <c:v>541.41085047775289</c:v>
                </c:pt>
                <c:pt idx="190">
                  <c:v>541.41085047775289</c:v>
                </c:pt>
                <c:pt idx="191">
                  <c:v>541.41085047775289</c:v>
                </c:pt>
                <c:pt idx="192">
                  <c:v>541.41085047775289</c:v>
                </c:pt>
                <c:pt idx="193">
                  <c:v>541.41085047775289</c:v>
                </c:pt>
                <c:pt idx="194">
                  <c:v>541.41085047775289</c:v>
                </c:pt>
                <c:pt idx="195">
                  <c:v>541.41085047775289</c:v>
                </c:pt>
                <c:pt idx="196">
                  <c:v>541.41085047775289</c:v>
                </c:pt>
                <c:pt idx="197">
                  <c:v>541.41085047775289</c:v>
                </c:pt>
                <c:pt idx="198">
                  <c:v>541.41085047775289</c:v>
                </c:pt>
                <c:pt idx="199">
                  <c:v>541.41085047775289</c:v>
                </c:pt>
                <c:pt idx="200">
                  <c:v>541.41085047775289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1.56682834306264</c:v>
                </c:pt>
                <c:pt idx="2">
                  <c:v>1.9515586563673146</c:v>
                </c:pt>
                <c:pt idx="3">
                  <c:v>2.4311331858959355</c:v>
                </c:pt>
                <c:pt idx="4">
                  <c:v>3.0290204687505287</c:v>
                </c:pt>
                <c:pt idx="5">
                  <c:v>3.7745164777294953</c:v>
                </c:pt>
                <c:pt idx="6">
                  <c:v>4.7041963241079152</c:v>
                </c:pt>
                <c:pt idx="7">
                  <c:v>5.8637286860828803</c:v>
                </c:pt>
                <c:pt idx="8">
                  <c:v>7.3101438436548882</c:v>
                </c:pt>
                <c:pt idx="9">
                  <c:v>9.1146690280129867</c:v>
                </c:pt>
                <c:pt idx="10">
                  <c:v>11.36627336758013</c:v>
                </c:pt>
                <c:pt idx="11">
                  <c:v>14.17610048349583</c:v>
                </c:pt>
                <c:pt idx="12">
                  <c:v>17.683011570607853</c:v>
                </c:pt>
                <c:pt idx="13">
                  <c:v>22.060517871315398</c:v>
                </c:pt>
                <c:pt idx="14">
                  <c:v>27.525451659590289</c:v>
                </c:pt>
                <c:pt idx="15">
                  <c:v>34.348812773132863</c:v>
                </c:pt>
                <c:pt idx="16">
                  <c:v>42.869337838761396</c:v>
                </c:pt>
                <c:pt idx="17">
                  <c:v>53.510477238691315</c:v>
                </c:pt>
                <c:pt idx="18">
                  <c:v>66.801637592516627</c:v>
                </c:pt>
                <c:pt idx="19">
                  <c:v>83.404763891104167</c:v>
                </c:pt>
                <c:pt idx="20">
                  <c:v>104.14760645595801</c:v>
                </c:pt>
                <c:pt idx="21">
                  <c:v>127.11253918063214</c:v>
                </c:pt>
                <c:pt idx="22">
                  <c:v>149.97665864664586</c:v>
                </c:pt>
                <c:pt idx="23">
                  <c:v>172.75753768358138</c:v>
                </c:pt>
                <c:pt idx="24">
                  <c:v>195.46771204542458</c:v>
                </c:pt>
                <c:pt idx="25">
                  <c:v>218.11655701113489</c:v>
                </c:pt>
                <c:pt idx="26">
                  <c:v>200.04371845798326</c:v>
                </c:pt>
                <c:pt idx="27">
                  <c:v>223.51080986258512</c:v>
                </c:pt>
                <c:pt idx="28">
                  <c:v>246.92139570839663</c:v>
                </c:pt>
                <c:pt idx="29">
                  <c:v>270.28158571749628</c:v>
                </c:pt>
                <c:pt idx="30">
                  <c:v>293.59634643573321</c:v>
                </c:pt>
                <c:pt idx="31">
                  <c:v>259.33097340507084</c:v>
                </c:pt>
                <c:pt idx="32">
                  <c:v>282.87279326057325</c:v>
                </c:pt>
                <c:pt idx="33">
                  <c:v>306.37072816439314</c:v>
                </c:pt>
                <c:pt idx="34">
                  <c:v>329.82861536294081</c:v>
                </c:pt>
                <c:pt idx="35">
                  <c:v>353.24970174806907</c:v>
                </c:pt>
                <c:pt idx="36">
                  <c:v>318.72175863019015</c:v>
                </c:pt>
                <c:pt idx="37">
                  <c:v>341.74902087812717</c:v>
                </c:pt>
                <c:pt idx="38">
                  <c:v>364.74217919503576</c:v>
                </c:pt>
                <c:pt idx="39">
                  <c:v>387.70368425262313</c:v>
                </c:pt>
                <c:pt idx="40">
                  <c:v>410.63567288724431</c:v>
                </c:pt>
                <c:pt idx="41">
                  <c:v>375.81671803823662</c:v>
                </c:pt>
                <c:pt idx="42">
                  <c:v>398.35423019530703</c:v>
                </c:pt>
                <c:pt idx="43">
                  <c:v>420.86414095510594</c:v>
                </c:pt>
                <c:pt idx="44">
                  <c:v>443.34813303170972</c:v>
                </c:pt>
                <c:pt idx="45">
                  <c:v>465.80770465502854</c:v>
                </c:pt>
                <c:pt idx="46">
                  <c:v>429.8607603280729</c:v>
                </c:pt>
                <c:pt idx="47">
                  <c:v>451.10958398301227</c:v>
                </c:pt>
                <c:pt idx="48">
                  <c:v>472.33700882458015</c:v>
                </c:pt>
                <c:pt idx="49">
                  <c:v>493.54413108237253</c:v>
                </c:pt>
                <c:pt idx="50">
                  <c:v>514.7319451649156</c:v>
                </c:pt>
                <c:pt idx="51">
                  <c:v>477.84461345904657</c:v>
                </c:pt>
                <c:pt idx="52">
                  <c:v>498.02774711878288</c:v>
                </c:pt>
                <c:pt idx="53">
                  <c:v>518.19356511217518</c:v>
                </c:pt>
                <c:pt idx="54">
                  <c:v>538.34283558995924</c:v>
                </c:pt>
                <c:pt idx="55">
                  <c:v>558.47626455761349</c:v>
                </c:pt>
                <c:pt idx="56">
                  <c:v>520.43317668284192</c:v>
                </c:pt>
                <c:pt idx="57">
                  <c:v>539.36004959113382</c:v>
                </c:pt>
                <c:pt idx="58">
                  <c:v>558.27297358605381</c:v>
                </c:pt>
                <c:pt idx="59">
                  <c:v>577.17248738598266</c:v>
                </c:pt>
                <c:pt idx="60">
                  <c:v>596.05909157925146</c:v>
                </c:pt>
                <c:pt idx="61">
                  <c:v>563.15153054519317</c:v>
                </c:pt>
                <c:pt idx="62">
                  <c:v>581.03207454331687</c:v>
                </c:pt>
                <c:pt idx="63">
                  <c:v>598.90114770016919</c:v>
                </c:pt>
                <c:pt idx="64">
                  <c:v>616.75914019863114</c:v>
                </c:pt>
                <c:pt idx="65">
                  <c:v>634.6064178016826</c:v>
                </c:pt>
                <c:pt idx="66">
                  <c:v>605.59917324731964</c:v>
                </c:pt>
                <c:pt idx="67">
                  <c:v>622.2361325587384</c:v>
                </c:pt>
                <c:pt idx="68">
                  <c:v>638.86388198088457</c:v>
                </c:pt>
                <c:pt idx="69">
                  <c:v>655.48269480622912</c:v>
                </c:pt>
                <c:pt idx="70">
                  <c:v>672.09282935000272</c:v>
                </c:pt>
                <c:pt idx="71">
                  <c:v>643.7288379888613</c:v>
                </c:pt>
                <c:pt idx="72">
                  <c:v>658.92696408207837</c:v>
                </c:pt>
                <c:pt idx="73">
                  <c:v>674.11787378938334</c:v>
                </c:pt>
                <c:pt idx="74">
                  <c:v>689.30175252594472</c:v>
                </c:pt>
                <c:pt idx="75">
                  <c:v>704.47877687813843</c:v>
                </c:pt>
                <c:pt idx="76">
                  <c:v>676.5477621777851</c:v>
                </c:pt>
                <c:pt idx="77">
                  <c:v>691.12335396700757</c:v>
                </c:pt>
                <c:pt idx="78">
                  <c:v>705.69264781395941</c:v>
                </c:pt>
                <c:pt idx="79">
                  <c:v>720.25579197078662</c:v>
                </c:pt>
                <c:pt idx="80">
                  <c:v>734.81292821003478</c:v>
                </c:pt>
                <c:pt idx="81">
                  <c:v>693.34962213319261</c:v>
                </c:pt>
                <c:pt idx="82">
                  <c:v>693.34962213319261</c:v>
                </c:pt>
                <c:pt idx="83">
                  <c:v>693.34962213319261</c:v>
                </c:pt>
                <c:pt idx="84">
                  <c:v>693.34962213319261</c:v>
                </c:pt>
                <c:pt idx="85">
                  <c:v>693.34962213319261</c:v>
                </c:pt>
                <c:pt idx="86">
                  <c:v>693.34962213319261</c:v>
                </c:pt>
                <c:pt idx="87">
                  <c:v>693.34962213319261</c:v>
                </c:pt>
                <c:pt idx="88">
                  <c:v>693.34962213319261</c:v>
                </c:pt>
                <c:pt idx="89">
                  <c:v>693.34962213319261</c:v>
                </c:pt>
                <c:pt idx="90">
                  <c:v>693.34962213319261</c:v>
                </c:pt>
                <c:pt idx="91">
                  <c:v>693.34962213319261</c:v>
                </c:pt>
                <c:pt idx="92">
                  <c:v>693.34962213319261</c:v>
                </c:pt>
                <c:pt idx="93">
                  <c:v>693.34962213319261</c:v>
                </c:pt>
                <c:pt idx="94">
                  <c:v>693.34962213319261</c:v>
                </c:pt>
                <c:pt idx="95">
                  <c:v>693.34962213319261</c:v>
                </c:pt>
                <c:pt idx="96">
                  <c:v>693.34962213319261</c:v>
                </c:pt>
                <c:pt idx="97">
                  <c:v>693.34962213319261</c:v>
                </c:pt>
                <c:pt idx="98">
                  <c:v>693.34962213319261</c:v>
                </c:pt>
                <c:pt idx="99">
                  <c:v>693.34962213319261</c:v>
                </c:pt>
                <c:pt idx="100">
                  <c:v>693.34962213319261</c:v>
                </c:pt>
                <c:pt idx="101">
                  <c:v>693.34962213319261</c:v>
                </c:pt>
                <c:pt idx="102">
                  <c:v>693.34962213319261</c:v>
                </c:pt>
                <c:pt idx="103">
                  <c:v>693.34962213319261</c:v>
                </c:pt>
                <c:pt idx="104">
                  <c:v>693.34962213319261</c:v>
                </c:pt>
                <c:pt idx="105">
                  <c:v>693.34962213319261</c:v>
                </c:pt>
                <c:pt idx="106">
                  <c:v>693.34962213319261</c:v>
                </c:pt>
                <c:pt idx="107">
                  <c:v>693.34962213319261</c:v>
                </c:pt>
                <c:pt idx="108">
                  <c:v>693.34962213319261</c:v>
                </c:pt>
                <c:pt idx="109">
                  <c:v>693.34962213319261</c:v>
                </c:pt>
                <c:pt idx="110">
                  <c:v>693.34962213319261</c:v>
                </c:pt>
                <c:pt idx="111">
                  <c:v>693.34962213319261</c:v>
                </c:pt>
                <c:pt idx="112">
                  <c:v>693.34962213319261</c:v>
                </c:pt>
                <c:pt idx="113">
                  <c:v>693.34962213319261</c:v>
                </c:pt>
                <c:pt idx="114">
                  <c:v>693.34962213319261</c:v>
                </c:pt>
                <c:pt idx="115">
                  <c:v>693.34962213319261</c:v>
                </c:pt>
                <c:pt idx="116">
                  <c:v>693.34962213319261</c:v>
                </c:pt>
                <c:pt idx="117">
                  <c:v>693.34962213319261</c:v>
                </c:pt>
                <c:pt idx="118">
                  <c:v>693.34962213319261</c:v>
                </c:pt>
                <c:pt idx="119">
                  <c:v>693.34962213319261</c:v>
                </c:pt>
                <c:pt idx="120">
                  <c:v>693.34962213319261</c:v>
                </c:pt>
                <c:pt idx="121">
                  <c:v>693.34962213319261</c:v>
                </c:pt>
                <c:pt idx="122">
                  <c:v>693.34962213319261</c:v>
                </c:pt>
                <c:pt idx="123">
                  <c:v>693.34962213319261</c:v>
                </c:pt>
                <c:pt idx="124">
                  <c:v>693.34962213319261</c:v>
                </c:pt>
                <c:pt idx="125">
                  <c:v>693.34962213319261</c:v>
                </c:pt>
                <c:pt idx="126">
                  <c:v>693.34962213319261</c:v>
                </c:pt>
                <c:pt idx="127">
                  <c:v>693.34962213319261</c:v>
                </c:pt>
                <c:pt idx="128">
                  <c:v>693.34962213319261</c:v>
                </c:pt>
                <c:pt idx="129">
                  <c:v>693.34962213319261</c:v>
                </c:pt>
                <c:pt idx="130">
                  <c:v>693.34962213319261</c:v>
                </c:pt>
                <c:pt idx="131">
                  <c:v>693.34962213319261</c:v>
                </c:pt>
                <c:pt idx="132">
                  <c:v>693.34962213319261</c:v>
                </c:pt>
                <c:pt idx="133">
                  <c:v>693.34962213319261</c:v>
                </c:pt>
                <c:pt idx="134">
                  <c:v>693.34962213319261</c:v>
                </c:pt>
                <c:pt idx="135">
                  <c:v>693.34962213319261</c:v>
                </c:pt>
                <c:pt idx="136">
                  <c:v>693.34962213319261</c:v>
                </c:pt>
                <c:pt idx="137">
                  <c:v>693.34962213319261</c:v>
                </c:pt>
                <c:pt idx="138">
                  <c:v>693.34962213319261</c:v>
                </c:pt>
                <c:pt idx="139">
                  <c:v>693.34962213319261</c:v>
                </c:pt>
                <c:pt idx="140">
                  <c:v>693.34962213319261</c:v>
                </c:pt>
                <c:pt idx="141">
                  <c:v>693.34962213319261</c:v>
                </c:pt>
                <c:pt idx="142">
                  <c:v>693.34962213319261</c:v>
                </c:pt>
                <c:pt idx="143">
                  <c:v>693.34962213319261</c:v>
                </c:pt>
                <c:pt idx="144">
                  <c:v>693.34962213319261</c:v>
                </c:pt>
                <c:pt idx="145">
                  <c:v>693.34962213319261</c:v>
                </c:pt>
                <c:pt idx="146">
                  <c:v>693.34962213319261</c:v>
                </c:pt>
                <c:pt idx="147">
                  <c:v>693.34962213319261</c:v>
                </c:pt>
                <c:pt idx="148">
                  <c:v>693.34962213319261</c:v>
                </c:pt>
                <c:pt idx="149">
                  <c:v>693.34962213319261</c:v>
                </c:pt>
                <c:pt idx="150">
                  <c:v>693.34962213319261</c:v>
                </c:pt>
                <c:pt idx="151">
                  <c:v>693.34962213319261</c:v>
                </c:pt>
                <c:pt idx="152">
                  <c:v>693.34962213319261</c:v>
                </c:pt>
                <c:pt idx="153">
                  <c:v>693.34962213319261</c:v>
                </c:pt>
                <c:pt idx="154">
                  <c:v>693.34962213319261</c:v>
                </c:pt>
                <c:pt idx="155">
                  <c:v>693.34962213319261</c:v>
                </c:pt>
                <c:pt idx="156">
                  <c:v>693.34962213319261</c:v>
                </c:pt>
                <c:pt idx="157">
                  <c:v>693.34962213319261</c:v>
                </c:pt>
                <c:pt idx="158">
                  <c:v>693.34962213319261</c:v>
                </c:pt>
                <c:pt idx="159">
                  <c:v>693.34962213319261</c:v>
                </c:pt>
                <c:pt idx="160">
                  <c:v>693.34962213319261</c:v>
                </c:pt>
                <c:pt idx="161">
                  <c:v>693.34962213319261</c:v>
                </c:pt>
                <c:pt idx="162">
                  <c:v>693.34962213319261</c:v>
                </c:pt>
                <c:pt idx="163">
                  <c:v>693.34962213319261</c:v>
                </c:pt>
                <c:pt idx="164">
                  <c:v>693.34962213319261</c:v>
                </c:pt>
                <c:pt idx="165">
                  <c:v>693.34962213319261</c:v>
                </c:pt>
                <c:pt idx="166">
                  <c:v>693.34962213319261</c:v>
                </c:pt>
                <c:pt idx="167">
                  <c:v>693.34962213319261</c:v>
                </c:pt>
                <c:pt idx="168">
                  <c:v>693.34962213319261</c:v>
                </c:pt>
                <c:pt idx="169">
                  <c:v>693.34962213319261</c:v>
                </c:pt>
                <c:pt idx="170">
                  <c:v>693.34962213319261</c:v>
                </c:pt>
                <c:pt idx="171">
                  <c:v>693.34962213319261</c:v>
                </c:pt>
                <c:pt idx="172">
                  <c:v>693.34962213319261</c:v>
                </c:pt>
                <c:pt idx="173">
                  <c:v>693.34962213319261</c:v>
                </c:pt>
                <c:pt idx="174">
                  <c:v>693.34962213319261</c:v>
                </c:pt>
                <c:pt idx="175">
                  <c:v>693.34962213319261</c:v>
                </c:pt>
                <c:pt idx="176">
                  <c:v>693.34962213319261</c:v>
                </c:pt>
                <c:pt idx="177">
                  <c:v>693.34962213319261</c:v>
                </c:pt>
                <c:pt idx="178">
                  <c:v>693.34962213319261</c:v>
                </c:pt>
                <c:pt idx="179">
                  <c:v>693.34962213319261</c:v>
                </c:pt>
                <c:pt idx="180">
                  <c:v>693.34962213319261</c:v>
                </c:pt>
                <c:pt idx="181">
                  <c:v>693.34962213319261</c:v>
                </c:pt>
                <c:pt idx="182">
                  <c:v>693.34962213319261</c:v>
                </c:pt>
                <c:pt idx="183">
                  <c:v>693.34962213319261</c:v>
                </c:pt>
                <c:pt idx="184">
                  <c:v>693.34962213319261</c:v>
                </c:pt>
                <c:pt idx="185">
                  <c:v>693.34962213319261</c:v>
                </c:pt>
                <c:pt idx="186">
                  <c:v>693.34962213319261</c:v>
                </c:pt>
                <c:pt idx="187">
                  <c:v>693.34962213319261</c:v>
                </c:pt>
                <c:pt idx="188">
                  <c:v>693.34962213319261</c:v>
                </c:pt>
                <c:pt idx="189">
                  <c:v>693.34962213319261</c:v>
                </c:pt>
                <c:pt idx="190">
                  <c:v>693.34962213319261</c:v>
                </c:pt>
                <c:pt idx="191">
                  <c:v>693.34962213319261</c:v>
                </c:pt>
                <c:pt idx="192">
                  <c:v>693.34962213319261</c:v>
                </c:pt>
                <c:pt idx="193">
                  <c:v>693.34962213319261</c:v>
                </c:pt>
                <c:pt idx="194">
                  <c:v>693.34962213319261</c:v>
                </c:pt>
                <c:pt idx="195">
                  <c:v>693.34962213319261</c:v>
                </c:pt>
                <c:pt idx="196">
                  <c:v>693.34962213319261</c:v>
                </c:pt>
                <c:pt idx="197">
                  <c:v>693.34962213319261</c:v>
                </c:pt>
                <c:pt idx="198">
                  <c:v>693.34962213319261</c:v>
                </c:pt>
                <c:pt idx="199">
                  <c:v>693.34962213319261</c:v>
                </c:pt>
                <c:pt idx="200">
                  <c:v>693.34962213319261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587.88248808694345</c:v>
                </c:pt>
                <c:pt idx="82">
                  <c:v>587.88248808694345</c:v>
                </c:pt>
                <c:pt idx="83">
                  <c:v>587.88248808694345</c:v>
                </c:pt>
                <c:pt idx="84">
                  <c:v>587.88248808694345</c:v>
                </c:pt>
                <c:pt idx="85">
                  <c:v>587.88248808694345</c:v>
                </c:pt>
                <c:pt idx="86">
                  <c:v>587.88248808694345</c:v>
                </c:pt>
                <c:pt idx="87">
                  <c:v>587.88248808694345</c:v>
                </c:pt>
                <c:pt idx="88">
                  <c:v>587.88248808694345</c:v>
                </c:pt>
                <c:pt idx="89">
                  <c:v>587.88248808694345</c:v>
                </c:pt>
                <c:pt idx="90">
                  <c:v>587.88248808694345</c:v>
                </c:pt>
                <c:pt idx="91">
                  <c:v>587.88248808694345</c:v>
                </c:pt>
                <c:pt idx="92">
                  <c:v>587.88248808694345</c:v>
                </c:pt>
                <c:pt idx="93">
                  <c:v>587.88248808694345</c:v>
                </c:pt>
                <c:pt idx="94">
                  <c:v>587.88248808694345</c:v>
                </c:pt>
                <c:pt idx="95">
                  <c:v>587.88248808694345</c:v>
                </c:pt>
                <c:pt idx="96">
                  <c:v>587.88248808694345</c:v>
                </c:pt>
                <c:pt idx="97">
                  <c:v>587.88248808694345</c:v>
                </c:pt>
                <c:pt idx="98">
                  <c:v>587.88248808694345</c:v>
                </c:pt>
                <c:pt idx="99">
                  <c:v>587.88248808694345</c:v>
                </c:pt>
                <c:pt idx="100">
                  <c:v>587.88248808694345</c:v>
                </c:pt>
                <c:pt idx="101">
                  <c:v>587.88248808694345</c:v>
                </c:pt>
                <c:pt idx="102">
                  <c:v>587.88248808694345</c:v>
                </c:pt>
                <c:pt idx="103">
                  <c:v>587.88248808694345</c:v>
                </c:pt>
                <c:pt idx="104">
                  <c:v>587.88248808694345</c:v>
                </c:pt>
                <c:pt idx="105">
                  <c:v>587.88248808694345</c:v>
                </c:pt>
                <c:pt idx="106">
                  <c:v>587.88248808694345</c:v>
                </c:pt>
                <c:pt idx="107">
                  <c:v>587.88248808694345</c:v>
                </c:pt>
                <c:pt idx="108">
                  <c:v>587.88248808694345</c:v>
                </c:pt>
                <c:pt idx="109">
                  <c:v>587.88248808694345</c:v>
                </c:pt>
                <c:pt idx="110">
                  <c:v>587.88248808694345</c:v>
                </c:pt>
                <c:pt idx="111">
                  <c:v>587.88248808694345</c:v>
                </c:pt>
                <c:pt idx="112">
                  <c:v>587.88248808694345</c:v>
                </c:pt>
                <c:pt idx="113">
                  <c:v>587.88248808694345</c:v>
                </c:pt>
                <c:pt idx="114">
                  <c:v>587.88248808694345</c:v>
                </c:pt>
                <c:pt idx="115">
                  <c:v>587.88248808694345</c:v>
                </c:pt>
                <c:pt idx="116">
                  <c:v>587.88248808694345</c:v>
                </c:pt>
                <c:pt idx="117">
                  <c:v>587.88248808694345</c:v>
                </c:pt>
                <c:pt idx="118">
                  <c:v>587.88248808694345</c:v>
                </c:pt>
                <c:pt idx="119">
                  <c:v>587.88248808694345</c:v>
                </c:pt>
                <c:pt idx="120">
                  <c:v>587.88248808694345</c:v>
                </c:pt>
                <c:pt idx="121">
                  <c:v>587.88248808694345</c:v>
                </c:pt>
                <c:pt idx="122">
                  <c:v>587.88248808694345</c:v>
                </c:pt>
                <c:pt idx="123">
                  <c:v>587.88248808694345</c:v>
                </c:pt>
                <c:pt idx="124">
                  <c:v>587.88248808694345</c:v>
                </c:pt>
                <c:pt idx="125">
                  <c:v>587.88248808694345</c:v>
                </c:pt>
                <c:pt idx="126">
                  <c:v>587.88248808694345</c:v>
                </c:pt>
                <c:pt idx="127">
                  <c:v>587.88248808694345</c:v>
                </c:pt>
                <c:pt idx="128">
                  <c:v>587.88248808694345</c:v>
                </c:pt>
                <c:pt idx="129">
                  <c:v>587.88248808694345</c:v>
                </c:pt>
                <c:pt idx="130">
                  <c:v>587.88248808694345</c:v>
                </c:pt>
                <c:pt idx="131">
                  <c:v>587.88248808694345</c:v>
                </c:pt>
                <c:pt idx="132">
                  <c:v>587.88248808694345</c:v>
                </c:pt>
                <c:pt idx="133">
                  <c:v>587.88248808694345</c:v>
                </c:pt>
                <c:pt idx="134">
                  <c:v>587.88248808694345</c:v>
                </c:pt>
                <c:pt idx="135">
                  <c:v>587.88248808694345</c:v>
                </c:pt>
                <c:pt idx="136">
                  <c:v>587.88248808694345</c:v>
                </c:pt>
                <c:pt idx="137">
                  <c:v>587.88248808694345</c:v>
                </c:pt>
                <c:pt idx="138">
                  <c:v>587.88248808694345</c:v>
                </c:pt>
                <c:pt idx="139">
                  <c:v>587.88248808694345</c:v>
                </c:pt>
                <c:pt idx="140">
                  <c:v>587.88248808694345</c:v>
                </c:pt>
                <c:pt idx="141">
                  <c:v>587.88248808694345</c:v>
                </c:pt>
                <c:pt idx="142">
                  <c:v>587.88248808694345</c:v>
                </c:pt>
                <c:pt idx="143">
                  <c:v>587.88248808694345</c:v>
                </c:pt>
                <c:pt idx="144">
                  <c:v>587.88248808694345</c:v>
                </c:pt>
                <c:pt idx="145">
                  <c:v>587.88248808694345</c:v>
                </c:pt>
                <c:pt idx="146">
                  <c:v>587.88248808694345</c:v>
                </c:pt>
                <c:pt idx="147">
                  <c:v>587.88248808694345</c:v>
                </c:pt>
                <c:pt idx="148">
                  <c:v>587.88248808694345</c:v>
                </c:pt>
                <c:pt idx="149">
                  <c:v>587.88248808694345</c:v>
                </c:pt>
                <c:pt idx="150">
                  <c:v>587.88248808694345</c:v>
                </c:pt>
                <c:pt idx="151">
                  <c:v>587.88248808694345</c:v>
                </c:pt>
                <c:pt idx="152">
                  <c:v>587.88248808694345</c:v>
                </c:pt>
                <c:pt idx="153">
                  <c:v>587.88248808694345</c:v>
                </c:pt>
                <c:pt idx="154">
                  <c:v>587.88248808694345</c:v>
                </c:pt>
                <c:pt idx="155">
                  <c:v>587.88248808694345</c:v>
                </c:pt>
                <c:pt idx="156">
                  <c:v>587.88248808694345</c:v>
                </c:pt>
                <c:pt idx="157">
                  <c:v>587.88248808694345</c:v>
                </c:pt>
                <c:pt idx="158">
                  <c:v>587.88248808694345</c:v>
                </c:pt>
                <c:pt idx="159">
                  <c:v>587.88248808694345</c:v>
                </c:pt>
                <c:pt idx="160">
                  <c:v>587.88248808694345</c:v>
                </c:pt>
                <c:pt idx="161">
                  <c:v>587.88248808694345</c:v>
                </c:pt>
                <c:pt idx="162">
                  <c:v>587.88248808694345</c:v>
                </c:pt>
                <c:pt idx="163">
                  <c:v>587.88248808694345</c:v>
                </c:pt>
                <c:pt idx="164">
                  <c:v>587.88248808694345</c:v>
                </c:pt>
                <c:pt idx="165">
                  <c:v>587.88248808694345</c:v>
                </c:pt>
                <c:pt idx="166">
                  <c:v>587.88248808694345</c:v>
                </c:pt>
                <c:pt idx="167">
                  <c:v>587.88248808694345</c:v>
                </c:pt>
                <c:pt idx="168">
                  <c:v>587.88248808694345</c:v>
                </c:pt>
                <c:pt idx="169">
                  <c:v>587.88248808694345</c:v>
                </c:pt>
                <c:pt idx="170">
                  <c:v>587.88248808694345</c:v>
                </c:pt>
                <c:pt idx="171">
                  <c:v>587.88248808694345</c:v>
                </c:pt>
                <c:pt idx="172">
                  <c:v>587.88248808694345</c:v>
                </c:pt>
                <c:pt idx="173">
                  <c:v>587.88248808694345</c:v>
                </c:pt>
                <c:pt idx="174">
                  <c:v>587.88248808694345</c:v>
                </c:pt>
                <c:pt idx="175">
                  <c:v>587.88248808694345</c:v>
                </c:pt>
                <c:pt idx="176">
                  <c:v>587.88248808694345</c:v>
                </c:pt>
                <c:pt idx="177">
                  <c:v>587.88248808694345</c:v>
                </c:pt>
                <c:pt idx="178">
                  <c:v>587.88248808694345</c:v>
                </c:pt>
                <c:pt idx="179">
                  <c:v>587.88248808694345</c:v>
                </c:pt>
                <c:pt idx="180">
                  <c:v>587.88248808694345</c:v>
                </c:pt>
                <c:pt idx="181">
                  <c:v>587.88248808694345</c:v>
                </c:pt>
                <c:pt idx="182">
                  <c:v>587.88248808694345</c:v>
                </c:pt>
                <c:pt idx="183">
                  <c:v>587.88248808694345</c:v>
                </c:pt>
                <c:pt idx="184">
                  <c:v>587.88248808694345</c:v>
                </c:pt>
                <c:pt idx="185">
                  <c:v>587.88248808694345</c:v>
                </c:pt>
                <c:pt idx="186">
                  <c:v>587.88248808694345</c:v>
                </c:pt>
                <c:pt idx="187">
                  <c:v>587.88248808694345</c:v>
                </c:pt>
                <c:pt idx="188">
                  <c:v>587.88248808694345</c:v>
                </c:pt>
                <c:pt idx="189">
                  <c:v>587.88248808694345</c:v>
                </c:pt>
                <c:pt idx="190">
                  <c:v>587.88248808694345</c:v>
                </c:pt>
                <c:pt idx="191">
                  <c:v>587.88248808694345</c:v>
                </c:pt>
                <c:pt idx="192">
                  <c:v>587.88248808694345</c:v>
                </c:pt>
                <c:pt idx="193">
                  <c:v>587.88248808694345</c:v>
                </c:pt>
                <c:pt idx="194">
                  <c:v>587.88248808694345</c:v>
                </c:pt>
                <c:pt idx="195">
                  <c:v>587.88248808694345</c:v>
                </c:pt>
                <c:pt idx="196">
                  <c:v>587.88248808694345</c:v>
                </c:pt>
                <c:pt idx="197">
                  <c:v>587.88248808694345</c:v>
                </c:pt>
                <c:pt idx="198">
                  <c:v>587.88248808694345</c:v>
                </c:pt>
                <c:pt idx="199">
                  <c:v>587.88248808694345</c:v>
                </c:pt>
                <c:pt idx="200">
                  <c:v>587.88248808694345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3.1042643505229663</c:v>
                </c:pt>
                <c:pt idx="2">
                  <c:v>3.9117642757299911</c:v>
                </c:pt>
                <c:pt idx="3">
                  <c:v>4.9301290524746477</c:v>
                </c:pt>
                <c:pt idx="4">
                  <c:v>6.2146223450829501</c:v>
                </c:pt>
                <c:pt idx="5">
                  <c:v>7.8350403275523961</c:v>
                </c:pt>
                <c:pt idx="6">
                  <c:v>9.8795451969182846</c:v>
                </c:pt>
                <c:pt idx="7">
                  <c:v>12.459512829585032</c:v>
                </c:pt>
                <c:pt idx="8">
                  <c:v>15.715663572984148</c:v>
                </c:pt>
                <c:pt idx="9">
                  <c:v>19.825816682991903</c:v>
                </c:pt>
                <c:pt idx="10">
                  <c:v>25.014699491454234</c:v>
                </c:pt>
                <c:pt idx="11">
                  <c:v>48.591024385686815</c:v>
                </c:pt>
                <c:pt idx="12">
                  <c:v>71.851517457889358</c:v>
                </c:pt>
                <c:pt idx="13">
                  <c:v>94.916502895640136</c:v>
                </c:pt>
                <c:pt idx="14">
                  <c:v>117.84085485605193</c:v>
                </c:pt>
                <c:pt idx="15">
                  <c:v>140.65596743833868</c:v>
                </c:pt>
                <c:pt idx="16">
                  <c:v>102.14680795061109</c:v>
                </c:pt>
                <c:pt idx="17">
                  <c:v>131.37263409422076</c:v>
                </c:pt>
                <c:pt idx="18">
                  <c:v>160.44060977285537</c:v>
                </c:pt>
                <c:pt idx="19">
                  <c:v>189.38349101963934</c:v>
                </c:pt>
                <c:pt idx="20">
                  <c:v>218.22312573751944</c:v>
                </c:pt>
                <c:pt idx="21">
                  <c:v>175.97468557906811</c:v>
                </c:pt>
                <c:pt idx="22">
                  <c:v>206.94924679590613</c:v>
                </c:pt>
                <c:pt idx="23">
                  <c:v>237.81654602419815</c:v>
                </c:pt>
                <c:pt idx="24">
                  <c:v>268.59247034924738</c:v>
                </c:pt>
                <c:pt idx="25">
                  <c:v>299.28895999218292</c:v>
                </c:pt>
                <c:pt idx="26">
                  <c:v>256.1259217726236</c:v>
                </c:pt>
                <c:pt idx="27">
                  <c:v>285.60915345709321</c:v>
                </c:pt>
                <c:pt idx="28">
                  <c:v>315.02425837022901</c:v>
                </c:pt>
                <c:pt idx="29">
                  <c:v>344.37848728901122</c:v>
                </c:pt>
                <c:pt idx="30">
                  <c:v>373.67775378131773</c:v>
                </c:pt>
                <c:pt idx="31">
                  <c:v>327.84800604214905</c:v>
                </c:pt>
                <c:pt idx="32">
                  <c:v>354.28835078897447</c:v>
                </c:pt>
                <c:pt idx="33">
                  <c:v>380.68547719043931</c:v>
                </c:pt>
                <c:pt idx="34">
                  <c:v>407.04280051298912</c:v>
                </c:pt>
                <c:pt idx="35">
                  <c:v>433.36325788318953</c:v>
                </c:pt>
                <c:pt idx="36">
                  <c:v>384.8063530090264</c:v>
                </c:pt>
                <c:pt idx="37">
                  <c:v>408.27737426224098</c:v>
                </c:pt>
                <c:pt idx="38">
                  <c:v>431.71925936589827</c:v>
                </c:pt>
                <c:pt idx="39">
                  <c:v>455.13381148368143</c:v>
                </c:pt>
                <c:pt idx="40">
                  <c:v>478.52263325233702</c:v>
                </c:pt>
                <c:pt idx="41">
                  <c:v>426.7864543232979</c:v>
                </c:pt>
                <c:pt idx="42">
                  <c:v>446.92118768795041</c:v>
                </c:pt>
                <c:pt idx="43">
                  <c:v>467.03650905023113</c:v>
                </c:pt>
                <c:pt idx="44">
                  <c:v>487.13337154695296</c:v>
                </c:pt>
                <c:pt idx="45">
                  <c:v>507.21264330953471</c:v>
                </c:pt>
                <c:pt idx="46">
                  <c:v>475.65165795068168</c:v>
                </c:pt>
                <c:pt idx="47">
                  <c:v>493.281917555973</c:v>
                </c:pt>
                <c:pt idx="48">
                  <c:v>510.89882453659533</c:v>
                </c:pt>
                <c:pt idx="49">
                  <c:v>528.50290387292728</c:v>
                </c:pt>
                <c:pt idx="50">
                  <c:v>546.09464274073594</c:v>
                </c:pt>
                <c:pt idx="51">
                  <c:v>522.3633716587924</c:v>
                </c:pt>
                <c:pt idx="52">
                  <c:v>537.50484084926518</c:v>
                </c:pt>
                <c:pt idx="53">
                  <c:v>552.63734833627166</c:v>
                </c:pt>
                <c:pt idx="54">
                  <c:v>567.76117396419647</c:v>
                </c:pt>
                <c:pt idx="55">
                  <c:v>582.87658146020169</c:v>
                </c:pt>
                <c:pt idx="56">
                  <c:v>562.85708424728375</c:v>
                </c:pt>
                <c:pt idx="57">
                  <c:v>575.52417545438084</c:v>
                </c:pt>
                <c:pt idx="58">
                  <c:v>588.18544859108772</c:v>
                </c:pt>
                <c:pt idx="59">
                  <c:v>600.84104650480526</c:v>
                </c:pt>
                <c:pt idx="60">
                  <c:v>613.4911055367329</c:v>
                </c:pt>
                <c:pt idx="61">
                  <c:v>595.53454234223091</c:v>
                </c:pt>
                <c:pt idx="62">
                  <c:v>606.14657668140751</c:v>
                </c:pt>
                <c:pt idx="63">
                  <c:v>616.75475381599506</c:v>
                </c:pt>
                <c:pt idx="64">
                  <c:v>627.35914942789123</c:v>
                </c:pt>
                <c:pt idx="65">
                  <c:v>637.95983643241459</c:v>
                </c:pt>
                <c:pt idx="66">
                  <c:v>620.83381098828943</c:v>
                </c:pt>
                <c:pt idx="67">
                  <c:v>630.21354239884874</c:v>
                </c:pt>
                <c:pt idx="68">
                  <c:v>639.59038670342341</c:v>
                </c:pt>
                <c:pt idx="69">
                  <c:v>648.96439218997534</c:v>
                </c:pt>
                <c:pt idx="70">
                  <c:v>658.33560563795174</c:v>
                </c:pt>
                <c:pt idx="71">
                  <c:v>640.40562962638558</c:v>
                </c:pt>
                <c:pt idx="72">
                  <c:v>648.96439218997534</c:v>
                </c:pt>
                <c:pt idx="73">
                  <c:v>657.5208271917312</c:v>
                </c:pt>
                <c:pt idx="74">
                  <c:v>666.07496918760103</c:v>
                </c:pt>
                <c:pt idx="75">
                  <c:v>674.62685177369792</c:v>
                </c:pt>
                <c:pt idx="76">
                  <c:v>657.5208271917312</c:v>
                </c:pt>
                <c:pt idx="77">
                  <c:v>664.85308800712085</c:v>
                </c:pt>
                <c:pt idx="78">
                  <c:v>672.18368537898493</c:v>
                </c:pt>
                <c:pt idx="79">
                  <c:v>679.51264000554897</c:v>
                </c:pt>
                <c:pt idx="80">
                  <c:v>686.83997210216705</c:v>
                </c:pt>
                <c:pt idx="81">
                  <c:v>664.4457840171641</c:v>
                </c:pt>
                <c:pt idx="82">
                  <c:v>664.4457840171641</c:v>
                </c:pt>
                <c:pt idx="83">
                  <c:v>664.4457840171641</c:v>
                </c:pt>
                <c:pt idx="84">
                  <c:v>664.4457840171641</c:v>
                </c:pt>
                <c:pt idx="85">
                  <c:v>664.4457840171641</c:v>
                </c:pt>
                <c:pt idx="86">
                  <c:v>664.4457840171641</c:v>
                </c:pt>
                <c:pt idx="87">
                  <c:v>664.4457840171641</c:v>
                </c:pt>
                <c:pt idx="88">
                  <c:v>664.4457840171641</c:v>
                </c:pt>
                <c:pt idx="89">
                  <c:v>664.4457840171641</c:v>
                </c:pt>
                <c:pt idx="90">
                  <c:v>664.4457840171641</c:v>
                </c:pt>
                <c:pt idx="91">
                  <c:v>664.4457840171641</c:v>
                </c:pt>
                <c:pt idx="92">
                  <c:v>664.4457840171641</c:v>
                </c:pt>
                <c:pt idx="93">
                  <c:v>664.4457840171641</c:v>
                </c:pt>
                <c:pt idx="94">
                  <c:v>664.4457840171641</c:v>
                </c:pt>
                <c:pt idx="95">
                  <c:v>664.4457840171641</c:v>
                </c:pt>
                <c:pt idx="96">
                  <c:v>664.4457840171641</c:v>
                </c:pt>
                <c:pt idx="97">
                  <c:v>664.4457840171641</c:v>
                </c:pt>
                <c:pt idx="98">
                  <c:v>664.4457840171641</c:v>
                </c:pt>
                <c:pt idx="99">
                  <c:v>664.4457840171641</c:v>
                </c:pt>
                <c:pt idx="100">
                  <c:v>664.4457840171641</c:v>
                </c:pt>
                <c:pt idx="101">
                  <c:v>664.4457840171641</c:v>
                </c:pt>
                <c:pt idx="102">
                  <c:v>664.4457840171641</c:v>
                </c:pt>
                <c:pt idx="103">
                  <c:v>664.4457840171641</c:v>
                </c:pt>
                <c:pt idx="104">
                  <c:v>664.4457840171641</c:v>
                </c:pt>
                <c:pt idx="105">
                  <c:v>664.4457840171641</c:v>
                </c:pt>
                <c:pt idx="106">
                  <c:v>664.4457840171641</c:v>
                </c:pt>
                <c:pt idx="107">
                  <c:v>664.4457840171641</c:v>
                </c:pt>
                <c:pt idx="108">
                  <c:v>664.4457840171641</c:v>
                </c:pt>
                <c:pt idx="109">
                  <c:v>664.4457840171641</c:v>
                </c:pt>
                <c:pt idx="110">
                  <c:v>664.4457840171641</c:v>
                </c:pt>
                <c:pt idx="111">
                  <c:v>664.4457840171641</c:v>
                </c:pt>
                <c:pt idx="112">
                  <c:v>664.4457840171641</c:v>
                </c:pt>
                <c:pt idx="113">
                  <c:v>664.4457840171641</c:v>
                </c:pt>
                <c:pt idx="114">
                  <c:v>664.4457840171641</c:v>
                </c:pt>
                <c:pt idx="115">
                  <c:v>664.4457840171641</c:v>
                </c:pt>
                <c:pt idx="116">
                  <c:v>664.4457840171641</c:v>
                </c:pt>
                <c:pt idx="117">
                  <c:v>664.4457840171641</c:v>
                </c:pt>
                <c:pt idx="118">
                  <c:v>664.4457840171641</c:v>
                </c:pt>
                <c:pt idx="119">
                  <c:v>664.4457840171641</c:v>
                </c:pt>
                <c:pt idx="120">
                  <c:v>664.4457840171641</c:v>
                </c:pt>
                <c:pt idx="121">
                  <c:v>664.4457840171641</c:v>
                </c:pt>
                <c:pt idx="122">
                  <c:v>664.4457840171641</c:v>
                </c:pt>
                <c:pt idx="123">
                  <c:v>664.4457840171641</c:v>
                </c:pt>
                <c:pt idx="124">
                  <c:v>664.4457840171641</c:v>
                </c:pt>
                <c:pt idx="125">
                  <c:v>664.4457840171641</c:v>
                </c:pt>
                <c:pt idx="126">
                  <c:v>664.4457840171641</c:v>
                </c:pt>
                <c:pt idx="127">
                  <c:v>664.4457840171641</c:v>
                </c:pt>
                <c:pt idx="128">
                  <c:v>664.4457840171641</c:v>
                </c:pt>
                <c:pt idx="129">
                  <c:v>664.4457840171641</c:v>
                </c:pt>
                <c:pt idx="130">
                  <c:v>664.4457840171641</c:v>
                </c:pt>
                <c:pt idx="131">
                  <c:v>664.4457840171641</c:v>
                </c:pt>
                <c:pt idx="132">
                  <c:v>664.4457840171641</c:v>
                </c:pt>
                <c:pt idx="133">
                  <c:v>664.4457840171641</c:v>
                </c:pt>
                <c:pt idx="134">
                  <c:v>664.4457840171641</c:v>
                </c:pt>
                <c:pt idx="135">
                  <c:v>664.4457840171641</c:v>
                </c:pt>
                <c:pt idx="136">
                  <c:v>664.4457840171641</c:v>
                </c:pt>
                <c:pt idx="137">
                  <c:v>664.4457840171641</c:v>
                </c:pt>
                <c:pt idx="138">
                  <c:v>664.4457840171641</c:v>
                </c:pt>
                <c:pt idx="139">
                  <c:v>664.4457840171641</c:v>
                </c:pt>
                <c:pt idx="140">
                  <c:v>664.4457840171641</c:v>
                </c:pt>
                <c:pt idx="141">
                  <c:v>664.4457840171641</c:v>
                </c:pt>
                <c:pt idx="142">
                  <c:v>664.4457840171641</c:v>
                </c:pt>
                <c:pt idx="143">
                  <c:v>664.4457840171641</c:v>
                </c:pt>
                <c:pt idx="144">
                  <c:v>664.4457840171641</c:v>
                </c:pt>
                <c:pt idx="145">
                  <c:v>664.4457840171641</c:v>
                </c:pt>
                <c:pt idx="146">
                  <c:v>664.4457840171641</c:v>
                </c:pt>
                <c:pt idx="147">
                  <c:v>664.4457840171641</c:v>
                </c:pt>
                <c:pt idx="148">
                  <c:v>664.4457840171641</c:v>
                </c:pt>
                <c:pt idx="149">
                  <c:v>664.4457840171641</c:v>
                </c:pt>
                <c:pt idx="150">
                  <c:v>664.4457840171641</c:v>
                </c:pt>
                <c:pt idx="151">
                  <c:v>664.4457840171641</c:v>
                </c:pt>
                <c:pt idx="152">
                  <c:v>664.4457840171641</c:v>
                </c:pt>
                <c:pt idx="153">
                  <c:v>664.4457840171641</c:v>
                </c:pt>
                <c:pt idx="154">
                  <c:v>664.4457840171641</c:v>
                </c:pt>
                <c:pt idx="155">
                  <c:v>664.4457840171641</c:v>
                </c:pt>
                <c:pt idx="156">
                  <c:v>664.4457840171641</c:v>
                </c:pt>
                <c:pt idx="157">
                  <c:v>664.4457840171641</c:v>
                </c:pt>
                <c:pt idx="158">
                  <c:v>664.4457840171641</c:v>
                </c:pt>
                <c:pt idx="159">
                  <c:v>664.4457840171641</c:v>
                </c:pt>
                <c:pt idx="160">
                  <c:v>664.4457840171641</c:v>
                </c:pt>
                <c:pt idx="161">
                  <c:v>664.4457840171641</c:v>
                </c:pt>
                <c:pt idx="162">
                  <c:v>664.4457840171641</c:v>
                </c:pt>
                <c:pt idx="163">
                  <c:v>664.4457840171641</c:v>
                </c:pt>
                <c:pt idx="164">
                  <c:v>664.4457840171641</c:v>
                </c:pt>
                <c:pt idx="165">
                  <c:v>664.4457840171641</c:v>
                </c:pt>
                <c:pt idx="166">
                  <c:v>664.4457840171641</c:v>
                </c:pt>
                <c:pt idx="167">
                  <c:v>664.4457840171641</c:v>
                </c:pt>
                <c:pt idx="168">
                  <c:v>664.4457840171641</c:v>
                </c:pt>
                <c:pt idx="169">
                  <c:v>664.4457840171641</c:v>
                </c:pt>
                <c:pt idx="170">
                  <c:v>664.4457840171641</c:v>
                </c:pt>
                <c:pt idx="171">
                  <c:v>664.4457840171641</c:v>
                </c:pt>
                <c:pt idx="172">
                  <c:v>664.4457840171641</c:v>
                </c:pt>
                <c:pt idx="173">
                  <c:v>664.4457840171641</c:v>
                </c:pt>
                <c:pt idx="174">
                  <c:v>664.4457840171641</c:v>
                </c:pt>
                <c:pt idx="175">
                  <c:v>664.4457840171641</c:v>
                </c:pt>
                <c:pt idx="176">
                  <c:v>664.4457840171641</c:v>
                </c:pt>
                <c:pt idx="177">
                  <c:v>664.4457840171641</c:v>
                </c:pt>
                <c:pt idx="178">
                  <c:v>664.4457840171641</c:v>
                </c:pt>
                <c:pt idx="179">
                  <c:v>664.4457840171641</c:v>
                </c:pt>
                <c:pt idx="180">
                  <c:v>664.4457840171641</c:v>
                </c:pt>
                <c:pt idx="181">
                  <c:v>664.4457840171641</c:v>
                </c:pt>
                <c:pt idx="182">
                  <c:v>664.4457840171641</c:v>
                </c:pt>
                <c:pt idx="183">
                  <c:v>664.4457840171641</c:v>
                </c:pt>
                <c:pt idx="184">
                  <c:v>664.4457840171641</c:v>
                </c:pt>
                <c:pt idx="185">
                  <c:v>664.4457840171641</c:v>
                </c:pt>
                <c:pt idx="186">
                  <c:v>664.4457840171641</c:v>
                </c:pt>
                <c:pt idx="187">
                  <c:v>664.4457840171641</c:v>
                </c:pt>
                <c:pt idx="188">
                  <c:v>664.4457840171641</c:v>
                </c:pt>
                <c:pt idx="189">
                  <c:v>664.4457840171641</c:v>
                </c:pt>
                <c:pt idx="190">
                  <c:v>664.4457840171641</c:v>
                </c:pt>
                <c:pt idx="191">
                  <c:v>664.4457840171641</c:v>
                </c:pt>
                <c:pt idx="192">
                  <c:v>664.4457840171641</c:v>
                </c:pt>
                <c:pt idx="193">
                  <c:v>664.4457840171641</c:v>
                </c:pt>
                <c:pt idx="194">
                  <c:v>664.4457840171641</c:v>
                </c:pt>
                <c:pt idx="195">
                  <c:v>664.4457840171641</c:v>
                </c:pt>
                <c:pt idx="196">
                  <c:v>664.4457840171641</c:v>
                </c:pt>
                <c:pt idx="197">
                  <c:v>664.4457840171641</c:v>
                </c:pt>
                <c:pt idx="198">
                  <c:v>664.4457840171641</c:v>
                </c:pt>
                <c:pt idx="199">
                  <c:v>664.4457840171641</c:v>
                </c:pt>
                <c:pt idx="200">
                  <c:v>664.4457840171641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7" t="s">
        <v>291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</row>
    <row r="13" spans="2:13" ht="15" customHeight="1" x14ac:dyDescent="0.3"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</row>
    <row r="14" spans="2:13" ht="15" customHeight="1" x14ac:dyDescent="0.3"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</row>
    <row r="15" spans="2:13" ht="18.75" customHeight="1" x14ac:dyDescent="0.3"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</row>
    <row r="16" spans="2:13" ht="18.75" customHeight="1" x14ac:dyDescent="0.3"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</row>
    <row r="18" spans="2:13" ht="12" customHeight="1" x14ac:dyDescent="0.3">
      <c r="B18" s="267" t="s">
        <v>292</v>
      </c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</row>
    <row r="19" spans="2:13" ht="12" customHeight="1" x14ac:dyDescent="0.3"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</row>
    <row r="20" spans="2:13" ht="12" customHeight="1" x14ac:dyDescent="0.3"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</row>
    <row r="21" spans="2:13" ht="12" customHeight="1" x14ac:dyDescent="0.3"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</row>
    <row r="22" spans="2:13" ht="12" customHeight="1" x14ac:dyDescent="0.3"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</row>
    <row r="23" spans="2:13" ht="12" customHeight="1" x14ac:dyDescent="0.3"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</row>
    <row r="24" spans="2:13" ht="12" customHeight="1" x14ac:dyDescent="0.3"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</row>
    <row r="25" spans="2:13" ht="12" customHeight="1" x14ac:dyDescent="0.3"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</row>
    <row r="26" spans="2:13" ht="12" customHeight="1" x14ac:dyDescent="0.3"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</row>
    <row r="27" spans="2:13" ht="12" customHeight="1" x14ac:dyDescent="0.3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</row>
    <row r="28" spans="2:13" ht="12" customHeight="1" x14ac:dyDescent="0.3"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2:13" ht="12" customHeight="1" x14ac:dyDescent="0.3"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2:13" ht="12" customHeight="1" x14ac:dyDescent="0.3"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2:13" ht="12" customHeight="1" x14ac:dyDescent="0.3"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50" zoomScaleNormal="100" workbookViewId="0">
      <selection activeCell="B174" sqref="B17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2" t="s">
        <v>190</v>
      </c>
      <c r="D1" s="272"/>
      <c r="E1" s="27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3" t="s">
        <v>192</v>
      </c>
      <c r="C3" s="274"/>
      <c r="D3" s="274"/>
      <c r="E3" s="274"/>
      <c r="F3" s="275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8" t="s">
        <v>231</v>
      </c>
      <c r="B5" s="278"/>
      <c r="C5" s="24">
        <v>4.3</v>
      </c>
      <c r="D5" s="279" t="s">
        <v>229</v>
      </c>
      <c r="E5" s="280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7" t="s">
        <v>226</v>
      </c>
      <c r="B7" s="277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164</v>
      </c>
      <c r="C9" s="264">
        <v>0.26811594202898553</v>
      </c>
      <c r="D9" s="33">
        <f t="shared" ref="D9:D18" si="0">C9*$C$5</f>
        <v>1.1528985507246376</v>
      </c>
      <c r="E9" s="265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18</v>
      </c>
      <c r="C10" s="264">
        <v>0.18115942028985507</v>
      </c>
      <c r="D10" s="33">
        <f t="shared" si="0"/>
        <v>0.77898550724637683</v>
      </c>
      <c r="E10" s="265">
        <v>65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326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23</v>
      </c>
      <c r="C11" s="264">
        <v>0.17391304347826086</v>
      </c>
      <c r="D11" s="33">
        <f t="shared" si="0"/>
        <v>0.74782608695652164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46</v>
      </c>
      <c r="C12" s="264">
        <v>0.13043478260869565</v>
      </c>
      <c r="D12" s="33">
        <f t="shared" si="0"/>
        <v>0.56086956521739129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27</v>
      </c>
      <c r="C13" s="32">
        <v>0.10144927536231885</v>
      </c>
      <c r="D13" s="33">
        <f t="shared" si="0"/>
        <v>0.43623188405797103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45</v>
      </c>
      <c r="C14" s="32">
        <v>5.7971014492753624E-2</v>
      </c>
      <c r="D14" s="33">
        <f t="shared" si="0"/>
        <v>0.24927536231884057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66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14</v>
      </c>
      <c r="C15" s="32">
        <v>3.6231884057971016E-2</v>
      </c>
      <c r="D15" s="33">
        <f t="shared" si="0"/>
        <v>0.15579710144927536</v>
      </c>
      <c r="E15" s="34">
        <v>115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325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29</v>
      </c>
      <c r="C16" s="32">
        <v>2.8985507246376812E-2</v>
      </c>
      <c r="D16" s="33">
        <f t="shared" si="0"/>
        <v>0.12463768115942028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326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</v>
      </c>
      <c r="C17" s="32">
        <v>2.1739130434782608E-2</v>
      </c>
      <c r="D17" s="33">
        <f t="shared" si="0"/>
        <v>9.3478260869565205E-2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326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1.0000000000000002</v>
      </c>
      <c r="D19" s="38">
        <f>SUM(D9:D18)</f>
        <v>4.3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6" t="s">
        <v>232</v>
      </c>
      <c r="B22" s="27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7" t="s">
        <v>227</v>
      </c>
      <c r="B30" s="277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15</v>
      </c>
      <c r="B36" s="259">
        <v>46</v>
      </c>
      <c r="C36" s="259"/>
      <c r="D36" s="259">
        <v>0</v>
      </c>
      <c r="E36" s="260"/>
      <c r="F36" s="260"/>
      <c r="G36" s="260"/>
      <c r="H36" s="260"/>
      <c r="I36" s="49">
        <f>IFERROR(B36/A36,"")</f>
        <v>3.0666666666666669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20</v>
      </c>
      <c r="B37" s="259">
        <v>134</v>
      </c>
      <c r="C37" s="259">
        <v>1</v>
      </c>
      <c r="D37" s="259">
        <v>5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17.600000000000001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25</v>
      </c>
      <c r="B38" s="259">
        <v>243</v>
      </c>
      <c r="C38" s="259">
        <v>2</v>
      </c>
      <c r="D38" s="259">
        <v>63</v>
      </c>
      <c r="E38" s="260"/>
      <c r="F38" s="260">
        <v>1</v>
      </c>
      <c r="G38" s="260"/>
      <c r="H38" s="260"/>
      <c r="I38" s="53">
        <f t="shared" si="1"/>
        <v>22.8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308</v>
      </c>
      <c r="C39" s="259">
        <v>3</v>
      </c>
      <c r="D39" s="259">
        <v>63</v>
      </c>
      <c r="E39" s="260"/>
      <c r="F39" s="260">
        <v>1</v>
      </c>
      <c r="G39" s="260"/>
      <c r="H39" s="260"/>
      <c r="I39" s="49">
        <f t="shared" si="1"/>
        <v>25.6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35</v>
      </c>
      <c r="B40" s="259">
        <v>376</v>
      </c>
      <c r="C40" s="259">
        <v>4</v>
      </c>
      <c r="D40" s="259">
        <v>63</v>
      </c>
      <c r="E40" s="260">
        <v>1</v>
      </c>
      <c r="F40" s="260"/>
      <c r="G40" s="260"/>
      <c r="H40" s="260"/>
      <c r="I40" s="49">
        <f t="shared" si="1"/>
        <v>26.2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40</v>
      </c>
      <c r="B41" s="259">
        <v>440</v>
      </c>
      <c r="C41" s="259">
        <v>5</v>
      </c>
      <c r="D41" s="259">
        <v>63</v>
      </c>
      <c r="E41" s="260">
        <v>1</v>
      </c>
      <c r="F41" s="260"/>
      <c r="G41" s="260"/>
      <c r="H41" s="260"/>
      <c r="I41" s="53">
        <f t="shared" si="1"/>
        <v>25.4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45</v>
      </c>
      <c r="B42" s="259">
        <v>498</v>
      </c>
      <c r="C42" s="259">
        <v>6</v>
      </c>
      <c r="D42" s="259">
        <v>63</v>
      </c>
      <c r="E42" s="260">
        <v>1</v>
      </c>
      <c r="F42" s="260"/>
      <c r="G42" s="260"/>
      <c r="H42" s="260"/>
      <c r="I42" s="53">
        <f t="shared" si="1"/>
        <v>24.2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50</v>
      </c>
      <c r="B43" s="259">
        <v>549</v>
      </c>
      <c r="C43" s="259">
        <v>7</v>
      </c>
      <c r="D43" s="259">
        <v>63</v>
      </c>
      <c r="E43" s="260">
        <v>1</v>
      </c>
      <c r="F43" s="260"/>
      <c r="G43" s="260"/>
      <c r="H43" s="260"/>
      <c r="I43" s="49">
        <f t="shared" si="1"/>
        <v>22.8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55</v>
      </c>
      <c r="B44" s="259">
        <v>594</v>
      </c>
      <c r="C44" s="259">
        <v>8</v>
      </c>
      <c r="D44" s="259">
        <v>60</v>
      </c>
      <c r="E44" s="260">
        <v>1</v>
      </c>
      <c r="F44" s="260"/>
      <c r="G44" s="260"/>
      <c r="H44" s="260"/>
      <c r="I44" s="49">
        <f t="shared" si="1"/>
        <v>21.6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60</v>
      </c>
      <c r="B45" s="261">
        <v>634</v>
      </c>
      <c r="C45" s="259">
        <v>9</v>
      </c>
      <c r="D45" s="261">
        <v>53</v>
      </c>
      <c r="E45" s="260">
        <v>1</v>
      </c>
      <c r="F45" s="260"/>
      <c r="G45" s="260"/>
      <c r="H45" s="260"/>
      <c r="I45" s="49">
        <f t="shared" si="1"/>
        <v>20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65</v>
      </c>
      <c r="B46" s="262">
        <v>674</v>
      </c>
      <c r="C46" s="259">
        <v>10</v>
      </c>
      <c r="D46" s="262">
        <v>48</v>
      </c>
      <c r="E46" s="260">
        <v>1</v>
      </c>
      <c r="F46" s="260"/>
      <c r="G46" s="260"/>
      <c r="H46" s="260"/>
      <c r="I46" s="49">
        <f t="shared" si="1"/>
        <v>18.600000000000001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70</v>
      </c>
      <c r="B47" s="261">
        <v>712</v>
      </c>
      <c r="C47" s="259">
        <v>11</v>
      </c>
      <c r="D47" s="261">
        <v>45</v>
      </c>
      <c r="E47" s="260">
        <v>1</v>
      </c>
      <c r="F47" s="260"/>
      <c r="G47" s="260"/>
      <c r="H47" s="260"/>
      <c r="I47" s="49">
        <f t="shared" si="1"/>
        <v>17.2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75</v>
      </c>
      <c r="B48" s="261">
        <v>746</v>
      </c>
      <c r="C48" s="259">
        <v>12</v>
      </c>
      <c r="D48" s="261">
        <v>43</v>
      </c>
      <c r="E48" s="260">
        <v>1</v>
      </c>
      <c r="F48" s="260"/>
      <c r="G48" s="260"/>
      <c r="H48" s="260"/>
      <c r="I48" s="49">
        <f t="shared" si="1"/>
        <v>15.8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80</v>
      </c>
      <c r="B49" s="261">
        <v>776</v>
      </c>
      <c r="C49" s="259">
        <v>13</v>
      </c>
      <c r="D49" s="261">
        <v>41</v>
      </c>
      <c r="E49" s="260">
        <v>1</v>
      </c>
      <c r="F49" s="260"/>
      <c r="G49" s="260"/>
      <c r="H49" s="260"/>
      <c r="I49" s="49">
        <f t="shared" si="1"/>
        <v>14.6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15</v>
      </c>
      <c r="B62" s="261">
        <v>162</v>
      </c>
      <c r="C62" s="261"/>
      <c r="D62" s="261"/>
      <c r="E62" s="260"/>
      <c r="F62" s="260"/>
      <c r="G62" s="260"/>
      <c r="H62" s="260"/>
      <c r="I62" s="53">
        <f>IFERROR(B62/A62,"")</f>
        <v>10.8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20</v>
      </c>
      <c r="B63" s="261">
        <v>303</v>
      </c>
      <c r="C63" s="261">
        <v>1</v>
      </c>
      <c r="D63" s="261">
        <v>43</v>
      </c>
      <c r="E63" s="260"/>
      <c r="F63" s="260"/>
      <c r="G63" s="260">
        <v>1</v>
      </c>
      <c r="H63" s="260"/>
      <c r="I63" s="49">
        <f>IF(A63&lt;&gt;0,(B63-(B62-D62))/(A63-A62),"")</f>
        <v>28.2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25</v>
      </c>
      <c r="B64" s="261">
        <v>419</v>
      </c>
      <c r="C64" s="261">
        <v>2</v>
      </c>
      <c r="D64" s="261">
        <v>60</v>
      </c>
      <c r="E64" s="260"/>
      <c r="F64" s="260">
        <v>1</v>
      </c>
      <c r="G64" s="260"/>
      <c r="H64" s="260"/>
      <c r="I64" s="49">
        <f>IF(A64&lt;&gt;0,(B64-(B63-D63))/(A64-A63),"")</f>
        <v>31.8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524</v>
      </c>
      <c r="C65" s="261">
        <v>3</v>
      </c>
      <c r="D65" s="261">
        <v>90</v>
      </c>
      <c r="E65" s="260"/>
      <c r="F65" s="260">
        <v>1</v>
      </c>
      <c r="G65" s="260"/>
      <c r="H65" s="260"/>
      <c r="I65" s="49">
        <f>IF(A65&lt;&gt;0,(B65-(B64-D64))/(A65-A64),"")</f>
        <v>33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35</v>
      </c>
      <c r="B66" s="261">
        <v>576</v>
      </c>
      <c r="C66" s="261">
        <v>4</v>
      </c>
      <c r="D66" s="261">
        <v>72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40</v>
      </c>
      <c r="B67" s="261">
        <v>639</v>
      </c>
      <c r="C67" s="261">
        <v>5</v>
      </c>
      <c r="D67" s="261">
        <v>77</v>
      </c>
      <c r="E67" s="260">
        <v>1</v>
      </c>
      <c r="F67" s="260"/>
      <c r="G67" s="260"/>
      <c r="H67" s="260"/>
      <c r="I67" s="49">
        <f t="shared" si="2"/>
        <v>27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45</v>
      </c>
      <c r="B68" s="261">
        <v>686</v>
      </c>
      <c r="C68" s="261">
        <v>6</v>
      </c>
      <c r="D68" s="261">
        <v>64</v>
      </c>
      <c r="E68" s="260">
        <v>1</v>
      </c>
      <c r="F68" s="260"/>
      <c r="G68" s="260"/>
      <c r="H68" s="260"/>
      <c r="I68" s="49">
        <f t="shared" si="2"/>
        <v>24.8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50</v>
      </c>
      <c r="B69" s="261">
        <v>724</v>
      </c>
      <c r="C69" s="261">
        <v>7</v>
      </c>
      <c r="D69" s="261">
        <v>62</v>
      </c>
      <c r="E69" s="260">
        <v>1</v>
      </c>
      <c r="F69" s="260"/>
      <c r="G69" s="260"/>
      <c r="H69" s="260"/>
      <c r="I69" s="49">
        <f t="shared" si="2"/>
        <v>20.399999999999999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55</v>
      </c>
      <c r="B70" s="261">
        <v>739</v>
      </c>
      <c r="C70" s="261">
        <v>8</v>
      </c>
      <c r="D70" s="261">
        <v>46</v>
      </c>
      <c r="E70" s="260">
        <v>1</v>
      </c>
      <c r="F70" s="260"/>
      <c r="G70" s="260"/>
      <c r="H70" s="260"/>
      <c r="I70" s="49">
        <f t="shared" si="2"/>
        <v>15.4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60</v>
      </c>
      <c r="B71" s="261">
        <v>754</v>
      </c>
      <c r="C71" s="261">
        <v>9</v>
      </c>
      <c r="D71" s="261">
        <v>35</v>
      </c>
      <c r="E71" s="260">
        <v>1</v>
      </c>
      <c r="F71" s="260"/>
      <c r="G71" s="260"/>
      <c r="H71" s="260"/>
      <c r="I71" s="49">
        <f t="shared" si="2"/>
        <v>12.2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65</v>
      </c>
      <c r="B72" s="261">
        <v>769</v>
      </c>
      <c r="C72" s="261">
        <v>10</v>
      </c>
      <c r="D72" s="261">
        <v>29</v>
      </c>
      <c r="E72" s="260">
        <v>1</v>
      </c>
      <c r="F72" s="260"/>
      <c r="G72" s="260"/>
      <c r="H72" s="260"/>
      <c r="I72" s="49">
        <f t="shared" si="2"/>
        <v>10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9</v>
      </c>
      <c r="C88" s="261"/>
      <c r="D88" s="261">
        <v>0</v>
      </c>
      <c r="E88" s="260"/>
      <c r="F88" s="260"/>
      <c r="G88" s="260"/>
      <c r="H88" s="260">
        <v>1</v>
      </c>
      <c r="I88" s="53">
        <f>IFERROR(B88/A88,"")</f>
        <v>0.6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57</v>
      </c>
      <c r="C89" s="261">
        <v>1</v>
      </c>
      <c r="D89" s="261">
        <v>21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86</v>
      </c>
      <c r="C90" s="261">
        <v>2</v>
      </c>
      <c r="D90" s="261">
        <v>21</v>
      </c>
      <c r="E90" s="260"/>
      <c r="F90" s="260"/>
      <c r="G90" s="260"/>
      <c r="H90" s="260">
        <v>1</v>
      </c>
      <c r="I90" s="53">
        <f t="shared" si="3"/>
        <v>10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114</v>
      </c>
      <c r="C91" s="261">
        <v>3</v>
      </c>
      <c r="D91" s="261">
        <v>21</v>
      </c>
      <c r="E91" s="260"/>
      <c r="F91" s="260"/>
      <c r="G91" s="260"/>
      <c r="H91" s="260">
        <v>1</v>
      </c>
      <c r="I91" s="53">
        <f t="shared" si="3"/>
        <v>9.8000000000000007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136</v>
      </c>
      <c r="C92" s="261">
        <v>4</v>
      </c>
      <c r="D92" s="261">
        <v>21</v>
      </c>
      <c r="E92" s="260">
        <v>1</v>
      </c>
      <c r="F92" s="260"/>
      <c r="G92" s="260"/>
      <c r="H92" s="260"/>
      <c r="I92" s="53">
        <f t="shared" si="3"/>
        <v>8.6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153</v>
      </c>
      <c r="C93" s="261">
        <v>5</v>
      </c>
      <c r="D93" s="261">
        <v>21</v>
      </c>
      <c r="E93" s="260">
        <v>1</v>
      </c>
      <c r="F93" s="260"/>
      <c r="G93" s="260"/>
      <c r="H93" s="260"/>
      <c r="I93" s="53">
        <f t="shared" si="3"/>
        <v>7.6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164</v>
      </c>
      <c r="C94" s="261">
        <v>6</v>
      </c>
      <c r="D94" s="261">
        <v>18</v>
      </c>
      <c r="E94" s="260">
        <v>1</v>
      </c>
      <c r="F94" s="260"/>
      <c r="G94" s="260"/>
      <c r="H94" s="260"/>
      <c r="I94" s="53">
        <f t="shared" si="3"/>
        <v>6.4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174</v>
      </c>
      <c r="C95" s="261">
        <v>7</v>
      </c>
      <c r="D95" s="261">
        <v>13</v>
      </c>
      <c r="E95" s="260">
        <v>1</v>
      </c>
      <c r="F95" s="260"/>
      <c r="G95" s="260"/>
      <c r="H95" s="260"/>
      <c r="I95" s="53">
        <f t="shared" si="3"/>
        <v>5.6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185</v>
      </c>
      <c r="C96" s="261">
        <v>8</v>
      </c>
      <c r="D96" s="261">
        <v>11</v>
      </c>
      <c r="E96" s="260">
        <v>1</v>
      </c>
      <c r="F96" s="260"/>
      <c r="G96" s="260"/>
      <c r="H96" s="260"/>
      <c r="I96" s="53">
        <f t="shared" si="3"/>
        <v>4.8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194</v>
      </c>
      <c r="C97" s="261">
        <v>9</v>
      </c>
      <c r="D97" s="261">
        <v>9</v>
      </c>
      <c r="E97" s="260">
        <v>1</v>
      </c>
      <c r="F97" s="260"/>
      <c r="G97" s="260"/>
      <c r="H97" s="260"/>
      <c r="I97" s="53">
        <f t="shared" si="3"/>
        <v>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202</v>
      </c>
      <c r="C98" s="261">
        <v>10</v>
      </c>
      <c r="D98" s="261">
        <v>8</v>
      </c>
      <c r="E98" s="260">
        <v>1</v>
      </c>
      <c r="F98" s="260"/>
      <c r="G98" s="260"/>
      <c r="H98" s="260"/>
      <c r="I98" s="53">
        <f t="shared" si="3"/>
        <v>3.4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209</v>
      </c>
      <c r="C99" s="261">
        <v>11</v>
      </c>
      <c r="D99" s="261">
        <v>8</v>
      </c>
      <c r="E99" s="260">
        <v>1</v>
      </c>
      <c r="F99" s="260"/>
      <c r="G99" s="260"/>
      <c r="H99" s="260"/>
      <c r="I99" s="53">
        <f t="shared" si="3"/>
        <v>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214</v>
      </c>
      <c r="C100" s="261">
        <v>12</v>
      </c>
      <c r="D100" s="261">
        <v>7</v>
      </c>
      <c r="E100" s="260">
        <v>1</v>
      </c>
      <c r="F100" s="260"/>
      <c r="G100" s="260"/>
      <c r="H100" s="260"/>
      <c r="I100" s="53">
        <f t="shared" si="3"/>
        <v>2.6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219</v>
      </c>
      <c r="C101" s="261">
        <v>13</v>
      </c>
      <c r="D101" s="261">
        <v>6</v>
      </c>
      <c r="E101" s="260">
        <v>1</v>
      </c>
      <c r="F101" s="260"/>
      <c r="G101" s="260"/>
      <c r="H101" s="260"/>
      <c r="I101" s="53">
        <f t="shared" si="3"/>
        <v>2.4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Sapin pectiné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20</v>
      </c>
      <c r="B114" s="261">
        <v>96</v>
      </c>
      <c r="C114" s="261"/>
      <c r="D114" s="261">
        <v>0</v>
      </c>
      <c r="E114" s="260"/>
      <c r="F114" s="260"/>
      <c r="G114" s="260"/>
      <c r="H114" s="260"/>
      <c r="I114" s="53">
        <f>IFERROR(B114/A114,"")</f>
        <v>4.8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25</v>
      </c>
      <c r="B115" s="261">
        <v>205</v>
      </c>
      <c r="C115" s="261">
        <v>1</v>
      </c>
      <c r="D115" s="261">
        <v>40</v>
      </c>
      <c r="E115" s="260"/>
      <c r="F115" s="260"/>
      <c r="G115" s="260">
        <v>1</v>
      </c>
      <c r="H115" s="260"/>
      <c r="I115" s="53">
        <f t="shared" ref="I115:I133" si="4">IF(A115&lt;&gt;0,(B115-(B114-D114))/(A115-A114),"")</f>
        <v>21.8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30</v>
      </c>
      <c r="B116" s="261">
        <v>278</v>
      </c>
      <c r="C116" s="261">
        <v>2</v>
      </c>
      <c r="D116" s="261">
        <v>56</v>
      </c>
      <c r="E116" s="260"/>
      <c r="F116" s="260">
        <v>1</v>
      </c>
      <c r="G116" s="260"/>
      <c r="H116" s="260"/>
      <c r="I116" s="53">
        <f t="shared" si="4"/>
        <v>22.6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35</v>
      </c>
      <c r="B117" s="261">
        <v>336</v>
      </c>
      <c r="C117" s="261">
        <v>3</v>
      </c>
      <c r="D117" s="261">
        <v>56</v>
      </c>
      <c r="E117" s="260">
        <v>1</v>
      </c>
      <c r="F117" s="260"/>
      <c r="G117" s="260"/>
      <c r="H117" s="260"/>
      <c r="I117" s="53">
        <f t="shared" si="4"/>
        <v>22.8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40</v>
      </c>
      <c r="B118" s="261">
        <v>392</v>
      </c>
      <c r="C118" s="261">
        <v>4</v>
      </c>
      <c r="D118" s="261">
        <v>56</v>
      </c>
      <c r="E118" s="260">
        <v>1</v>
      </c>
      <c r="F118" s="260"/>
      <c r="G118" s="260"/>
      <c r="H118" s="260"/>
      <c r="I118" s="53">
        <f t="shared" si="4"/>
        <v>22.4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45</v>
      </c>
      <c r="B119" s="261">
        <v>446</v>
      </c>
      <c r="C119" s="261">
        <v>5</v>
      </c>
      <c r="D119" s="261">
        <v>56</v>
      </c>
      <c r="E119" s="260">
        <v>1</v>
      </c>
      <c r="F119" s="260"/>
      <c r="G119" s="260"/>
      <c r="H119" s="260"/>
      <c r="I119" s="53">
        <f t="shared" si="4"/>
        <v>22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50</v>
      </c>
      <c r="B120" s="261">
        <v>494</v>
      </c>
      <c r="C120" s="261">
        <v>6</v>
      </c>
      <c r="D120" s="261">
        <v>56</v>
      </c>
      <c r="E120" s="260">
        <v>1</v>
      </c>
      <c r="F120" s="260"/>
      <c r="G120" s="260"/>
      <c r="H120" s="260"/>
      <c r="I120" s="53">
        <f t="shared" si="4"/>
        <v>20.8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55</v>
      </c>
      <c r="B121" s="261">
        <v>537</v>
      </c>
      <c r="C121" s="261">
        <v>7</v>
      </c>
      <c r="D121" s="261">
        <v>56</v>
      </c>
      <c r="E121" s="260">
        <v>1</v>
      </c>
      <c r="F121" s="260"/>
      <c r="G121" s="260"/>
      <c r="H121" s="260"/>
      <c r="I121" s="53">
        <f t="shared" si="4"/>
        <v>19.8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60</v>
      </c>
      <c r="B122" s="261">
        <v>574</v>
      </c>
      <c r="C122" s="261">
        <v>8</v>
      </c>
      <c r="D122" s="261">
        <v>50</v>
      </c>
      <c r="E122" s="260">
        <v>1</v>
      </c>
      <c r="F122" s="260"/>
      <c r="G122" s="260"/>
      <c r="H122" s="260"/>
      <c r="I122" s="53">
        <f t="shared" si="4"/>
        <v>18.600000000000001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65</v>
      </c>
      <c r="B123" s="261">
        <v>612</v>
      </c>
      <c r="C123" s="261">
        <v>9</v>
      </c>
      <c r="D123" s="261">
        <v>45</v>
      </c>
      <c r="E123" s="260">
        <v>1</v>
      </c>
      <c r="F123" s="260"/>
      <c r="G123" s="260"/>
      <c r="H123" s="260"/>
      <c r="I123" s="53">
        <f t="shared" si="4"/>
        <v>17.600000000000001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70</v>
      </c>
      <c r="B124" s="261">
        <v>649</v>
      </c>
      <c r="C124" s="261">
        <v>10</v>
      </c>
      <c r="D124" s="261">
        <v>43</v>
      </c>
      <c r="E124" s="260">
        <v>1</v>
      </c>
      <c r="F124" s="260"/>
      <c r="G124" s="260"/>
      <c r="H124" s="260"/>
      <c r="I124" s="53">
        <f t="shared" si="4"/>
        <v>16.399999999999999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75</v>
      </c>
      <c r="B125" s="261">
        <v>681</v>
      </c>
      <c r="C125" s="261">
        <v>11</v>
      </c>
      <c r="D125" s="261">
        <v>42</v>
      </c>
      <c r="E125" s="260">
        <v>1</v>
      </c>
      <c r="F125" s="260"/>
      <c r="G125" s="260"/>
      <c r="H125" s="260"/>
      <c r="I125" s="53">
        <f t="shared" si="4"/>
        <v>15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80</v>
      </c>
      <c r="B126" s="261">
        <v>711</v>
      </c>
      <c r="C126" s="261">
        <v>12</v>
      </c>
      <c r="D126" s="261">
        <v>41</v>
      </c>
      <c r="E126" s="260">
        <v>1</v>
      </c>
      <c r="F126" s="260"/>
      <c r="G126" s="260"/>
      <c r="H126" s="260"/>
      <c r="I126" s="53">
        <f t="shared" si="4"/>
        <v>14.4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Mélèze d'Europe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12</v>
      </c>
      <c r="B140" s="60">
        <v>103</v>
      </c>
      <c r="C140" s="50">
        <v>1</v>
      </c>
      <c r="D140" s="60">
        <v>18</v>
      </c>
      <c r="E140" s="51"/>
      <c r="F140" s="51"/>
      <c r="G140" s="51">
        <v>1</v>
      </c>
      <c r="H140" s="51"/>
      <c r="I140" s="57">
        <f>IFERROR(B140/A140,"")</f>
        <v>8.5833333333333339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18</v>
      </c>
      <c r="B141" s="60">
        <v>223</v>
      </c>
      <c r="C141" s="50">
        <v>2</v>
      </c>
      <c r="D141" s="60">
        <v>84.3</v>
      </c>
      <c r="E141" s="51"/>
      <c r="F141" s="51">
        <v>1</v>
      </c>
      <c r="G141" s="51"/>
      <c r="H141" s="51"/>
      <c r="I141" s="57">
        <f t="shared" ref="I141:I159" si="5">IF(A141&lt;&gt;0,(B141-(B140-D140))/(A141-A140),"")</f>
        <v>23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24</v>
      </c>
      <c r="B142" s="60">
        <v>254</v>
      </c>
      <c r="C142" s="50">
        <v>3</v>
      </c>
      <c r="D142" s="60">
        <v>73.7</v>
      </c>
      <c r="E142" s="51"/>
      <c r="F142" s="51">
        <v>1</v>
      </c>
      <c r="G142" s="51"/>
      <c r="H142" s="51"/>
      <c r="I142" s="57">
        <f t="shared" si="5"/>
        <v>19.216666666666669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280</v>
      </c>
      <c r="C143" s="50">
        <v>4</v>
      </c>
      <c r="D143" s="60">
        <v>62.6</v>
      </c>
      <c r="E143" s="51"/>
      <c r="F143" s="51">
        <v>1</v>
      </c>
      <c r="G143" s="51"/>
      <c r="H143" s="51"/>
      <c r="I143" s="57">
        <f t="shared" si="5"/>
        <v>16.616666666666664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36</v>
      </c>
      <c r="B144" s="60">
        <v>305</v>
      </c>
      <c r="C144" s="50">
        <v>5</v>
      </c>
      <c r="D144" s="60">
        <v>58.4</v>
      </c>
      <c r="E144" s="51">
        <v>1</v>
      </c>
      <c r="F144" s="51"/>
      <c r="G144" s="51"/>
      <c r="H144" s="51"/>
      <c r="I144" s="57">
        <f t="shared" si="5"/>
        <v>14.6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42</v>
      </c>
      <c r="B145" s="60">
        <v>330</v>
      </c>
      <c r="C145" s="50">
        <v>6</v>
      </c>
      <c r="D145" s="60">
        <v>54.6</v>
      </c>
      <c r="E145" s="51">
        <v>1</v>
      </c>
      <c r="F145" s="51"/>
      <c r="G145" s="51"/>
      <c r="H145" s="51"/>
      <c r="I145" s="57">
        <f t="shared" si="5"/>
        <v>13.9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48</v>
      </c>
      <c r="B146" s="60">
        <v>353</v>
      </c>
      <c r="C146" s="50">
        <v>7</v>
      </c>
      <c r="D146" s="60">
        <v>48.2</v>
      </c>
      <c r="E146" s="51">
        <v>1</v>
      </c>
      <c r="F146" s="51"/>
      <c r="G146" s="51"/>
      <c r="H146" s="51"/>
      <c r="I146" s="57">
        <f t="shared" si="5"/>
        <v>12.933333333333337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54</v>
      </c>
      <c r="B147" s="60">
        <v>374</v>
      </c>
      <c r="C147" s="50">
        <v>8</v>
      </c>
      <c r="D147" s="60">
        <v>46.9</v>
      </c>
      <c r="E147" s="51">
        <v>1</v>
      </c>
      <c r="F147" s="51"/>
      <c r="G147" s="51"/>
      <c r="H147" s="51"/>
      <c r="I147" s="57">
        <f>IF(A147&lt;&gt;0,(B147-(B146-D146))/(A147-A146),"")</f>
        <v>11.533333333333331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60</v>
      </c>
      <c r="B148" s="60">
        <v>401</v>
      </c>
      <c r="C148" s="50"/>
      <c r="D148" s="60">
        <v>0</v>
      </c>
      <c r="E148" s="51"/>
      <c r="F148" s="51"/>
      <c r="G148" s="51"/>
      <c r="H148" s="51"/>
      <c r="I148" s="57">
        <f t="shared" si="5"/>
        <v>12.316666666666663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Sapin de Nordmann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96</v>
      </c>
      <c r="C166" s="60"/>
      <c r="D166" s="60">
        <v>0</v>
      </c>
      <c r="E166" s="51"/>
      <c r="F166" s="51"/>
      <c r="G166" s="51"/>
      <c r="H166" s="51"/>
      <c r="I166" s="49">
        <f>IFERROR(B166/A166,"")</f>
        <v>4.8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205</v>
      </c>
      <c r="C167" s="60">
        <v>1</v>
      </c>
      <c r="D167" s="60">
        <v>40</v>
      </c>
      <c r="E167" s="51"/>
      <c r="F167" s="51"/>
      <c r="G167" s="51">
        <v>1</v>
      </c>
      <c r="H167" s="51"/>
      <c r="I167" s="49">
        <f t="shared" ref="I167:I185" si="6">IF(A167&lt;&gt;0,(B167-(B166-D166))/(A167-A166),"")</f>
        <v>21.8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278</v>
      </c>
      <c r="C168" s="60">
        <v>2</v>
      </c>
      <c r="D168" s="60">
        <v>56</v>
      </c>
      <c r="E168" s="51"/>
      <c r="F168" s="51">
        <v>1</v>
      </c>
      <c r="G168" s="51"/>
      <c r="H168" s="51"/>
      <c r="I168" s="49">
        <f t="shared" si="6"/>
        <v>22.6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336</v>
      </c>
      <c r="C169" s="60">
        <v>3</v>
      </c>
      <c r="D169" s="60">
        <v>56</v>
      </c>
      <c r="E169" s="51">
        <v>1</v>
      </c>
      <c r="F169" s="51"/>
      <c r="G169" s="51"/>
      <c r="H169" s="51"/>
      <c r="I169" s="49">
        <f t="shared" si="6"/>
        <v>22.8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392</v>
      </c>
      <c r="C170" s="60">
        <v>4</v>
      </c>
      <c r="D170" s="60">
        <v>56</v>
      </c>
      <c r="E170" s="51">
        <v>1</v>
      </c>
      <c r="F170" s="51"/>
      <c r="G170" s="51"/>
      <c r="H170" s="51"/>
      <c r="I170" s="49">
        <f t="shared" si="6"/>
        <v>22.4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446</v>
      </c>
      <c r="C171" s="60">
        <v>5</v>
      </c>
      <c r="D171" s="60">
        <v>56</v>
      </c>
      <c r="E171" s="51">
        <v>1</v>
      </c>
      <c r="F171" s="51"/>
      <c r="G171" s="51"/>
      <c r="H171" s="51"/>
      <c r="I171" s="49">
        <f t="shared" si="6"/>
        <v>22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494</v>
      </c>
      <c r="C172" s="60">
        <v>6</v>
      </c>
      <c r="D172" s="60">
        <v>56</v>
      </c>
      <c r="E172" s="51">
        <v>1</v>
      </c>
      <c r="F172" s="51"/>
      <c r="G172" s="51"/>
      <c r="H172" s="51"/>
      <c r="I172" s="49">
        <f t="shared" si="6"/>
        <v>20.8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537</v>
      </c>
      <c r="C173" s="50">
        <v>7</v>
      </c>
      <c r="D173" s="50">
        <v>56</v>
      </c>
      <c r="E173" s="51">
        <v>1</v>
      </c>
      <c r="F173" s="51"/>
      <c r="G173" s="51"/>
      <c r="H173" s="51"/>
      <c r="I173" s="49">
        <f t="shared" si="6"/>
        <v>19.8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574</v>
      </c>
      <c r="C174" s="50">
        <v>8</v>
      </c>
      <c r="D174" s="50">
        <v>50</v>
      </c>
      <c r="E174" s="51">
        <v>1</v>
      </c>
      <c r="F174" s="51"/>
      <c r="G174" s="51"/>
      <c r="H174" s="51"/>
      <c r="I174" s="49">
        <f t="shared" si="6"/>
        <v>18.600000000000001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612</v>
      </c>
      <c r="C175" s="50">
        <v>9</v>
      </c>
      <c r="D175" s="50">
        <v>45</v>
      </c>
      <c r="E175" s="51">
        <v>1</v>
      </c>
      <c r="F175" s="51"/>
      <c r="G175" s="51"/>
      <c r="H175" s="51"/>
      <c r="I175" s="49">
        <f t="shared" si="6"/>
        <v>17.600000000000001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649</v>
      </c>
      <c r="C176" s="50">
        <v>10</v>
      </c>
      <c r="D176" s="50">
        <v>43</v>
      </c>
      <c r="E176" s="51">
        <v>1</v>
      </c>
      <c r="F176" s="51"/>
      <c r="G176" s="51"/>
      <c r="H176" s="51"/>
      <c r="I176" s="49">
        <f t="shared" si="6"/>
        <v>16.399999999999999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681</v>
      </c>
      <c r="C177" s="50">
        <v>11</v>
      </c>
      <c r="D177" s="50">
        <v>42</v>
      </c>
      <c r="E177" s="51">
        <v>1</v>
      </c>
      <c r="F177" s="51"/>
      <c r="G177" s="51"/>
      <c r="H177" s="51"/>
      <c r="I177" s="49">
        <f t="shared" si="6"/>
        <v>15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711</v>
      </c>
      <c r="C178" s="50">
        <v>12</v>
      </c>
      <c r="D178" s="50">
        <v>41</v>
      </c>
      <c r="E178" s="51">
        <v>1</v>
      </c>
      <c r="F178" s="51"/>
      <c r="G178" s="51"/>
      <c r="H178" s="51"/>
      <c r="I178" s="49">
        <f t="shared" si="6"/>
        <v>14.4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Chêne sessile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20</v>
      </c>
      <c r="B192" s="60">
        <v>42</v>
      </c>
      <c r="C192" s="60"/>
      <c r="D192" s="60">
        <v>0</v>
      </c>
      <c r="E192" s="51"/>
      <c r="F192" s="51"/>
      <c r="G192" s="51"/>
      <c r="H192" s="51"/>
      <c r="I192" s="49">
        <f>IFERROR(B192/A192,"")</f>
        <v>2.1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25</v>
      </c>
      <c r="B193" s="60">
        <v>70</v>
      </c>
      <c r="C193" s="60">
        <v>1</v>
      </c>
      <c r="D193" s="60">
        <v>8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5.6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30</v>
      </c>
      <c r="B194" s="60">
        <v>97</v>
      </c>
      <c r="C194" s="60">
        <v>2</v>
      </c>
      <c r="D194" s="60">
        <v>21</v>
      </c>
      <c r="E194" s="51"/>
      <c r="F194" s="51"/>
      <c r="G194" s="51"/>
      <c r="H194" s="51">
        <v>1</v>
      </c>
      <c r="I194" s="49">
        <f t="shared" si="7"/>
        <v>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35</v>
      </c>
      <c r="B195" s="60">
        <v>116</v>
      </c>
      <c r="C195" s="60">
        <v>3</v>
      </c>
      <c r="D195" s="60">
        <v>21</v>
      </c>
      <c r="E195" s="51">
        <v>1</v>
      </c>
      <c r="F195" s="51"/>
      <c r="G195" s="51"/>
      <c r="H195" s="51"/>
      <c r="I195" s="49">
        <f t="shared" si="7"/>
        <v>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40</v>
      </c>
      <c r="B196" s="60">
        <v>137</v>
      </c>
      <c r="C196" s="60">
        <v>4</v>
      </c>
      <c r="D196" s="60">
        <v>21</v>
      </c>
      <c r="E196" s="51">
        <v>1</v>
      </c>
      <c r="F196" s="51"/>
      <c r="G196" s="51"/>
      <c r="H196" s="51"/>
      <c r="I196" s="49">
        <f t="shared" si="7"/>
        <v>8.4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45</v>
      </c>
      <c r="B197" s="60">
        <v>158</v>
      </c>
      <c r="C197" s="60">
        <v>5</v>
      </c>
      <c r="D197" s="60">
        <v>21</v>
      </c>
      <c r="E197" s="51">
        <v>1</v>
      </c>
      <c r="F197" s="51"/>
      <c r="G197" s="51"/>
      <c r="H197" s="51"/>
      <c r="I197" s="49">
        <f t="shared" si="7"/>
        <v>8.4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50</v>
      </c>
      <c r="B198" s="60">
        <v>178</v>
      </c>
      <c r="C198" s="60">
        <v>6</v>
      </c>
      <c r="D198" s="60">
        <v>21</v>
      </c>
      <c r="E198" s="51">
        <v>1</v>
      </c>
      <c r="F198" s="51"/>
      <c r="G198" s="51"/>
      <c r="H198" s="51"/>
      <c r="I198" s="49">
        <f t="shared" si="7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55</v>
      </c>
      <c r="B199" s="50">
        <v>197</v>
      </c>
      <c r="C199" s="50">
        <v>7</v>
      </c>
      <c r="D199" s="50">
        <v>21</v>
      </c>
      <c r="E199" s="51">
        <v>1</v>
      </c>
      <c r="F199" s="51"/>
      <c r="G199" s="51"/>
      <c r="H199" s="51"/>
      <c r="I199" s="49">
        <f t="shared" si="7"/>
        <v>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60</v>
      </c>
      <c r="B200" s="50">
        <v>214</v>
      </c>
      <c r="C200" s="50">
        <v>8</v>
      </c>
      <c r="D200" s="50">
        <v>21</v>
      </c>
      <c r="E200" s="51">
        <v>1</v>
      </c>
      <c r="F200" s="51"/>
      <c r="G200" s="51"/>
      <c r="H200" s="51"/>
      <c r="I200" s="49">
        <f t="shared" si="7"/>
        <v>7.6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65</v>
      </c>
      <c r="B201" s="50">
        <v>229</v>
      </c>
      <c r="C201" s="50">
        <v>9</v>
      </c>
      <c r="D201" s="50">
        <v>21</v>
      </c>
      <c r="E201" s="51">
        <v>1</v>
      </c>
      <c r="F201" s="51"/>
      <c r="G201" s="51"/>
      <c r="H201" s="51"/>
      <c r="I201" s="49">
        <f t="shared" si="7"/>
        <v>7.2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70</v>
      </c>
      <c r="B202" s="50">
        <v>242</v>
      </c>
      <c r="C202" s="50">
        <v>10</v>
      </c>
      <c r="D202" s="50">
        <v>21</v>
      </c>
      <c r="E202" s="51">
        <v>1</v>
      </c>
      <c r="F202" s="51"/>
      <c r="G202" s="51"/>
      <c r="H202" s="51"/>
      <c r="I202" s="49">
        <f t="shared" si="7"/>
        <v>6.8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75</v>
      </c>
      <c r="B203" s="50">
        <v>252</v>
      </c>
      <c r="C203" s="50">
        <v>11</v>
      </c>
      <c r="D203" s="50">
        <v>21</v>
      </c>
      <c r="E203" s="51">
        <v>1</v>
      </c>
      <c r="F203" s="51"/>
      <c r="G203" s="51"/>
      <c r="H203" s="51"/>
      <c r="I203" s="49">
        <f t="shared" si="7"/>
        <v>6.2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80</v>
      </c>
      <c r="B204" s="50">
        <v>261</v>
      </c>
      <c r="C204" s="50">
        <v>12</v>
      </c>
      <c r="D204" s="50">
        <v>21</v>
      </c>
      <c r="E204" s="51">
        <v>1</v>
      </c>
      <c r="F204" s="51"/>
      <c r="G204" s="51"/>
      <c r="H204" s="51"/>
      <c r="I204" s="49">
        <f t="shared" si="7"/>
        <v>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85</v>
      </c>
      <c r="B205" s="50">
        <v>269</v>
      </c>
      <c r="C205" s="50">
        <v>13</v>
      </c>
      <c r="D205" s="50">
        <v>21</v>
      </c>
      <c r="E205" s="51">
        <v>1</v>
      </c>
      <c r="F205" s="51"/>
      <c r="G205" s="51"/>
      <c r="H205" s="51"/>
      <c r="I205" s="49">
        <f t="shared" si="7"/>
        <v>5.8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90</v>
      </c>
      <c r="B206" s="50">
        <v>275</v>
      </c>
      <c r="C206" s="50">
        <v>14</v>
      </c>
      <c r="D206" s="50">
        <v>21</v>
      </c>
      <c r="E206" s="51">
        <v>1</v>
      </c>
      <c r="F206" s="51"/>
      <c r="G206" s="51"/>
      <c r="H206" s="51"/>
      <c r="I206" s="49">
        <f t="shared" si="7"/>
        <v>5.4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95</v>
      </c>
      <c r="B207" s="50">
        <v>279</v>
      </c>
      <c r="C207" s="50">
        <v>15</v>
      </c>
      <c r="D207" s="50">
        <v>21</v>
      </c>
      <c r="E207" s="51">
        <v>1</v>
      </c>
      <c r="F207" s="51"/>
      <c r="G207" s="51"/>
      <c r="H207" s="51"/>
      <c r="I207" s="49">
        <f t="shared" si="7"/>
        <v>5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>
        <v>100</v>
      </c>
      <c r="B208" s="50">
        <v>282</v>
      </c>
      <c r="C208" s="50">
        <v>16</v>
      </c>
      <c r="D208" s="50">
        <v>21</v>
      </c>
      <c r="E208" s="51">
        <v>1</v>
      </c>
      <c r="F208" s="51"/>
      <c r="G208" s="51"/>
      <c r="H208" s="51"/>
      <c r="I208" s="49">
        <f t="shared" si="7"/>
        <v>4.8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>
        <v>105</v>
      </c>
      <c r="B209" s="50">
        <v>284</v>
      </c>
      <c r="C209" s="50">
        <v>17</v>
      </c>
      <c r="D209" s="50">
        <v>20</v>
      </c>
      <c r="E209" s="51">
        <v>1</v>
      </c>
      <c r="F209" s="51"/>
      <c r="G209" s="51"/>
      <c r="H209" s="51"/>
      <c r="I209" s="49">
        <f t="shared" si="7"/>
        <v>4.5999999999999996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>
        <v>110</v>
      </c>
      <c r="B210" s="50">
        <v>285</v>
      </c>
      <c r="C210" s="50">
        <v>18</v>
      </c>
      <c r="D210" s="50">
        <v>19</v>
      </c>
      <c r="E210" s="51">
        <v>1</v>
      </c>
      <c r="F210" s="51"/>
      <c r="G210" s="51"/>
      <c r="H210" s="51"/>
      <c r="I210" s="49">
        <f t="shared" si="7"/>
        <v>4.2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>
        <v>115</v>
      </c>
      <c r="B211" s="50">
        <v>285</v>
      </c>
      <c r="C211" s="50">
        <v>19</v>
      </c>
      <c r="D211" s="50">
        <v>18</v>
      </c>
      <c r="E211" s="51">
        <v>1</v>
      </c>
      <c r="F211" s="51"/>
      <c r="G211" s="51"/>
      <c r="H211" s="51"/>
      <c r="I211" s="49">
        <f t="shared" si="7"/>
        <v>3.8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Merisier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20</v>
      </c>
      <c r="B218" s="60">
        <v>117</v>
      </c>
      <c r="C218" s="50">
        <v>1</v>
      </c>
      <c r="D218" s="60">
        <v>27</v>
      </c>
      <c r="E218" s="63"/>
      <c r="F218" s="63"/>
      <c r="G218" s="63"/>
      <c r="H218" s="63">
        <v>1</v>
      </c>
      <c r="I218" s="53">
        <f>IFERROR(B218/A218,"")</f>
        <v>5.85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25</v>
      </c>
      <c r="B219" s="60">
        <v>140</v>
      </c>
      <c r="C219" s="50">
        <v>2</v>
      </c>
      <c r="D219" s="60">
        <v>16</v>
      </c>
      <c r="E219" s="63"/>
      <c r="F219" s="63"/>
      <c r="G219" s="63"/>
      <c r="H219" s="63">
        <v>1</v>
      </c>
      <c r="I219" s="53">
        <f t="shared" ref="I219:I237" si="8">IF(A219&lt;&gt;0,(B219-(B218-D218))/(A219-A218),"")</f>
        <v>10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30</v>
      </c>
      <c r="B220" s="60">
        <v>178</v>
      </c>
      <c r="C220" s="50">
        <v>3</v>
      </c>
      <c r="D220" s="60">
        <v>23</v>
      </c>
      <c r="E220" s="63"/>
      <c r="F220" s="63"/>
      <c r="G220" s="63"/>
      <c r="H220" s="63">
        <v>1</v>
      </c>
      <c r="I220" s="53">
        <f t="shared" si="8"/>
        <v>10.8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35</v>
      </c>
      <c r="B221" s="55">
        <v>213</v>
      </c>
      <c r="C221" s="55">
        <v>4</v>
      </c>
      <c r="D221" s="55">
        <v>29</v>
      </c>
      <c r="E221" s="63">
        <v>1</v>
      </c>
      <c r="F221" s="63"/>
      <c r="G221" s="63"/>
      <c r="H221" s="63"/>
      <c r="I221" s="53">
        <f t="shared" si="8"/>
        <v>11.6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40</v>
      </c>
      <c r="B222" s="55">
        <v>241</v>
      </c>
      <c r="C222" s="55">
        <v>5</v>
      </c>
      <c r="D222" s="55">
        <v>32</v>
      </c>
      <c r="E222" s="63">
        <v>1</v>
      </c>
      <c r="F222" s="63"/>
      <c r="G222" s="63"/>
      <c r="H222" s="63"/>
      <c r="I222" s="53">
        <f t="shared" si="8"/>
        <v>11.4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45</v>
      </c>
      <c r="B223" s="55">
        <v>263</v>
      </c>
      <c r="C223" s="55">
        <v>6</v>
      </c>
      <c r="D223" s="55">
        <v>36</v>
      </c>
      <c r="E223" s="63">
        <v>1</v>
      </c>
      <c r="F223" s="63"/>
      <c r="G223" s="63"/>
      <c r="H223" s="63"/>
      <c r="I223" s="53">
        <f t="shared" si="8"/>
        <v>10.8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50</v>
      </c>
      <c r="B224" s="55">
        <v>283</v>
      </c>
      <c r="C224" s="55">
        <v>7</v>
      </c>
      <c r="D224" s="55">
        <v>35</v>
      </c>
      <c r="E224" s="63">
        <v>1</v>
      </c>
      <c r="F224" s="63"/>
      <c r="G224" s="63"/>
      <c r="H224" s="63"/>
      <c r="I224" s="53">
        <f t="shared" si="8"/>
        <v>11.2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55</v>
      </c>
      <c r="B225" s="55">
        <v>297</v>
      </c>
      <c r="C225" s="55">
        <v>8</v>
      </c>
      <c r="D225" s="55">
        <v>35</v>
      </c>
      <c r="E225" s="63">
        <v>1</v>
      </c>
      <c r="F225" s="63"/>
      <c r="G225" s="63"/>
      <c r="H225" s="63"/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60</v>
      </c>
      <c r="B226" s="55">
        <v>310</v>
      </c>
      <c r="C226" s="55">
        <v>9</v>
      </c>
      <c r="D226" s="55">
        <v>37</v>
      </c>
      <c r="E226" s="63">
        <v>1</v>
      </c>
      <c r="F226" s="63"/>
      <c r="G226" s="63"/>
      <c r="H226" s="63"/>
      <c r="I226" s="53">
        <f t="shared" si="8"/>
        <v>9.6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65</v>
      </c>
      <c r="B227" s="55">
        <v>319</v>
      </c>
      <c r="C227" s="55">
        <v>10</v>
      </c>
      <c r="D227" s="55">
        <v>37</v>
      </c>
      <c r="E227" s="63">
        <v>1</v>
      </c>
      <c r="F227" s="63"/>
      <c r="G227" s="63"/>
      <c r="H227" s="63"/>
      <c r="I227" s="53">
        <f t="shared" si="8"/>
        <v>9.1999999999999993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70</v>
      </c>
      <c r="B228" s="55">
        <v>327</v>
      </c>
      <c r="C228" s="55">
        <v>11</v>
      </c>
      <c r="D228" s="55">
        <v>32</v>
      </c>
      <c r="E228" s="63">
        <v>1</v>
      </c>
      <c r="F228" s="63"/>
      <c r="G228" s="63"/>
      <c r="H228" s="63"/>
      <c r="I228" s="53">
        <f t="shared" si="8"/>
        <v>9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75</v>
      </c>
      <c r="B229" s="55">
        <v>340</v>
      </c>
      <c r="C229" s="55">
        <v>12</v>
      </c>
      <c r="D229" s="55">
        <v>31</v>
      </c>
      <c r="E229" s="63">
        <v>1</v>
      </c>
      <c r="F229" s="63"/>
      <c r="G229" s="63"/>
      <c r="H229" s="63"/>
      <c r="I229" s="53">
        <f t="shared" si="8"/>
        <v>9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80</v>
      </c>
      <c r="B230" s="55">
        <v>349</v>
      </c>
      <c r="C230" s="55"/>
      <c r="D230" s="55"/>
      <c r="E230" s="64"/>
      <c r="F230" s="64"/>
      <c r="G230" s="64"/>
      <c r="H230" s="64"/>
      <c r="I230" s="53">
        <f t="shared" si="8"/>
        <v>8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Alisier torminal</v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10</v>
      </c>
      <c r="B244" s="60">
        <v>11</v>
      </c>
      <c r="C244" s="60"/>
      <c r="D244" s="60">
        <v>0</v>
      </c>
      <c r="E244" s="51"/>
      <c r="F244" s="51"/>
      <c r="G244" s="51"/>
      <c r="H244" s="63"/>
      <c r="I244" s="53">
        <f>IFERROR(B244/A244,"")</f>
        <v>1.1000000000000001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15</v>
      </c>
      <c r="B245" s="60">
        <v>65</v>
      </c>
      <c r="C245" s="60">
        <v>1</v>
      </c>
      <c r="D245" s="60">
        <v>32</v>
      </c>
      <c r="E245" s="63"/>
      <c r="F245" s="63"/>
      <c r="G245" s="63"/>
      <c r="H245" s="63">
        <v>1</v>
      </c>
      <c r="I245" s="53">
        <f>IF(A245&lt;&gt;0,(B245-(B244-D244))/(A245-A244),"")</f>
        <v>10.8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20</v>
      </c>
      <c r="B246" s="60">
        <v>102</v>
      </c>
      <c r="C246" s="60">
        <v>2</v>
      </c>
      <c r="D246" s="60">
        <v>35</v>
      </c>
      <c r="E246" s="63"/>
      <c r="F246" s="63"/>
      <c r="G246" s="63"/>
      <c r="H246" s="63">
        <v>1</v>
      </c>
      <c r="I246" s="53">
        <f>IF(A246&lt;&gt;0,(B246-(B245-D245))/(A246-A245),"")</f>
        <v>13.8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25</v>
      </c>
      <c r="B247" s="60">
        <v>141</v>
      </c>
      <c r="C247" s="60">
        <v>3</v>
      </c>
      <c r="D247" s="60">
        <v>35</v>
      </c>
      <c r="E247" s="63"/>
      <c r="F247" s="63"/>
      <c r="G247" s="63"/>
      <c r="H247" s="63">
        <v>1</v>
      </c>
      <c r="I247" s="53">
        <f t="shared" ref="I247:I263" si="9">IF(A247&lt;&gt;0,(B247-(B246-D246))/(A247-A246),"")</f>
        <v>14.8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30</v>
      </c>
      <c r="B248" s="60">
        <v>177</v>
      </c>
      <c r="C248" s="60">
        <v>4</v>
      </c>
      <c r="D248" s="60">
        <v>35</v>
      </c>
      <c r="E248" s="63"/>
      <c r="F248" s="63"/>
      <c r="G248" s="63"/>
      <c r="H248" s="63">
        <v>1</v>
      </c>
      <c r="I248" s="53">
        <f t="shared" si="9"/>
        <v>14.2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35</v>
      </c>
      <c r="B249" s="60">
        <v>206</v>
      </c>
      <c r="C249" s="60">
        <v>5</v>
      </c>
      <c r="D249" s="60">
        <v>35</v>
      </c>
      <c r="E249" s="63">
        <v>1</v>
      </c>
      <c r="F249" s="63"/>
      <c r="G249" s="63"/>
      <c r="H249" s="63"/>
      <c r="I249" s="53">
        <f t="shared" si="9"/>
        <v>12.8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40</v>
      </c>
      <c r="B250" s="60">
        <v>228</v>
      </c>
      <c r="C250" s="60">
        <v>6</v>
      </c>
      <c r="D250" s="60">
        <v>35</v>
      </c>
      <c r="E250" s="63">
        <v>1</v>
      </c>
      <c r="F250" s="63"/>
      <c r="G250" s="63"/>
      <c r="H250" s="63"/>
      <c r="I250" s="53">
        <f t="shared" si="9"/>
        <v>11.4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45</v>
      </c>
      <c r="B251" s="55">
        <v>242</v>
      </c>
      <c r="C251" s="55">
        <v>7</v>
      </c>
      <c r="D251" s="55">
        <v>24</v>
      </c>
      <c r="E251" s="63">
        <v>1</v>
      </c>
      <c r="F251" s="63"/>
      <c r="G251" s="63"/>
      <c r="H251" s="63"/>
      <c r="I251" s="53">
        <f t="shared" si="9"/>
        <v>9.8000000000000007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50</v>
      </c>
      <c r="B252" s="55">
        <v>261</v>
      </c>
      <c r="C252" s="55">
        <v>8</v>
      </c>
      <c r="D252" s="55">
        <v>19</v>
      </c>
      <c r="E252" s="63">
        <v>1</v>
      </c>
      <c r="F252" s="63"/>
      <c r="G252" s="63"/>
      <c r="H252" s="63"/>
      <c r="I252" s="53">
        <f t="shared" si="9"/>
        <v>8.6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55</v>
      </c>
      <c r="B253" s="55">
        <v>279</v>
      </c>
      <c r="C253" s="55">
        <v>9</v>
      </c>
      <c r="D253" s="55">
        <v>16</v>
      </c>
      <c r="E253" s="63">
        <v>1</v>
      </c>
      <c r="F253" s="63"/>
      <c r="G253" s="63"/>
      <c r="H253" s="63"/>
      <c r="I253" s="53">
        <f t="shared" si="9"/>
        <v>7.4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60</v>
      </c>
      <c r="B254" s="55">
        <v>294</v>
      </c>
      <c r="C254" s="55">
        <v>10</v>
      </c>
      <c r="D254" s="55">
        <v>14</v>
      </c>
      <c r="E254" s="63">
        <v>1</v>
      </c>
      <c r="F254" s="63"/>
      <c r="G254" s="63"/>
      <c r="H254" s="63"/>
      <c r="I254" s="53">
        <f t="shared" si="9"/>
        <v>6.2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65</v>
      </c>
      <c r="B255" s="55">
        <v>306</v>
      </c>
      <c r="C255" s="55">
        <v>11</v>
      </c>
      <c r="D255" s="55">
        <v>13</v>
      </c>
      <c r="E255" s="63">
        <v>1</v>
      </c>
      <c r="F255" s="63"/>
      <c r="G255" s="63"/>
      <c r="H255" s="63"/>
      <c r="I255" s="53">
        <f t="shared" si="9"/>
        <v>5.2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70</v>
      </c>
      <c r="B256" s="55">
        <v>316</v>
      </c>
      <c r="C256" s="55">
        <v>12</v>
      </c>
      <c r="D256" s="55">
        <v>13</v>
      </c>
      <c r="E256" s="64">
        <v>1</v>
      </c>
      <c r="F256" s="64"/>
      <c r="G256" s="64"/>
      <c r="H256" s="64"/>
      <c r="I256" s="53">
        <f t="shared" si="9"/>
        <v>4.5999999999999996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>
        <v>75</v>
      </c>
      <c r="B257" s="60">
        <v>324</v>
      </c>
      <c r="C257" s="86">
        <v>13</v>
      </c>
      <c r="D257" s="60">
        <v>12</v>
      </c>
      <c r="E257" s="54">
        <v>1</v>
      </c>
      <c r="F257" s="54"/>
      <c r="G257" s="54"/>
      <c r="H257" s="54"/>
      <c r="I257" s="53">
        <f t="shared" si="9"/>
        <v>4.2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80</v>
      </c>
      <c r="B258" s="50">
        <v>330</v>
      </c>
      <c r="C258" s="50">
        <v>14</v>
      </c>
      <c r="D258" s="50">
        <v>11</v>
      </c>
      <c r="E258" s="54">
        <v>1</v>
      </c>
      <c r="F258" s="54"/>
      <c r="G258" s="54"/>
      <c r="H258" s="54"/>
      <c r="I258" s="53">
        <f t="shared" si="9"/>
        <v>3.6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2" t="s">
        <v>191</v>
      </c>
      <c r="C2" s="283"/>
      <c r="D2" s="283"/>
      <c r="E2" s="283"/>
      <c r="F2" s="283"/>
      <c r="G2" s="28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1"/>
      <c r="C4" s="281"/>
      <c r="D4" s="281"/>
      <c r="E4" s="281"/>
      <c r="F4" s="281"/>
      <c r="G4" s="28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8" t="s">
        <v>176</v>
      </c>
      <c r="C1" s="289"/>
      <c r="D1" s="289"/>
      <c r="E1" s="289"/>
      <c r="F1" s="289"/>
      <c r="G1" s="289"/>
      <c r="H1" s="290"/>
      <c r="I1" s="285" t="str">
        <f>IF('Données projet'!$B$9="","",'Données projet'!$B$9)</f>
        <v>Cèdre de l'Atlas</v>
      </c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7"/>
      <c r="AD1" s="286" t="str">
        <f>IF('Données projet'!$B$10="","",'Données projet'!$B$10)</f>
        <v>Douglas</v>
      </c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7"/>
      <c r="AY1" s="285" t="str">
        <f>IF('Données projet'!$B$11="","",'Données projet'!$B$11)</f>
        <v>Erable sycomore</v>
      </c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7"/>
      <c r="BT1" s="285" t="str">
        <f>IF('Données projet'!$B$12="","",'Données projet'!$B$12)</f>
        <v>Sapin pectiné</v>
      </c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7"/>
      <c r="CO1" s="285" t="str">
        <f>IF('Données projet'!$B$13="","",'Données projet'!$B$13)</f>
        <v>Mélèze d'Europe</v>
      </c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7"/>
      <c r="DJ1" s="285" t="str">
        <f>IF('Données projet'!$B$14="","",'Données projet'!$B$14)</f>
        <v>Sapin de Nordmann</v>
      </c>
      <c r="DK1" s="286"/>
      <c r="DL1" s="286"/>
      <c r="DM1" s="286"/>
      <c r="DN1" s="286"/>
      <c r="DO1" s="286"/>
      <c r="DP1" s="286"/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7"/>
      <c r="EE1" s="285" t="str">
        <f>IF('Données projet'!$B$15="","",'Données projet'!$B$15)</f>
        <v>Chêne sessile</v>
      </c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7"/>
      <c r="EZ1" s="285" t="str">
        <f>IF('Données projet'!$B$16="","",'Données projet'!$B$16)</f>
        <v>Merisier</v>
      </c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  <c r="FL1" s="286"/>
      <c r="FM1" s="286"/>
      <c r="FN1" s="286"/>
      <c r="FO1" s="286"/>
      <c r="FP1" s="286"/>
      <c r="FQ1" s="286"/>
      <c r="FR1" s="286"/>
      <c r="FS1" s="286"/>
      <c r="FT1" s="287"/>
      <c r="FU1" s="285" t="str">
        <f>IF('Données projet'!$B$17="","",'Données projet'!$B$17)</f>
        <v>Alisier torminal</v>
      </c>
      <c r="FV1" s="286"/>
      <c r="FW1" s="286"/>
      <c r="FX1" s="286"/>
      <c r="FY1" s="286"/>
      <c r="FZ1" s="286"/>
      <c r="GA1" s="286"/>
      <c r="GB1" s="286"/>
      <c r="GC1" s="286"/>
      <c r="GD1" s="286"/>
      <c r="GE1" s="286"/>
      <c r="GF1" s="286"/>
      <c r="GG1" s="286"/>
      <c r="GH1" s="286"/>
      <c r="GI1" s="286"/>
      <c r="GJ1" s="286"/>
      <c r="GK1" s="286"/>
      <c r="GL1" s="286"/>
      <c r="GM1" s="286"/>
      <c r="GN1" s="286"/>
      <c r="GO1" s="287"/>
      <c r="GP1" s="285" t="str">
        <f>IF('Données projet'!$B$18="","",'Données projet'!$B$18)</f>
        <v/>
      </c>
      <c r="GQ1" s="286"/>
      <c r="GR1" s="286"/>
      <c r="GS1" s="286"/>
      <c r="GT1" s="286"/>
      <c r="GU1" s="286"/>
      <c r="GV1" s="286"/>
      <c r="GW1" s="286"/>
      <c r="GX1" s="286"/>
      <c r="GY1" s="286"/>
      <c r="GZ1" s="286"/>
      <c r="HA1" s="286"/>
      <c r="HB1" s="286"/>
      <c r="HC1" s="286"/>
      <c r="HD1" s="286"/>
      <c r="HE1" s="286"/>
      <c r="HF1" s="286"/>
      <c r="HG1" s="286"/>
      <c r="HH1" s="286"/>
      <c r="HI1" s="286"/>
      <c r="HJ1" s="287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342.49944586217674</v>
      </c>
      <c r="T3" s="59">
        <f>IF('Données projet'!E9&gt;30,$R$33-$H$33,LOOKUP('Données projet'!$E$9,$A$3:$A$203,R3:R203)-LOOKUP('Données projet'!$E$9,$A$3:$A$203,$H$3:$H$203))</f>
        <v>282.29766600872563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490.96084572840579</v>
      </c>
      <c r="AO3" s="59">
        <f>IF('Données projet'!E10&gt;30,$AM$33-$H$33,LOOKUP('Données projet'!$E$10,$A$3:$A$203,AM3:AM203)-LOOKUP('Données projet'!$E$10,$A$3:$A$203,$H$3:$H$203))</f>
        <v>597.91658789908263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167.80254365106839</v>
      </c>
      <c r="BJ3" s="59">
        <f>IF('Données projet'!E11&gt;30,$BH$33-$H$33,LOOKUP('Données projet'!$E$11,$A$3:$A$203,BH3:BH203)-LOOKUP('Données projet'!$E$11,$A$3:$A$203,$H$3:$H$203))</f>
        <v>167.42302164950172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322.06606384496587</v>
      </c>
      <c r="CE3" s="59">
        <f>IF('Données projet'!E12&gt;30,$CC$33-$H$33,LOOKUP('Données projet'!$E$12,$A$3:$A$203,CC3:CC203)-LOOKUP('Données projet'!$E$12,$A$3:$A$203,$H$3:$H$203))</f>
        <v>267.71713177624713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269.77739619445515</v>
      </c>
      <c r="CZ3" s="59">
        <f>IF('Données projet'!E13&gt;30,$CX$33-$H$33,LOOKUP('Données projet'!$E$13,$A$3:$A$203,CX3:CX203)-LOOKUP('Données projet'!$E$13,$A$3:$A$203,$H$3:$H$203))</f>
        <v>347.56964743629885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312.64506496298173</v>
      </c>
      <c r="DU3" s="59">
        <f>IF('Données projet'!E14&gt;30,$DS$33-$H$33,LOOKUP('Données projet'!$E$14,$A$3:$A$203,DS3:DS203)-LOOKUP('Données projet'!$E$14,$A$3:$A$203,$H$3:$H$203))</f>
        <v>259.97532509897508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269.64423257646359</v>
      </c>
      <c r="EP3" s="59">
        <f>IF('Données projet'!E15&gt;30,$EN$33-$H$33,LOOKUP('Données projet'!$E$15,$A$3:$A$203,EN3:EN203)-LOOKUP('Données projet'!$E$15,$A$3:$A$203,$H$3:$H$203))</f>
        <v>161.0819079811821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283.77864672734273</v>
      </c>
      <c r="FK3" s="59">
        <f>IF('Données projet'!E16&gt;30,$FI$33-$H$33,LOOKUP('Données projet'!$E$16,$A$3:$A$203,FI3:FI203)-LOOKUP('Données projet'!$E$16,$A$3:$A$203,$H$3:$H$203))</f>
        <v>270.94620935643866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347.54503437087288</v>
      </c>
      <c r="GF3" s="59">
        <f>IF('Données projet'!E17&gt;30,$GD$33-$H$33,LOOKUP('Données projet'!$E$17,$A$3:$A$203,GD3:GD203)-LOOKUP('Données projet'!$E$17,$A$3:$A$203,$H$3:$H$203))</f>
        <v>340.05673244455954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3.0666666666666669</v>
      </c>
      <c r="N4" s="13">
        <f>IF('Données projet'!$A$36&gt;35,N3+M4-V3,IF(A4&lt;'Données projet'!$A$36,$K$205^A4,IF(A4='Données projet'!$A$36,'Données projet'!$B$36,N3+M4-V3)))</f>
        <v>1.2907749310619425</v>
      </c>
      <c r="O4" s="13">
        <f>N4*VLOOKUP('Données projet'!$B$9,Paramètres!$A$1:$I$89,3,0)*VLOOKUP('Données projet'!$B$9,Paramètres!$A$1:$I$89,5,0)</f>
        <v>0.60408266773698904</v>
      </c>
      <c r="P4" s="13">
        <f>EXP(-1.0587+0.8836*LN(O4)+0.284)</f>
        <v>0.29520847547579698</v>
      </c>
      <c r="Q4" s="20">
        <f t="shared" ref="Q4:Q34" si="2">(O4+P4)*0.475*44/12</f>
        <v>1.5662654077622691</v>
      </c>
      <c r="R4" s="59">
        <f t="shared" si="0"/>
        <v>294.89959874109559</v>
      </c>
      <c r="S4" s="59">
        <f ca="1">AVERAGE(OFFSET($R$3,0,0,'Données projet'!$E$9+1,1))-AVERAGE(OFFSET($H$3,0,0,'Données projet'!$E$9+1,1))</f>
        <v>342.49944586217674</v>
      </c>
      <c r="T4" s="59">
        <f>$T$3</f>
        <v>282.29766600872563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10.8</v>
      </c>
      <c r="AI4" s="13">
        <f>IF('Données projet'!$A$62&gt;35,AI3+AH4-AQ3,IF(A4&lt;'Données projet'!$A$62,$AF$205^A4,IF(A4='Données projet'!$A$62,'Données projet'!$B$62,AI3+AH4-AQ3)))</f>
        <v>1.4037863041747067</v>
      </c>
      <c r="AJ4" s="13">
        <f>AI4*VLOOKUP('Données projet'!$B$10,Paramètres!$A$1:$I$89,3,0)*VLOOKUP('Données projet'!$B$10,Paramètres!$A$1:$I$89,5,0)</f>
        <v>0.78471654403366109</v>
      </c>
      <c r="AK4" s="13">
        <f>EXP(-1.0587+0.8836*LN(AJ4)+0.284)</f>
        <v>0.37198061042729702</v>
      </c>
      <c r="AL4" s="20">
        <f t="shared" ref="AL4:AL67" si="4">(AJ4+AK4)*0.475*44/12</f>
        <v>2.0145808773528358</v>
      </c>
      <c r="AM4" s="59">
        <f t="shared" ref="AM4:AM67" si="5">AL4+(AD4+AE4)*44/12</f>
        <v>295.34791421068616</v>
      </c>
      <c r="AN4" s="59">
        <f ca="1">AVERAGE(OFFSET($AM$3,0,0,'Données projet'!$E$10+1,1))-AVERAGE(OFFSET($H$3,0,0,'Données projet'!$E$10+1,1))</f>
        <v>490.96084572840579</v>
      </c>
      <c r="AO4" s="59">
        <f>$AO$3</f>
        <v>597.91658789908263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0.6</v>
      </c>
      <c r="BD4" s="12">
        <f>IF('Données projet'!$A$88&gt;35,BD3+BC4-BL3,IF(A4&lt;'Données projet'!$A$88,$BA$205^A4,IF(A4='Données projet'!$A$88,'Données projet'!$B$88,BD3+BC4-BL3)))</f>
        <v>1.1577536725165907</v>
      </c>
      <c r="BE4" s="13">
        <f>BD4*VLOOKUP('Données projet'!$B$11,Paramètres!$A$1:$I$89,3,0)*VLOOKUP('Données projet'!$B$11,Paramètres!$A$1:$I$89,5,0)</f>
        <v>0.92110882185419962</v>
      </c>
      <c r="BF4" s="13">
        <f>EXP(-1.0587+0.8836*LN(BE4)+0.284)</f>
        <v>0.4285655059947403</v>
      </c>
      <c r="BG4" s="20">
        <f t="shared" ref="BG4:BG67" si="7">(BE4+BF4)*0.475*44/12</f>
        <v>2.3506827876702365</v>
      </c>
      <c r="BH4" s="59">
        <f t="shared" ref="BH4:BH67" si="8">BG4+(AY4+AZ4)*44/12</f>
        <v>295.68401612100354</v>
      </c>
      <c r="BI4" s="59">
        <f ca="1">AVERAGE(OFFSET($BH$3,0,0,'Données projet'!$E$11+1,1))-AVERAGE(OFFSET($H$3,0,0,'Données projet'!$E$11+1,1))</f>
        <v>167.80254365106839</v>
      </c>
      <c r="BJ4" s="59">
        <f>$BJ$3</f>
        <v>167.42302164950172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4.8</v>
      </c>
      <c r="BY4" s="12">
        <f>IF('Données projet'!$A$114&gt;35,BY3+BX4-CG3,IF(A4&lt;'Données projet'!$A$114,$BV$205^A4,IF(A4='Données projet'!$A$114,'Données projet'!$B$114,BY3+BX4-CG3)))</f>
        <v>1.2563584400948855</v>
      </c>
      <c r="BZ4" s="13">
        <f>BY4*VLOOKUP('Données projet'!$B$12,Paramètres!$A$1:$I$89,3,0)*VLOOKUP('Données projet'!$B$12,Paramètres!$A$1:$I$89,5,0)</f>
        <v>0.62064106940687347</v>
      </c>
      <c r="CA4" s="13">
        <f>EXP(-1.0587+0.8836*LN(BZ4)+0.284)</f>
        <v>0.30234719234274049</v>
      </c>
      <c r="CB4" s="20">
        <f t="shared" ref="CB4:CB67" si="10">(BZ4+CA4)*0.475*44/12</f>
        <v>1.6075378892139109</v>
      </c>
      <c r="CC4" s="59">
        <f t="shared" ref="CC4:CC67" si="11">CB4+(BT4+BU4)*44/12</f>
        <v>294.94087122254723</v>
      </c>
      <c r="CD4" s="59">
        <f ca="1">AVERAGE(OFFSET($CC$3,0,0,'Données projet'!$E$12+1,1))-AVERAGE(OFFSET($H$3,0,0,'Données projet'!$E$12+1,1))</f>
        <v>322.06606384496587</v>
      </c>
      <c r="CE4" s="59">
        <f>$CE$3</f>
        <v>267.71713177624713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8.5833333333333339</v>
      </c>
      <c r="CT4" s="12">
        <f>IF('Données projet'!$A$140&gt;35,CT3+CS4-DB3,IF(A4&lt;'Données projet'!$A$140,$CQ$205^A4,IF(A4='Données projet'!$A$140,'Données projet'!$B$140,CT3+CS4-DB3)))</f>
        <v>1.4714192565876152</v>
      </c>
      <c r="CU4" s="17">
        <f>CT4*VLOOKUP('Données projet'!$B$13,Paramètres!$A$1:$I$89,3,0)*VLOOKUP('Données projet'!$B$13,Paramètres!$A$1:$I$89,5,0)</f>
        <v>0.91816561611067193</v>
      </c>
      <c r="CV4" s="13">
        <f>EXP(-1.0587+0.8836*LN(CU4)+0.284)</f>
        <v>0.42735528842602116</v>
      </c>
      <c r="CW4" s="20">
        <f t="shared" ref="CW4:CW67" si="13">(CU4+CV4)*0.475*44/12</f>
        <v>2.3434489087347408</v>
      </c>
      <c r="CX4" s="59">
        <f t="shared" ref="CX4:CX67" si="14">CW4+(CO4+CP4)*44/12</f>
        <v>295.67678224206804</v>
      </c>
      <c r="CY4" s="59">
        <f ca="1">AVERAGE(OFFSET($CX$3,0,0,'Données projet'!$E$13+1,1))-AVERAGE(OFFSET($H$3,0,0,'Données projet'!$E$13+1,1))</f>
        <v>269.77739619445515</v>
      </c>
      <c r="CZ4" s="59">
        <f>$CZ$3</f>
        <v>347.56964743629885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4.8</v>
      </c>
      <c r="DO4" s="12">
        <f>IF('Données projet'!$A$166&gt;35,DO3+DN4-DW3,IF(A4&lt;'Données projet'!$A$166,$DL$205^A4,IF(A4='Données projet'!$A$166,'Données projet'!$B$166,DO3+DN4-DW3)))</f>
        <v>1.2563584400948855</v>
      </c>
      <c r="DP4" s="17">
        <f>DO4*VLOOKUP('Données projet'!$B$14,Paramètres!$A$1:$I$89,3,0)*VLOOKUP('Données projet'!$B$14,Paramètres!$A$1:$I$89,5,0)</f>
        <v>0.60430840968563992</v>
      </c>
      <c r="DQ4" s="13">
        <f>EXP(-1.0587+0.8836*LN(DP4)+0.284)</f>
        <v>0.29530594996755061</v>
      </c>
      <c r="DR4" s="20">
        <f t="shared" ref="DR4:DR67" si="16">(DP4+DQ4)*0.475*44/12</f>
        <v>1.56682834306264</v>
      </c>
      <c r="DS4" s="59">
        <f t="shared" ref="DS4:DS67" si="17">DR4+(DJ4+DK4)*44/12</f>
        <v>294.90016167639595</v>
      </c>
      <c r="DT4" s="59">
        <f ca="1">AVERAGE(OFFSET($DS$3,0,0,'Données projet'!$E$14+1,1))-AVERAGE(OFFSET($H$3,0,0,'Données projet'!$E$14+1,1))</f>
        <v>312.64506496298173</v>
      </c>
      <c r="DU4" s="59">
        <f>$DU$3</f>
        <v>259.97532509897508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2.1</v>
      </c>
      <c r="EJ4" s="12">
        <f>IF('Données projet'!$A$192&gt;35,EJ3+EI4-ER3,IF(A4&lt;'Données projet'!$A$192,$EG$205^A4,IF(A4='Données projet'!$A$192,'Données projet'!$B$192,EJ3+EI4-ER3)))</f>
        <v>1.2054868146447177</v>
      </c>
      <c r="EK4" s="17">
        <f>EJ4*VLOOKUP('Données projet'!$B$15,Paramètres!$A$1:$I$89,3,0)*VLOOKUP('Données projet'!$B$15,Paramètres!$A$1:$I$89,5,0)</f>
        <v>1.0907244698905405</v>
      </c>
      <c r="EL4" s="13">
        <f>EXP(-1.0587+0.8836*LN(EK4)+0.284)</f>
        <v>0.49759623852608204</v>
      </c>
      <c r="EM4" s="20">
        <f t="shared" ref="EM4:EM67" si="19">(EK4+EL4)*0.475*44/12</f>
        <v>2.7663252338256172</v>
      </c>
      <c r="EN4" s="59">
        <f t="shared" ref="EN4:EN67" si="20">EM4+(EE4+EF4)*44/12</f>
        <v>296.09965856715894</v>
      </c>
      <c r="EO4" s="59">
        <f ca="1">AVERAGE(OFFSET($EN$3,0,0,'Données projet'!$E$15+1,1))-AVERAGE(OFFSET($H$3,0,0,'Données projet'!$E$15+1,1))</f>
        <v>269.64423257646359</v>
      </c>
      <c r="EP4" s="59">
        <f>$EP$3</f>
        <v>161.0819079811821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5.85</v>
      </c>
      <c r="FE4" s="12">
        <f>IF('Données projet'!$A$218&gt;35,FE3+FD4-FM3,IF(A4&lt;'Données projet'!$A$218,$FB$205^A4,IF(A4='Données projet'!$A$218,'Données projet'!$B$218,FE3+FD4-FM3)))</f>
        <v>1.2688471048731957</v>
      </c>
      <c r="FF4" s="17">
        <f>FE4*VLOOKUP('Données projet'!$B$16,Paramètres!$A$1:$I$89,3,0)*VLOOKUP('Données projet'!$B$16,Paramètres!$A$1:$I$89,5,0)</f>
        <v>0.98970074180109269</v>
      </c>
      <c r="FG4" s="13">
        <f>EXP(-1.0587+0.8836*LN(FF4)+0.284)</f>
        <v>0.45664563134517483</v>
      </c>
      <c r="FH4" s="20">
        <f t="shared" ref="FH4:FH67" si="22">(FF4+FG4)*0.475*44/12</f>
        <v>2.5190532665630827</v>
      </c>
      <c r="FI4" s="59">
        <f t="shared" ref="FI4:FI67" si="23">FH4+(EZ4+FA4)*44/12</f>
        <v>295.85238659989642</v>
      </c>
      <c r="FJ4" s="59">
        <f ca="1">AVERAGE(OFFSET($FI$3,0,0,'Données projet'!$E$16+1,1))-AVERAGE(OFFSET($H$3,0,0,'Données projet'!$E$16+1,1))</f>
        <v>283.77864672734273</v>
      </c>
      <c r="FK4" s="59">
        <f>$FK$3</f>
        <v>270.94620935643866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1.1000000000000001</v>
      </c>
      <c r="FZ4" s="12">
        <f>IF('Données projet'!$A$244&gt;35,FZ3+FY4-GH3,IF(A4&lt;'Données projet'!$A$244,$FW$205^A4,IF(A4='Données projet'!$A$244,'Données projet'!$B$244,FZ3+FY4-GH3)))</f>
        <v>1.2709816152101407</v>
      </c>
      <c r="GA4" s="17">
        <f>FZ4*VLOOKUP('Données projet'!$B$17,Paramètres!$A$1:$I$89,3,0)*VLOOKUP('Données projet'!$B$17,Paramètres!$A$1:$I$89,5,0)</f>
        <v>1.2292934182312483</v>
      </c>
      <c r="GB4" s="13">
        <f>EXP(-1.0587+0.8836*LN(GA4)+0.284)</f>
        <v>0.55305931891112503</v>
      </c>
      <c r="GC4" s="20">
        <f t="shared" ref="GC4:GC67" si="25">(GA4+GB4)*0.475*44/12</f>
        <v>3.1042643505229663</v>
      </c>
      <c r="GD4" s="59">
        <f t="shared" ref="GD4:GD67" si="26">GC4+(FU4+FV4)*44/12</f>
        <v>296.43759768385627</v>
      </c>
      <c r="GE4" s="59">
        <f ca="1">AVERAGE(OFFSET($GD$3,0,0,'Données projet'!$E$17+1,1))-AVERAGE(OFFSET($H$3,0,0,'Données projet'!$E$17+1,1))</f>
        <v>347.54503437087288</v>
      </c>
      <c r="GF4" s="59">
        <f>$GF$3</f>
        <v>340.05673244455954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3.0666666666666669</v>
      </c>
      <c r="N5" s="13">
        <f>IF('Données projet'!$A$36&gt;35,N4+M5-V4,IF(A5&lt;'Données projet'!$A$36,$K$205^A5,IF(A5='Données projet'!$A$36,'Données projet'!$B$36,N4+M5-V4)))</f>
        <v>1.6660999226579625</v>
      </c>
      <c r="O5" s="13">
        <f>N5*VLOOKUP('Données projet'!$B$9,Paramètres!$A$1:$I$89,3,0)*VLOOKUP('Données projet'!$B$9,Paramètres!$A$1:$I$89,5,0)</f>
        <v>0.77973476380392637</v>
      </c>
      <c r="P5" s="13">
        <f t="shared" ref="P5:P68" si="33">EXP(-1.0587+0.8836*LN(O5)+0.284)</f>
        <v>0.36989319647940833</v>
      </c>
      <c r="Q5" s="20">
        <f t="shared" si="2"/>
        <v>2.0022686974934745</v>
      </c>
      <c r="R5" s="59">
        <f t="shared" si="0"/>
        <v>295.33560203082681</v>
      </c>
      <c r="S5" s="59">
        <f ca="1">AVERAGE(OFFSET($R$3,0,0,'Données projet'!$E$9+1,1))-AVERAGE(OFFSET($H$3,0,0,'Données projet'!$E$9+1,1))</f>
        <v>342.49944586217674</v>
      </c>
      <c r="T5" s="59">
        <f t="shared" ref="T5:T68" si="34">$T$3</f>
        <v>282.29766600872563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10.8</v>
      </c>
      <c r="AI5" s="13">
        <f>IF('Données projet'!$A$62&gt;35,AI4+AH5-AQ4,IF(A5&lt;'Données projet'!$A$62,$AF$205^A5,IF(A5='Données projet'!$A$62,'Données projet'!$B$62,AI4+AH5-AQ4)))</f>
        <v>1.9706159877884823</v>
      </c>
      <c r="AJ5" s="13">
        <f>AI5*VLOOKUP('Données projet'!$B$10,Paramètres!$A$1:$I$89,3,0)*VLOOKUP('Données projet'!$B$10,Paramètres!$A$1:$I$89,5,0)</f>
        <v>1.1015743371737616</v>
      </c>
      <c r="AK5" s="13">
        <f t="shared" ref="AK5:AK68" si="35">EXP(-1.0587+0.8836*LN(AJ5)+0.284)</f>
        <v>0.50196734705126034</v>
      </c>
      <c r="AL5" s="20">
        <f t="shared" si="4"/>
        <v>2.7928351000252465</v>
      </c>
      <c r="AM5" s="59">
        <f t="shared" si="5"/>
        <v>296.12616843335854</v>
      </c>
      <c r="AN5" s="59">
        <f ca="1">AVERAGE(OFFSET($AM$3,0,0,'Données projet'!$E$10+1,1))-AVERAGE(OFFSET($H$3,0,0,'Données projet'!$E$10+1,1))</f>
        <v>490.96084572840579</v>
      </c>
      <c r="AO5" s="59">
        <f t="shared" ref="AO5:AO68" si="36">$AO$3</f>
        <v>597.91658789908263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0.6</v>
      </c>
      <c r="BD5" s="12">
        <f>IF('Données projet'!$A$88&gt;35,BD4+BC5-BL4,IF(A5&lt;'Données projet'!$A$88,$BA$205^A5,IF(A5='Données projet'!$A$88,'Données projet'!$B$88,BD4+BC5-BL4)))</f>
        <v>1.340393566225653</v>
      </c>
      <c r="BE5" s="13">
        <f>BD5*VLOOKUP('Données projet'!$B$11,Paramètres!$A$1:$I$89,3,0)*VLOOKUP('Données projet'!$B$11,Paramètres!$A$1:$I$89,5,0)</f>
        <v>1.0664171212891296</v>
      </c>
      <c r="BF5" s="13">
        <f t="shared" ref="BF5:BF68" si="37">EXP(-1.0587+0.8836*LN(BE5)+0.284)</f>
        <v>0.48778501947299968</v>
      </c>
      <c r="BG5" s="20">
        <f t="shared" si="7"/>
        <v>2.7069020618273747</v>
      </c>
      <c r="BH5" s="59">
        <f t="shared" si="8"/>
        <v>296.04023539516066</v>
      </c>
      <c r="BI5" s="59">
        <f ca="1">AVERAGE(OFFSET($BH$3,0,0,'Données projet'!$E$11+1,1))-AVERAGE(OFFSET($H$3,0,0,'Données projet'!$E$11+1,1))</f>
        <v>167.80254365106839</v>
      </c>
      <c r="BJ5" s="59">
        <f t="shared" ref="BJ5:BJ68" si="38">$BJ$3</f>
        <v>167.42302164950172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4.8</v>
      </c>
      <c r="BY5" s="12">
        <f>IF('Données projet'!$A$114&gt;35,BY4+BX5-CG4,IF(A5&lt;'Données projet'!$A$114,$BV$205^A5,IF(A5='Données projet'!$A$114,'Données projet'!$B$114,BY4+BX5-CG4)))</f>
        <v>1.5784365299976539</v>
      </c>
      <c r="BZ5" s="13">
        <f>BY5*VLOOKUP('Données projet'!$B$12,Paramètres!$A$1:$I$89,3,0)*VLOOKUP('Données projet'!$B$12,Paramètres!$A$1:$I$89,5,0)</f>
        <v>0.77974764581884104</v>
      </c>
      <c r="CA5" s="13">
        <f t="shared" ref="CA5:CA68" si="39">EXP(-1.0587+0.8836*LN(BZ5)+0.284)</f>
        <v>0.3698985961657516</v>
      </c>
      <c r="CB5" s="20">
        <f t="shared" si="10"/>
        <v>2.0023005381231651</v>
      </c>
      <c r="CC5" s="59">
        <f t="shared" si="11"/>
        <v>295.33563387145648</v>
      </c>
      <c r="CD5" s="59">
        <f ca="1">AVERAGE(OFFSET($CC$3,0,0,'Données projet'!$E$12+1,1))-AVERAGE(OFFSET($H$3,0,0,'Données projet'!$E$12+1,1))</f>
        <v>322.06606384496587</v>
      </c>
      <c r="CE5" s="59">
        <f t="shared" ref="CE5:CE68" si="40">$CE$3</f>
        <v>267.71713177624713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8.5833333333333339</v>
      </c>
      <c r="CT5" s="12">
        <f>IF('Données projet'!$A$140&gt;35,CT4+CS5-DB4,IF(A5&lt;'Données projet'!$A$140,$CQ$205^A5,IF(A5='Données projet'!$A$140,'Données projet'!$B$140,CT4+CS5-DB4)))</f>
        <v>2.1650746286568503</v>
      </c>
      <c r="CU5" s="17">
        <f>CT5*VLOOKUP('Données projet'!$B$13,Paramètres!$A$1:$I$89,3,0)*VLOOKUP('Données projet'!$B$13,Paramètres!$A$1:$I$89,5,0)</f>
        <v>1.3510065682818746</v>
      </c>
      <c r="CV5" s="13">
        <f t="shared" ref="CV5:CV68" si="41">EXP(-1.0587+0.8836*LN(CU5)+0.284)</f>
        <v>0.60117511749976371</v>
      </c>
      <c r="CW5" s="20">
        <f t="shared" si="13"/>
        <v>3.4000497694030201</v>
      </c>
      <c r="CX5" s="59">
        <f t="shared" si="14"/>
        <v>296.73338310273635</v>
      </c>
      <c r="CY5" s="59">
        <f ca="1">AVERAGE(OFFSET($CX$3,0,0,'Données projet'!$E$13+1,1))-AVERAGE(OFFSET($H$3,0,0,'Données projet'!$E$13+1,1))</f>
        <v>269.77739619445515</v>
      </c>
      <c r="CZ5" s="59">
        <f t="shared" ref="CZ5:CZ68" si="42">$CZ$3</f>
        <v>347.56964743629885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4.8</v>
      </c>
      <c r="DO5" s="12">
        <f>IF('Données projet'!$A$166&gt;35,DO4+DN5-DW4,IF(A5&lt;'Données projet'!$A$166,$DL$205^A5,IF(A5='Données projet'!$A$166,'Données projet'!$B$166,DO4+DN5-DW4)))</f>
        <v>1.5784365299976539</v>
      </c>
      <c r="DP5" s="17">
        <f>DO5*VLOOKUP('Données projet'!$B$14,Paramètres!$A$1:$I$89,3,0)*VLOOKUP('Données projet'!$B$14,Paramètres!$A$1:$I$89,5,0)</f>
        <v>0.75922797092887162</v>
      </c>
      <c r="DQ5" s="13">
        <f t="shared" ref="DQ5:DQ68" si="43">EXP(-1.0587+0.8836*LN(DP5)+0.284)</f>
        <v>0.3612841762676729</v>
      </c>
      <c r="DR5" s="20">
        <f t="shared" si="16"/>
        <v>1.9515586563673146</v>
      </c>
      <c r="DS5" s="59">
        <f t="shared" si="17"/>
        <v>295.28489198970061</v>
      </c>
      <c r="DT5" s="59">
        <f ca="1">AVERAGE(OFFSET($DS$3,0,0,'Données projet'!$E$14+1,1))-AVERAGE(OFFSET($H$3,0,0,'Données projet'!$E$14+1,1))</f>
        <v>312.64506496298173</v>
      </c>
      <c r="DU5" s="59">
        <f t="shared" ref="DU5:DU68" si="44">$DU$3</f>
        <v>259.97532509897508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2.1</v>
      </c>
      <c r="EJ5" s="12">
        <f>IF('Données projet'!$A$192&gt;35,EJ4+EI5-ER4,IF(A5&lt;'Données projet'!$A$192,$EG$205^A5,IF(A5='Données projet'!$A$192,'Données projet'!$B$192,EJ4+EI5-ER4)))</f>
        <v>1.4531984602822681</v>
      </c>
      <c r="EK5" s="17">
        <f>EJ5*VLOOKUP('Données projet'!$B$15,Paramètres!$A$1:$I$89,3,0)*VLOOKUP('Données projet'!$B$15,Paramètres!$A$1:$I$89,5,0)</f>
        <v>1.3148539668633961</v>
      </c>
      <c r="EL5" s="13">
        <f t="shared" ref="EL5:EL68" si="45">EXP(-1.0587+0.8836*LN(EK5)+0.284)</f>
        <v>0.58693801963664449</v>
      </c>
      <c r="EM5" s="20">
        <f t="shared" si="19"/>
        <v>3.3122877098209038</v>
      </c>
      <c r="EN5" s="59">
        <f t="shared" si="20"/>
        <v>296.64562104315422</v>
      </c>
      <c r="EO5" s="59">
        <f ca="1">AVERAGE(OFFSET($EN$3,0,0,'Données projet'!$E$15+1,1))-AVERAGE(OFFSET($H$3,0,0,'Données projet'!$E$15+1,1))</f>
        <v>269.64423257646359</v>
      </c>
      <c r="EP5" s="59">
        <f t="shared" ref="EP5:EP68" si="46">$EP$3</f>
        <v>161.0819079811821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5.85</v>
      </c>
      <c r="FE5" s="12">
        <f>IF('Données projet'!$A$218&gt;35,FE4+FD5-FM4,IF(A5&lt;'Données projet'!$A$218,$FB$205^A5,IF(A5='Données projet'!$A$218,'Données projet'!$B$218,FE4+FD5-FM4)))</f>
        <v>1.6099729755450907</v>
      </c>
      <c r="FF5" s="17">
        <f>FE5*VLOOKUP('Données projet'!$B$16,Paramètres!$A$1:$I$89,3,0)*VLOOKUP('Données projet'!$B$16,Paramètres!$A$1:$I$89,5,0)</f>
        <v>1.2557789209251708</v>
      </c>
      <c r="FG5" s="13">
        <f t="shared" ref="FG5:FG68" si="47">EXP(-1.0587+0.8836*LN(FF5)+0.284)</f>
        <v>0.56357505040869538</v>
      </c>
      <c r="FH5" s="20">
        <f t="shared" si="22"/>
        <v>3.1687081667398167</v>
      </c>
      <c r="FI5" s="59">
        <f t="shared" si="23"/>
        <v>296.50204150007312</v>
      </c>
      <c r="FJ5" s="59">
        <f ca="1">AVERAGE(OFFSET($FI$3,0,0,'Données projet'!$E$16+1,1))-AVERAGE(OFFSET($H$3,0,0,'Données projet'!$E$16+1,1))</f>
        <v>283.77864672734273</v>
      </c>
      <c r="FK5" s="59">
        <f t="shared" ref="FK5:FK68" si="48">$FK$3</f>
        <v>270.94620935643866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1.1000000000000001</v>
      </c>
      <c r="FZ5" s="12">
        <f>IF('Données projet'!$A$244&gt;35,FZ4+FY5-GH4,IF(A5&lt;'Données projet'!$A$244,$FW$205^A5,IF(A5='Données projet'!$A$244,'Données projet'!$B$244,FZ4+FY5-GH4)))</f>
        <v>1.6153942662021783</v>
      </c>
      <c r="GA5" s="17">
        <f>FZ5*VLOOKUP('Données projet'!$B$17,Paramètres!$A$1:$I$89,3,0)*VLOOKUP('Données projet'!$B$17,Paramètres!$A$1:$I$89,5,0)</f>
        <v>1.562409334270747</v>
      </c>
      <c r="GB5" s="13">
        <f t="shared" ref="GB5:GB68" si="49">EXP(-1.0587+0.8836*LN(GA5)+0.284)</f>
        <v>0.68357972356465468</v>
      </c>
      <c r="GC5" s="20">
        <f t="shared" si="25"/>
        <v>3.9117642757299911</v>
      </c>
      <c r="GD5" s="59">
        <f t="shared" si="26"/>
        <v>297.24509760906329</v>
      </c>
      <c r="GE5" s="59">
        <f ca="1">AVERAGE(OFFSET($GD$3,0,0,'Données projet'!$E$17+1,1))-AVERAGE(OFFSET($H$3,0,0,'Données projet'!$E$17+1,1))</f>
        <v>347.54503437087288</v>
      </c>
      <c r="GF5" s="59">
        <f t="shared" ref="GF5:GF68" si="50">$GF$3</f>
        <v>340.05673244455954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3.0666666666666669</v>
      </c>
      <c r="N6" s="13">
        <f>IF('Données projet'!$A$36&gt;35,N5+M6-V5,IF(A6&lt;'Données projet'!$A$36,$K$205^A6,IF(A6='Données projet'!$A$36,'Données projet'!$B$36,N5+M6-V5)))</f>
        <v>2.1505600128111393</v>
      </c>
      <c r="O6" s="13">
        <f>N6*VLOOKUP('Données projet'!$B$9,Paramètres!$A$1:$I$89,3,0)*VLOOKUP('Données projet'!$B$9,Paramètres!$A$1:$I$89,5,0)</f>
        <v>1.0064620859956133</v>
      </c>
      <c r="P6" s="13">
        <f t="shared" si="33"/>
        <v>0.46347238703507881</v>
      </c>
      <c r="Q6" s="20">
        <f t="shared" si="2"/>
        <v>2.5601358738617885</v>
      </c>
      <c r="R6" s="59">
        <f t="shared" si="0"/>
        <v>295.8934692071951</v>
      </c>
      <c r="S6" s="59">
        <f ca="1">AVERAGE(OFFSET($R$3,0,0,'Données projet'!$E$9+1,1))-AVERAGE(OFFSET($H$3,0,0,'Données projet'!$E$9+1,1))</f>
        <v>342.49944586217674</v>
      </c>
      <c r="T6" s="59">
        <f t="shared" si="34"/>
        <v>282.29766600872563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10.8</v>
      </c>
      <c r="AI6" s="13">
        <f>IF('Données projet'!$A$62&gt;35,AI5+AH6-AQ5,IF(A6&lt;'Données projet'!$A$62,$AF$205^A6,IF(A6='Données projet'!$A$62,'Données projet'!$B$62,AI5+AH6-AQ5)))</f>
        <v>2.7663237344451828</v>
      </c>
      <c r="AJ6" s="13">
        <f>AI6*VLOOKUP('Données projet'!$B$10,Paramètres!$A$1:$I$89,3,0)*VLOOKUP('Données projet'!$B$10,Paramètres!$A$1:$I$89,5,0)</f>
        <v>1.5463749675548573</v>
      </c>
      <c r="AK6" s="13">
        <f t="shared" si="35"/>
        <v>0.6773772891448272</v>
      </c>
      <c r="AL6" s="20">
        <f t="shared" si="4"/>
        <v>3.8730351804186167</v>
      </c>
      <c r="AM6" s="59">
        <f t="shared" si="5"/>
        <v>297.20636851375195</v>
      </c>
      <c r="AN6" s="59">
        <f ca="1">AVERAGE(OFFSET($AM$3,0,0,'Données projet'!$E$10+1,1))-AVERAGE(OFFSET($H$3,0,0,'Données projet'!$E$10+1,1))</f>
        <v>490.96084572840579</v>
      </c>
      <c r="AO6" s="59">
        <f t="shared" si="36"/>
        <v>597.91658789908263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0.6</v>
      </c>
      <c r="BD6" s="12">
        <f>IF('Données projet'!$A$88&gt;35,BD5+BC6-BL5,IF(A6&lt;'Données projet'!$A$88,$BA$205^A6,IF(A6='Données projet'!$A$88,'Données projet'!$B$88,BD5+BC6-BL5)))</f>
        <v>1.5518455739153598</v>
      </c>
      <c r="BE6" s="13">
        <f>BD6*VLOOKUP('Données projet'!$B$11,Paramètres!$A$1:$I$89,3,0)*VLOOKUP('Données projet'!$B$11,Paramètres!$A$1:$I$89,5,0)</f>
        <v>1.2346483386070604</v>
      </c>
      <c r="BF6" s="13">
        <f t="shared" si="37"/>
        <v>0.5551875311803437</v>
      </c>
      <c r="BG6" s="20">
        <f t="shared" si="7"/>
        <v>3.1172974732130618</v>
      </c>
      <c r="BH6" s="59">
        <f t="shared" si="8"/>
        <v>296.45063080654637</v>
      </c>
      <c r="BI6" s="59">
        <f ca="1">AVERAGE(OFFSET($BH$3,0,0,'Données projet'!$E$11+1,1))-AVERAGE(OFFSET($H$3,0,0,'Données projet'!$E$11+1,1))</f>
        <v>167.80254365106839</v>
      </c>
      <c r="BJ6" s="59">
        <f t="shared" si="38"/>
        <v>167.42302164950172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4.8</v>
      </c>
      <c r="BY6" s="12">
        <f>IF('Données projet'!$A$114&gt;35,BY5+BX6-CG5,IF(A6&lt;'Données projet'!$A$114,$BV$205^A6,IF(A6='Données projet'!$A$114,'Données projet'!$B$114,BY5+BX6-CG5)))</f>
        <v>1.9830820566166365</v>
      </c>
      <c r="BZ6" s="13">
        <f>BY6*VLOOKUP('Données projet'!$B$12,Paramètres!$A$1:$I$89,3,0)*VLOOKUP('Données projet'!$B$12,Paramètres!$A$1:$I$89,5,0)</f>
        <v>0.9796425359686185</v>
      </c>
      <c r="CA6" s="13">
        <f t="shared" si="39"/>
        <v>0.45254255673817922</v>
      </c>
      <c r="CB6" s="20">
        <f t="shared" si="10"/>
        <v>2.4943890364643395</v>
      </c>
      <c r="CC6" s="59">
        <f t="shared" si="11"/>
        <v>295.82772236979764</v>
      </c>
      <c r="CD6" s="59">
        <f ca="1">AVERAGE(OFFSET($CC$3,0,0,'Données projet'!$E$12+1,1))-AVERAGE(OFFSET($H$3,0,0,'Données projet'!$E$12+1,1))</f>
        <v>322.06606384496587</v>
      </c>
      <c r="CE6" s="59">
        <f t="shared" si="40"/>
        <v>267.71713177624713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8.5833333333333339</v>
      </c>
      <c r="CT6" s="12">
        <f>IF('Données projet'!$A$140&gt;35,CT5+CS6-DB5,IF(A6&lt;'Données projet'!$A$140,$CQ$205^A6,IF(A6='Données projet'!$A$140,'Données projet'!$B$140,CT5+CS6-DB5)))</f>
        <v>3.1857325005549697</v>
      </c>
      <c r="CU6" s="17">
        <f>CT6*VLOOKUP('Données projet'!$B$13,Paramètres!$A$1:$I$89,3,0)*VLOOKUP('Données projet'!$B$13,Paramètres!$A$1:$I$89,5,0)</f>
        <v>1.9878970803463012</v>
      </c>
      <c r="CV6" s="13">
        <f t="shared" si="41"/>
        <v>0.84569334155652565</v>
      </c>
      <c r="CW6" s="20">
        <f t="shared" si="13"/>
        <v>4.93516998481409</v>
      </c>
      <c r="CX6" s="59">
        <f t="shared" si="14"/>
        <v>298.2685033181474</v>
      </c>
      <c r="CY6" s="59">
        <f ca="1">AVERAGE(OFFSET($CX$3,0,0,'Données projet'!$E$13+1,1))-AVERAGE(OFFSET($H$3,0,0,'Données projet'!$E$13+1,1))</f>
        <v>269.77739619445515</v>
      </c>
      <c r="CZ6" s="59">
        <f t="shared" si="42"/>
        <v>347.56964743629885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4.8</v>
      </c>
      <c r="DO6" s="12">
        <f>IF('Données projet'!$A$166&gt;35,DO5+DN6-DW5,IF(A6&lt;'Données projet'!$A$166,$DL$205^A6,IF(A6='Données projet'!$A$166,'Données projet'!$B$166,DO5+DN6-DW5)))</f>
        <v>1.9830820566166365</v>
      </c>
      <c r="DP6" s="17">
        <f>DO6*VLOOKUP('Données projet'!$B$14,Paramètres!$A$1:$I$89,3,0)*VLOOKUP('Données projet'!$B$14,Paramètres!$A$1:$I$89,5,0)</f>
        <v>0.95386246923260221</v>
      </c>
      <c r="DQ6" s="13">
        <f t="shared" si="43"/>
        <v>0.44200347482248059</v>
      </c>
      <c r="DR6" s="20">
        <f t="shared" si="16"/>
        <v>2.4311331858959355</v>
      </c>
      <c r="DS6" s="59">
        <f t="shared" si="17"/>
        <v>295.76446651922925</v>
      </c>
      <c r="DT6" s="59">
        <f ca="1">AVERAGE(OFFSET($DS$3,0,0,'Données projet'!$E$14+1,1))-AVERAGE(OFFSET($H$3,0,0,'Données projet'!$E$14+1,1))</f>
        <v>312.64506496298173</v>
      </c>
      <c r="DU6" s="59">
        <f t="shared" si="44"/>
        <v>259.97532509897508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2.1</v>
      </c>
      <c r="EJ6" s="12">
        <f>IF('Données projet'!$A$192&gt;35,EJ5+EI6-ER5,IF(A6&lt;'Données projet'!$A$192,$EG$205^A6,IF(A6='Données projet'!$A$192,'Données projet'!$B$192,EJ5+EI6-ER5)))</f>
        <v>1.7518115829322798</v>
      </c>
      <c r="EK6" s="17">
        <f>EJ6*VLOOKUP('Données projet'!$B$15,Paramètres!$A$1:$I$89,3,0)*VLOOKUP('Données projet'!$B$15,Paramètres!$A$1:$I$89,5,0)</f>
        <v>1.5850391202371266</v>
      </c>
      <c r="EL6" s="13">
        <f t="shared" si="45"/>
        <v>0.69232082604846479</v>
      </c>
      <c r="EM6" s="20">
        <f t="shared" si="19"/>
        <v>3.966401906447405</v>
      </c>
      <c r="EN6" s="59">
        <f t="shared" si="20"/>
        <v>297.29973523978072</v>
      </c>
      <c r="EO6" s="59">
        <f ca="1">AVERAGE(OFFSET($EN$3,0,0,'Données projet'!$E$15+1,1))-AVERAGE(OFFSET($H$3,0,0,'Données projet'!$E$15+1,1))</f>
        <v>269.64423257646359</v>
      </c>
      <c r="EP6" s="59">
        <f t="shared" si="46"/>
        <v>161.0819079811821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5.85</v>
      </c>
      <c r="FE6" s="12">
        <f>IF('Données projet'!$A$218&gt;35,FE5+FD6-FM5,IF(A6&lt;'Données projet'!$A$218,$FB$205^A6,IF(A6='Données projet'!$A$218,'Données projet'!$B$218,FE5+FD6-FM5)))</f>
        <v>2.0428095489444726</v>
      </c>
      <c r="FF6" s="17">
        <f>FE6*VLOOKUP('Données projet'!$B$16,Paramètres!$A$1:$I$89,3,0)*VLOOKUP('Données projet'!$B$16,Paramètres!$A$1:$I$89,5,0)</f>
        <v>1.5933914481766887</v>
      </c>
      <c r="FG6" s="13">
        <f t="shared" si="47"/>
        <v>0.69554336150668106</v>
      </c>
      <c r="FH6" s="20">
        <f t="shared" si="22"/>
        <v>3.9865614601985349</v>
      </c>
      <c r="FI6" s="59">
        <f t="shared" si="23"/>
        <v>297.31989479353183</v>
      </c>
      <c r="FJ6" s="59">
        <f ca="1">AVERAGE(OFFSET($FI$3,0,0,'Données projet'!$E$16+1,1))-AVERAGE(OFFSET($H$3,0,0,'Données projet'!$E$16+1,1))</f>
        <v>283.77864672734273</v>
      </c>
      <c r="FK6" s="59">
        <f t="shared" si="48"/>
        <v>270.94620935643866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1.1000000000000001</v>
      </c>
      <c r="FZ6" s="12">
        <f>IF('Données projet'!$A$244&gt;35,FZ5+FY6-GH5,IF(A6&lt;'Données projet'!$A$244,$FW$205^A6,IF(A6='Données projet'!$A$244,'Données projet'!$B$244,FZ5+FY6-GH5)))</f>
        <v>2.0531364136588448</v>
      </c>
      <c r="GA6" s="17">
        <f>FZ6*VLOOKUP('Données projet'!$B$17,Paramètres!$A$1:$I$89,3,0)*VLOOKUP('Données projet'!$B$17,Paramètres!$A$1:$I$89,5,0)</f>
        <v>1.9857935392908346</v>
      </c>
      <c r="GB6" s="13">
        <f t="shared" si="49"/>
        <v>0.84490256739317382</v>
      </c>
      <c r="GC6" s="20">
        <f t="shared" si="25"/>
        <v>4.9301290524746477</v>
      </c>
      <c r="GD6" s="59">
        <f t="shared" si="26"/>
        <v>298.26346238580794</v>
      </c>
      <c r="GE6" s="59">
        <f ca="1">AVERAGE(OFFSET($GD$3,0,0,'Données projet'!$E$17+1,1))-AVERAGE(OFFSET($H$3,0,0,'Données projet'!$E$17+1,1))</f>
        <v>347.54503437087288</v>
      </c>
      <c r="GF6" s="59">
        <f t="shared" si="50"/>
        <v>340.05673244455954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3.0666666666666669</v>
      </c>
      <c r="N7" s="13">
        <f>IF('Données projet'!$A$36&gt;35,N6+M7-V6,IF(A7&lt;'Données projet'!$A$36,$K$205^A7,IF(A7='Données projet'!$A$36,'Données projet'!$B$36,N6+M7-V6)))</f>
        <v>2.7758889522808685</v>
      </c>
      <c r="O7" s="13">
        <f>N7*VLOOKUP('Données projet'!$B$9,Paramètres!$A$1:$I$89,3,0)*VLOOKUP('Données projet'!$B$9,Paramètres!$A$1:$I$89,5,0)</f>
        <v>1.2991160296674464</v>
      </c>
      <c r="P7" s="13">
        <f t="shared" si="33"/>
        <v>0.58072615443726328</v>
      </c>
      <c r="Q7" s="20">
        <f t="shared" si="2"/>
        <v>3.2740584706490359</v>
      </c>
      <c r="R7" s="59">
        <f t="shared" si="0"/>
        <v>296.60739180398235</v>
      </c>
      <c r="S7" s="59">
        <f ca="1">AVERAGE(OFFSET($R$3,0,0,'Données projet'!$E$9+1,1))-AVERAGE(OFFSET($H$3,0,0,'Données projet'!$E$9+1,1))</f>
        <v>342.49944586217674</v>
      </c>
      <c r="T7" s="59">
        <f t="shared" si="34"/>
        <v>282.29766600872563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10.8</v>
      </c>
      <c r="AI7" s="13">
        <f>IF('Données projet'!$A$62&gt;35,AI6+AH7-AQ6,IF(A7&lt;'Données projet'!$A$62,$AF$205^A7,IF(A7='Données projet'!$A$62,'Données projet'!$B$62,AI6+AH7-AQ6)))</f>
        <v>3.8833273713275762</v>
      </c>
      <c r="AJ7" s="13">
        <f>AI7*VLOOKUP('Données projet'!$B$10,Paramètres!$A$1:$I$89,3,0)*VLOOKUP('Données projet'!$B$10,Paramètres!$A$1:$I$89,5,0)</f>
        <v>2.170780000572115</v>
      </c>
      <c r="AK7" s="13">
        <f t="shared" si="35"/>
        <v>0.91408334535022773</v>
      </c>
      <c r="AL7" s="20">
        <f t="shared" si="4"/>
        <v>5.3728036608147471</v>
      </c>
      <c r="AM7" s="59">
        <f t="shared" si="5"/>
        <v>298.70613699414804</v>
      </c>
      <c r="AN7" s="59">
        <f ca="1">AVERAGE(OFFSET($AM$3,0,0,'Données projet'!$E$10+1,1))-AVERAGE(OFFSET($H$3,0,0,'Données projet'!$E$10+1,1))</f>
        <v>490.96084572840579</v>
      </c>
      <c r="AO7" s="59">
        <f t="shared" si="36"/>
        <v>597.91658789908263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0.6</v>
      </c>
      <c r="BD7" s="12">
        <f>IF('Données projet'!$A$88&gt;35,BD6+BC7-BL6,IF(A7&lt;'Données projet'!$A$88,$BA$205^A7,IF(A7='Données projet'!$A$88,'Données projet'!$B$88,BD6+BC7-BL6)))</f>
        <v>1.796654912379124</v>
      </c>
      <c r="BE7" s="13">
        <f>BD7*VLOOKUP('Données projet'!$B$11,Paramètres!$A$1:$I$89,3,0)*VLOOKUP('Données projet'!$B$11,Paramètres!$A$1:$I$89,5,0)</f>
        <v>1.4294186482888311</v>
      </c>
      <c r="BF7" s="13">
        <f t="shared" si="37"/>
        <v>0.6319037741485759</v>
      </c>
      <c r="BG7" s="20">
        <f t="shared" si="7"/>
        <v>3.590136552411817</v>
      </c>
      <c r="BH7" s="59">
        <f t="shared" si="8"/>
        <v>296.92346988574513</v>
      </c>
      <c r="BI7" s="59">
        <f ca="1">AVERAGE(OFFSET($BH$3,0,0,'Données projet'!$E$11+1,1))-AVERAGE(OFFSET($H$3,0,0,'Données projet'!$E$11+1,1))</f>
        <v>167.80254365106839</v>
      </c>
      <c r="BJ7" s="59">
        <f t="shared" si="38"/>
        <v>167.42302164950172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4.8</v>
      </c>
      <c r="BY7" s="12">
        <f>IF('Données projet'!$A$114&gt;35,BY6+BX7-CG6,IF(A7&lt;'Données projet'!$A$114,$BV$205^A7,IF(A7='Données projet'!$A$114,'Données projet'!$B$114,BY6+BX7-CG6)))</f>
        <v>2.4914618792310348</v>
      </c>
      <c r="BZ7" s="13">
        <f>BY7*VLOOKUP('Données projet'!$B$12,Paramètres!$A$1:$I$89,3,0)*VLOOKUP('Données projet'!$B$12,Paramètres!$A$1:$I$89,5,0)</f>
        <v>1.2307821683401312</v>
      </c>
      <c r="CA7" s="13">
        <f t="shared" si="39"/>
        <v>0.55365110271291629</v>
      </c>
      <c r="CB7" s="20">
        <f t="shared" si="10"/>
        <v>3.1078879470840577</v>
      </c>
      <c r="CC7" s="59">
        <f t="shared" si="11"/>
        <v>296.44122128041738</v>
      </c>
      <c r="CD7" s="59">
        <f ca="1">AVERAGE(OFFSET($CC$3,0,0,'Données projet'!$E$12+1,1))-AVERAGE(OFFSET($H$3,0,0,'Données projet'!$E$12+1,1))</f>
        <v>322.06606384496587</v>
      </c>
      <c r="CE7" s="59">
        <f t="shared" si="40"/>
        <v>267.71713177624713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8.5833333333333339</v>
      </c>
      <c r="CT7" s="12">
        <f>IF('Données projet'!$A$140&gt;35,CT6+CS7-DB6,IF(A7&lt;'Données projet'!$A$140,$CQ$205^A7,IF(A7='Données projet'!$A$140,'Données projet'!$B$140,CT6+CS7-DB6)))</f>
        <v>4.6875481476535983</v>
      </c>
      <c r="CU7" s="17">
        <f>CT7*VLOOKUP('Données projet'!$B$13,Paramètres!$A$1:$I$89,3,0)*VLOOKUP('Données projet'!$B$13,Paramètres!$A$1:$I$89,5,0)</f>
        <v>2.9250300441358457</v>
      </c>
      <c r="CV7" s="13">
        <f t="shared" si="41"/>
        <v>1.1896653855660013</v>
      </c>
      <c r="CW7" s="20">
        <f t="shared" si="13"/>
        <v>7.1664278733973825</v>
      </c>
      <c r="CX7" s="59">
        <f t="shared" si="14"/>
        <v>300.49976120673068</v>
      </c>
      <c r="CY7" s="59">
        <f ca="1">AVERAGE(OFFSET($CX$3,0,0,'Données projet'!$E$13+1,1))-AVERAGE(OFFSET($H$3,0,0,'Données projet'!$E$13+1,1))</f>
        <v>269.77739619445515</v>
      </c>
      <c r="CZ7" s="59">
        <f t="shared" si="42"/>
        <v>347.56964743629885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4.8</v>
      </c>
      <c r="DO7" s="12">
        <f>IF('Données projet'!$A$166&gt;35,DO6+DN7-DW6,IF(A7&lt;'Données projet'!$A$166,$DL$205^A7,IF(A7='Données projet'!$A$166,'Données projet'!$B$166,DO6+DN7-DW6)))</f>
        <v>2.4914618792310348</v>
      </c>
      <c r="DP7" s="17">
        <f>DO7*VLOOKUP('Données projet'!$B$14,Paramètres!$A$1:$I$89,3,0)*VLOOKUP('Données projet'!$B$14,Paramètres!$A$1:$I$89,5,0)</f>
        <v>1.1983931639101277</v>
      </c>
      <c r="DQ7" s="13">
        <f t="shared" si="43"/>
        <v>0.54075734446338186</v>
      </c>
      <c r="DR7" s="20">
        <f t="shared" si="16"/>
        <v>3.0290204687505287</v>
      </c>
      <c r="DS7" s="59">
        <f t="shared" si="17"/>
        <v>296.36235380208382</v>
      </c>
      <c r="DT7" s="59">
        <f ca="1">AVERAGE(OFFSET($DS$3,0,0,'Données projet'!$E$14+1,1))-AVERAGE(OFFSET($H$3,0,0,'Données projet'!$E$14+1,1))</f>
        <v>312.64506496298173</v>
      </c>
      <c r="DU7" s="59">
        <f t="shared" si="44"/>
        <v>259.97532509897508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2.1</v>
      </c>
      <c r="EJ7" s="12">
        <f>IF('Données projet'!$A$192&gt;35,EJ6+EI7-ER6,IF(A7&lt;'Données projet'!$A$192,$EG$205^A7,IF(A7='Données projet'!$A$192,'Données projet'!$B$192,EJ6+EI7-ER6)))</f>
        <v>2.1117857649667546</v>
      </c>
      <c r="EK7" s="17">
        <f>EJ7*VLOOKUP('Données projet'!$B$15,Paramètres!$A$1:$I$89,3,0)*VLOOKUP('Données projet'!$B$15,Paramètres!$A$1:$I$89,5,0)</f>
        <v>1.9107437601419195</v>
      </c>
      <c r="EL7" s="13">
        <f t="shared" si="45"/>
        <v>0.81662477151702284</v>
      </c>
      <c r="EM7" s="20">
        <f t="shared" si="19"/>
        <v>4.7501668593059909</v>
      </c>
      <c r="EN7" s="59">
        <f t="shared" si="20"/>
        <v>298.08350019263929</v>
      </c>
      <c r="EO7" s="59">
        <f ca="1">AVERAGE(OFFSET($EN$3,0,0,'Données projet'!$E$15+1,1))-AVERAGE(OFFSET($H$3,0,0,'Données projet'!$E$15+1,1))</f>
        <v>269.64423257646359</v>
      </c>
      <c r="EP7" s="59">
        <f t="shared" si="46"/>
        <v>161.0819079811821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5.85</v>
      </c>
      <c r="FE7" s="12">
        <f>IF('Données projet'!$A$218&gt;35,FE6+FD7-FM6,IF(A7&lt;'Données projet'!$A$218,$FB$205^A7,IF(A7='Données projet'!$A$218,'Données projet'!$B$218,FE6+FD7-FM6)))</f>
        <v>2.5920129819855133</v>
      </c>
      <c r="FF7" s="17">
        <f>FE7*VLOOKUP('Données projet'!$B$16,Paramètres!$A$1:$I$89,3,0)*VLOOKUP('Données projet'!$B$16,Paramètres!$A$1:$I$89,5,0)</f>
        <v>2.0217701259487004</v>
      </c>
      <c r="FG7" s="13">
        <f t="shared" si="47"/>
        <v>0.85841374167501538</v>
      </c>
      <c r="FH7" s="20">
        <f t="shared" si="22"/>
        <v>5.0163202361113051</v>
      </c>
      <c r="FI7" s="59">
        <f t="shared" si="23"/>
        <v>298.34965356944463</v>
      </c>
      <c r="FJ7" s="59">
        <f ca="1">AVERAGE(OFFSET($FI$3,0,0,'Données projet'!$E$16+1,1))-AVERAGE(OFFSET($H$3,0,0,'Données projet'!$E$16+1,1))</f>
        <v>283.77864672734273</v>
      </c>
      <c r="FK7" s="59">
        <f t="shared" si="48"/>
        <v>270.94620935643866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1.1000000000000001</v>
      </c>
      <c r="FZ7" s="12">
        <f>IF('Données projet'!$A$244&gt;35,FZ6+FY7-GH6,IF(A7&lt;'Données projet'!$A$244,$FW$205^A7,IF(A7='Données projet'!$A$244,'Données projet'!$B$244,FZ6+FY7-GH6)))</f>
        <v>2.6094986352788743</v>
      </c>
      <c r="GA7" s="17">
        <f>FZ7*VLOOKUP('Données projet'!$B$17,Paramètres!$A$1:$I$89,3,0)*VLOOKUP('Données projet'!$B$17,Paramètres!$A$1:$I$89,5,0)</f>
        <v>2.5239070800417274</v>
      </c>
      <c r="GB7" s="13">
        <f t="shared" si="49"/>
        <v>1.0442971372307801</v>
      </c>
      <c r="GC7" s="20">
        <f t="shared" si="25"/>
        <v>6.2146223450829501</v>
      </c>
      <c r="GD7" s="59">
        <f t="shared" si="26"/>
        <v>299.54795567841626</v>
      </c>
      <c r="GE7" s="59">
        <f ca="1">AVERAGE(OFFSET($GD$3,0,0,'Données projet'!$E$17+1,1))-AVERAGE(OFFSET($H$3,0,0,'Données projet'!$E$17+1,1))</f>
        <v>347.54503437087288</v>
      </c>
      <c r="GF7" s="59">
        <f t="shared" si="50"/>
        <v>340.05673244455954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3.0666666666666669</v>
      </c>
      <c r="N8" s="13">
        <f>IF('Données projet'!$A$36&gt;35,N7+M8-V7,IF(A8&lt;'Données projet'!$A$36,$K$205^A8,IF(A8='Données projet'!$A$36,'Données projet'!$B$36,N7+M8-V7)))</f>
        <v>3.5830478710159461</v>
      </c>
      <c r="O8" s="13">
        <f>N8*VLOOKUP('Données projet'!$B$9,Paramètres!$A$1:$I$89,3,0)*VLOOKUP('Données projet'!$B$9,Paramètres!$A$1:$I$89,5,0)</f>
        <v>1.6768664036354628</v>
      </c>
      <c r="P8" s="13">
        <f t="shared" si="33"/>
        <v>0.72764392417183499</v>
      </c>
      <c r="Q8" s="20">
        <f t="shared" si="2"/>
        <v>4.1878554875977096</v>
      </c>
      <c r="R8" s="59">
        <f t="shared" si="0"/>
        <v>297.521188820931</v>
      </c>
      <c r="S8" s="59">
        <f ca="1">AVERAGE(OFFSET($R$3,0,0,'Données projet'!$E$9+1,1))-AVERAGE(OFFSET($H$3,0,0,'Données projet'!$E$9+1,1))</f>
        <v>342.49944586217674</v>
      </c>
      <c r="T8" s="59">
        <f t="shared" si="34"/>
        <v>282.29766600872563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10.8</v>
      </c>
      <c r="AI8" s="13">
        <f>IF('Données projet'!$A$62&gt;35,AI7+AH8-AQ7,IF(A8&lt;'Données projet'!$A$62,$AF$205^A8,IF(A8='Données projet'!$A$62,'Données projet'!$B$62,AI7+AH8-AQ7)))</f>
        <v>5.451361778496417</v>
      </c>
      <c r="AJ8" s="13">
        <f>AI8*VLOOKUP('Données projet'!$B$10,Paramètres!$A$1:$I$89,3,0)*VLOOKUP('Données projet'!$B$10,Paramètres!$A$1:$I$89,5,0)</f>
        <v>3.0473112341794972</v>
      </c>
      <c r="AK8" s="13">
        <f t="shared" si="35"/>
        <v>1.2335051316844765</v>
      </c>
      <c r="AL8" s="20">
        <f t="shared" si="4"/>
        <v>7.4557551705464205</v>
      </c>
      <c r="AM8" s="59">
        <f t="shared" si="5"/>
        <v>300.78908850387973</v>
      </c>
      <c r="AN8" s="59">
        <f ca="1">AVERAGE(OFFSET($AM$3,0,0,'Données projet'!$E$10+1,1))-AVERAGE(OFFSET($H$3,0,0,'Données projet'!$E$10+1,1))</f>
        <v>490.96084572840579</v>
      </c>
      <c r="AO8" s="59">
        <f t="shared" si="36"/>
        <v>597.91658789908263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0.6</v>
      </c>
      <c r="BD8" s="12">
        <f>IF('Données projet'!$A$88&gt;35,BD7+BC8-BL7,IF(A8&lt;'Données projet'!$A$88,$BA$205^A8,IF(A8='Données projet'!$A$88,'Données projet'!$B$88,BD7+BC8-BL7)))</f>
        <v>2.0800838230519041</v>
      </c>
      <c r="BE8" s="13">
        <f>BD8*VLOOKUP('Données projet'!$B$11,Paramètres!$A$1:$I$89,3,0)*VLOOKUP('Données projet'!$B$11,Paramètres!$A$1:$I$89,5,0)</f>
        <v>1.654914689620095</v>
      </c>
      <c r="BF8" s="13">
        <f t="shared" si="37"/>
        <v>0.71922072697541817</v>
      </c>
      <c r="BG8" s="20">
        <f t="shared" si="7"/>
        <v>4.1349525172371857</v>
      </c>
      <c r="BH8" s="59">
        <f t="shared" si="8"/>
        <v>297.46828585057051</v>
      </c>
      <c r="BI8" s="59">
        <f ca="1">AVERAGE(OFFSET($BH$3,0,0,'Données projet'!$E$11+1,1))-AVERAGE(OFFSET($H$3,0,0,'Données projet'!$E$11+1,1))</f>
        <v>167.80254365106839</v>
      </c>
      <c r="BJ8" s="59">
        <f t="shared" si="38"/>
        <v>167.42302164950172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4.8</v>
      </c>
      <c r="BY8" s="12">
        <f>IF('Données projet'!$A$114&gt;35,BY7+BX8-CG7,IF(A8&lt;'Données projet'!$A$114,$BV$205^A8,IF(A8='Données projet'!$A$114,'Données projet'!$B$114,BY7+BX8-CG7)))</f>
        <v>3.1301691601465751</v>
      </c>
      <c r="BZ8" s="13">
        <f>BY8*VLOOKUP('Données projet'!$B$12,Paramètres!$A$1:$I$89,3,0)*VLOOKUP('Données projet'!$B$12,Paramètres!$A$1:$I$89,5,0)</f>
        <v>1.5463035651124082</v>
      </c>
      <c r="CA8" s="13">
        <f t="shared" si="39"/>
        <v>0.67734965247162948</v>
      </c>
      <c r="CB8" s="20">
        <f t="shared" si="10"/>
        <v>3.8728626872921983</v>
      </c>
      <c r="CC8" s="59">
        <f t="shared" si="11"/>
        <v>297.2061960206255</v>
      </c>
      <c r="CD8" s="59">
        <f ca="1">AVERAGE(OFFSET($CC$3,0,0,'Données projet'!$E$12+1,1))-AVERAGE(OFFSET($H$3,0,0,'Données projet'!$E$12+1,1))</f>
        <v>322.06606384496587</v>
      </c>
      <c r="CE8" s="59">
        <f t="shared" si="40"/>
        <v>267.71713177624713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8.5833333333333339</v>
      </c>
      <c r="CT8" s="12">
        <f>IF('Données projet'!$A$140&gt;35,CT7+CS8-DB7,IF(A8&lt;'Données projet'!$A$140,$CQ$205^A8,IF(A8='Données projet'!$A$140,'Données projet'!$B$140,CT7+CS8-DB7)))</f>
        <v>6.89734861063911</v>
      </c>
      <c r="CU8" s="17">
        <f>CT8*VLOOKUP('Données projet'!$B$13,Paramètres!$A$1:$I$89,3,0)*VLOOKUP('Données projet'!$B$13,Paramètres!$A$1:$I$89,5,0)</f>
        <v>4.3039455330388048</v>
      </c>
      <c r="CV8" s="13">
        <f t="shared" si="41"/>
        <v>1.6735424770035323</v>
      </c>
      <c r="CW8" s="20">
        <f t="shared" si="13"/>
        <v>10.410791617490402</v>
      </c>
      <c r="CX8" s="59">
        <f t="shared" si="14"/>
        <v>303.74412495082373</v>
      </c>
      <c r="CY8" s="59">
        <f ca="1">AVERAGE(OFFSET($CX$3,0,0,'Données projet'!$E$13+1,1))-AVERAGE(OFFSET($H$3,0,0,'Données projet'!$E$13+1,1))</f>
        <v>269.77739619445515</v>
      </c>
      <c r="CZ8" s="59">
        <f t="shared" si="42"/>
        <v>347.56964743629885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4.8</v>
      </c>
      <c r="DO8" s="12">
        <f>IF('Données projet'!$A$166&gt;35,DO7+DN8-DW7,IF(A8&lt;'Données projet'!$A$166,$DL$205^A8,IF(A8='Données projet'!$A$166,'Données projet'!$B$166,DO7+DN8-DW7)))</f>
        <v>3.1301691601465751</v>
      </c>
      <c r="DP8" s="17">
        <f>DO8*VLOOKUP('Données projet'!$B$14,Paramètres!$A$1:$I$89,3,0)*VLOOKUP('Données projet'!$B$14,Paramètres!$A$1:$I$89,5,0)</f>
        <v>1.5056113660305028</v>
      </c>
      <c r="DQ8" s="13">
        <f t="shared" si="43"/>
        <v>0.66157512835963828</v>
      </c>
      <c r="DR8" s="20">
        <f t="shared" si="16"/>
        <v>3.7745164777294953</v>
      </c>
      <c r="DS8" s="59">
        <f t="shared" si="17"/>
        <v>297.10784981106281</v>
      </c>
      <c r="DT8" s="59">
        <f ca="1">AVERAGE(OFFSET($DS$3,0,0,'Données projet'!$E$14+1,1))-AVERAGE(OFFSET($H$3,0,0,'Données projet'!$E$14+1,1))</f>
        <v>312.64506496298173</v>
      </c>
      <c r="DU8" s="59">
        <f t="shared" si="44"/>
        <v>259.97532509897508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2.1</v>
      </c>
      <c r="EJ8" s="12">
        <f>IF('Données projet'!$A$192&gt;35,EJ7+EI8-ER7,IF(A8&lt;'Données projet'!$A$192,$EG$205^A8,IF(A8='Données projet'!$A$192,'Données projet'!$B$192,EJ7+EI8-ER7)))</f>
        <v>2.5457298950218314</v>
      </c>
      <c r="EK8" s="17">
        <f>EJ8*VLOOKUP('Données projet'!$B$15,Paramètres!$A$1:$I$89,3,0)*VLOOKUP('Données projet'!$B$15,Paramètres!$A$1:$I$89,5,0)</f>
        <v>2.3033764090157529</v>
      </c>
      <c r="EL8" s="13">
        <f t="shared" si="45"/>
        <v>0.96324708482559218</v>
      </c>
      <c r="EM8" s="20">
        <f t="shared" si="19"/>
        <v>5.6893692517736758</v>
      </c>
      <c r="EN8" s="59">
        <f t="shared" si="20"/>
        <v>299.02270258510697</v>
      </c>
      <c r="EO8" s="59">
        <f ca="1">AVERAGE(OFFSET($EN$3,0,0,'Données projet'!$E$15+1,1))-AVERAGE(OFFSET($H$3,0,0,'Données projet'!$E$15+1,1))</f>
        <v>269.64423257646359</v>
      </c>
      <c r="EP8" s="59">
        <f t="shared" si="46"/>
        <v>161.0819079811821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5.85</v>
      </c>
      <c r="FE8" s="12">
        <f>IF('Données projet'!$A$218&gt;35,FE7+FD8-FM7,IF(A8&lt;'Données projet'!$A$218,$FB$205^A8,IF(A8='Données projet'!$A$218,'Données projet'!$B$218,FE7+FD8-FM7)))</f>
        <v>3.2888681679860574</v>
      </c>
      <c r="FF8" s="17">
        <f>FE8*VLOOKUP('Données projet'!$B$16,Paramètres!$A$1:$I$89,3,0)*VLOOKUP('Données projet'!$B$16,Paramètres!$A$1:$I$89,5,0)</f>
        <v>2.5653171710291249</v>
      </c>
      <c r="FG8" s="13">
        <f t="shared" si="47"/>
        <v>1.0594223058937526</v>
      </c>
      <c r="FH8" s="20">
        <f t="shared" si="22"/>
        <v>6.3130879223073455</v>
      </c>
      <c r="FI8" s="59">
        <f t="shared" si="23"/>
        <v>299.64642125564063</v>
      </c>
      <c r="FJ8" s="59">
        <f ca="1">AVERAGE(OFFSET($FI$3,0,0,'Données projet'!$E$16+1,1))-AVERAGE(OFFSET($H$3,0,0,'Données projet'!$E$16+1,1))</f>
        <v>283.77864672734273</v>
      </c>
      <c r="FK8" s="59">
        <f t="shared" si="48"/>
        <v>270.94620935643866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1.1000000000000001</v>
      </c>
      <c r="FZ8" s="12">
        <f>IF('Données projet'!$A$244&gt;35,FZ7+FY8-GH7,IF(A8&lt;'Données projet'!$A$244,$FW$205^A8,IF(A8='Données projet'!$A$244,'Données projet'!$B$244,FZ7+FY8-GH7)))</f>
        <v>3.3166247903554016</v>
      </c>
      <c r="GA8" s="17">
        <f>FZ8*VLOOKUP('Données projet'!$B$17,Paramètres!$A$1:$I$89,3,0)*VLOOKUP('Données projet'!$B$17,Paramètres!$A$1:$I$89,5,0)</f>
        <v>3.2078394972317446</v>
      </c>
      <c r="GB8" s="13">
        <f t="shared" si="49"/>
        <v>1.2907482506452295</v>
      </c>
      <c r="GC8" s="20">
        <f t="shared" si="25"/>
        <v>7.8350403275523961</v>
      </c>
      <c r="GD8" s="59">
        <f t="shared" si="26"/>
        <v>301.16837366088572</v>
      </c>
      <c r="GE8" s="59">
        <f ca="1">AVERAGE(OFFSET($GD$3,0,0,'Données projet'!$E$17+1,1))-AVERAGE(OFFSET($H$3,0,0,'Données projet'!$E$17+1,1))</f>
        <v>347.54503437087288</v>
      </c>
      <c r="GF8" s="59">
        <f t="shared" si="50"/>
        <v>340.05673244455954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3.0666666666666669</v>
      </c>
      <c r="N9" s="13">
        <f>IF('Données projet'!$A$36&gt;35,N8+M9-V8,IF(A9&lt;'Données projet'!$A$36,$K$205^A9,IF(A9='Données projet'!$A$36,'Données projet'!$B$36,N8+M9-V8)))</f>
        <v>4.6249083687022479</v>
      </c>
      <c r="O9" s="13">
        <f>N9*VLOOKUP('Données projet'!$B$9,Paramètres!$A$1:$I$89,3,0)*VLOOKUP('Données projet'!$B$9,Paramètres!$A$1:$I$89,5,0)</f>
        <v>2.164457116552652</v>
      </c>
      <c r="P9" s="13">
        <f t="shared" si="33"/>
        <v>0.91173038503363313</v>
      </c>
      <c r="Q9" s="20">
        <f t="shared" si="2"/>
        <v>5.3576932319294466</v>
      </c>
      <c r="R9" s="59">
        <f t="shared" si="0"/>
        <v>298.69102656526275</v>
      </c>
      <c r="S9" s="59">
        <f ca="1">AVERAGE(OFFSET($R$3,0,0,'Données projet'!$E$9+1,1))-AVERAGE(OFFSET($H$3,0,0,'Données projet'!$E$9+1,1))</f>
        <v>342.49944586217674</v>
      </c>
      <c r="T9" s="59">
        <f t="shared" si="34"/>
        <v>282.29766600872563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10.8</v>
      </c>
      <c r="AI9" s="13">
        <f>IF('Données projet'!$A$62&gt;35,AI8+AH9-AQ8,IF(A9&lt;'Données projet'!$A$62,$AF$205^A9,IF(A9='Données projet'!$A$62,'Données projet'!$B$62,AI8+AH9-AQ8)))</f>
        <v>7.6525470037547425</v>
      </c>
      <c r="AJ9" s="13">
        <f>AI9*VLOOKUP('Données projet'!$B$10,Paramètres!$A$1:$I$89,3,0)*VLOOKUP('Données projet'!$B$10,Paramètres!$A$1:$I$89,5,0)</f>
        <v>4.2777737750989013</v>
      </c>
      <c r="AK9" s="13">
        <f t="shared" si="35"/>
        <v>1.6645472402836166</v>
      </c>
      <c r="AL9" s="20">
        <f t="shared" si="4"/>
        <v>10.349542435124553</v>
      </c>
      <c r="AM9" s="59">
        <f t="shared" si="5"/>
        <v>303.68287576845785</v>
      </c>
      <c r="AN9" s="59">
        <f ca="1">AVERAGE(OFFSET($AM$3,0,0,'Données projet'!$E$10+1,1))-AVERAGE(OFFSET($H$3,0,0,'Données projet'!$E$10+1,1))</f>
        <v>490.96084572840579</v>
      </c>
      <c r="AO9" s="59">
        <f t="shared" si="36"/>
        <v>597.91658789908263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0.6</v>
      </c>
      <c r="BD9" s="12">
        <f>IF('Données projet'!$A$88&gt;35,BD8+BC9-BL8,IF(A9&lt;'Données projet'!$A$88,$BA$205^A9,IF(A9='Données projet'!$A$88,'Données projet'!$B$88,BD8+BC9-BL8)))</f>
        <v>2.4082246852806919</v>
      </c>
      <c r="BE9" s="13">
        <f>BD9*VLOOKUP('Données projet'!$B$11,Paramètres!$A$1:$I$89,3,0)*VLOOKUP('Données projet'!$B$11,Paramètres!$A$1:$I$89,5,0)</f>
        <v>1.9159835596093187</v>
      </c>
      <c r="BF9" s="13">
        <f t="shared" si="37"/>
        <v>0.81860320395779795</v>
      </c>
      <c r="BG9" s="20">
        <f t="shared" si="7"/>
        <v>4.7627386132127274</v>
      </c>
      <c r="BH9" s="59">
        <f t="shared" si="8"/>
        <v>298.09607194654603</v>
      </c>
      <c r="BI9" s="59">
        <f ca="1">AVERAGE(OFFSET($BH$3,0,0,'Données projet'!$E$11+1,1))-AVERAGE(OFFSET($H$3,0,0,'Données projet'!$E$11+1,1))</f>
        <v>167.80254365106839</v>
      </c>
      <c r="BJ9" s="59">
        <f t="shared" si="38"/>
        <v>167.42302164950172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4.8</v>
      </c>
      <c r="BY9" s="12">
        <f>IF('Données projet'!$A$114&gt;35,BY8+BX9-CG8,IF(A9&lt;'Données projet'!$A$114,$BV$205^A9,IF(A9='Données projet'!$A$114,'Données projet'!$B$114,BY8+BX9-CG8)))</f>
        <v>3.9326144432748684</v>
      </c>
      <c r="BZ9" s="13">
        <f>BY9*VLOOKUP('Données projet'!$B$12,Paramètres!$A$1:$I$89,3,0)*VLOOKUP('Données projet'!$B$12,Paramètres!$A$1:$I$89,5,0)</f>
        <v>1.9427115349777853</v>
      </c>
      <c r="CA9" s="13">
        <f t="shared" si="39"/>
        <v>0.82868533893508578</v>
      </c>
      <c r="CB9" s="20">
        <f t="shared" si="10"/>
        <v>4.8268495553982502</v>
      </c>
      <c r="CC9" s="59">
        <f t="shared" si="11"/>
        <v>298.16018288873158</v>
      </c>
      <c r="CD9" s="59">
        <f ca="1">AVERAGE(OFFSET($CC$3,0,0,'Données projet'!$E$12+1,1))-AVERAGE(OFFSET($H$3,0,0,'Données projet'!$E$12+1,1))</f>
        <v>322.06606384496587</v>
      </c>
      <c r="CE9" s="59">
        <f t="shared" si="40"/>
        <v>267.71713177624713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8.5833333333333339</v>
      </c>
      <c r="CT9" s="12">
        <f>IF('Données projet'!$A$140&gt;35,CT8+CS9-DB8,IF(A9&lt;'Données projet'!$A$140,$CQ$205^A9,IF(A9='Données projet'!$A$140,'Données projet'!$B$140,CT8+CS9-DB8)))</f>
        <v>10.148891565092221</v>
      </c>
      <c r="CU9" s="17">
        <f>CT9*VLOOKUP('Données projet'!$B$13,Paramètres!$A$1:$I$89,3,0)*VLOOKUP('Données projet'!$B$13,Paramètres!$A$1:$I$89,5,0)</f>
        <v>6.3329083366175452</v>
      </c>
      <c r="CV9" s="13">
        <f t="shared" si="41"/>
        <v>2.3542287237369877</v>
      </c>
      <c r="CW9" s="20">
        <f t="shared" si="13"/>
        <v>15.130097046784146</v>
      </c>
      <c r="CX9" s="59">
        <f t="shared" si="14"/>
        <v>308.46343038011747</v>
      </c>
      <c r="CY9" s="59">
        <f ca="1">AVERAGE(OFFSET($CX$3,0,0,'Données projet'!$E$13+1,1))-AVERAGE(OFFSET($H$3,0,0,'Données projet'!$E$13+1,1))</f>
        <v>269.77739619445515</v>
      </c>
      <c r="CZ9" s="59">
        <f t="shared" si="42"/>
        <v>347.56964743629885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4.8</v>
      </c>
      <c r="DO9" s="12">
        <f>IF('Données projet'!$A$166&gt;35,DO8+DN9-DW8,IF(A9&lt;'Données projet'!$A$166,$DL$205^A9,IF(A9='Données projet'!$A$166,'Données projet'!$B$166,DO8+DN9-DW8)))</f>
        <v>3.9326144432748684</v>
      </c>
      <c r="DP9" s="17">
        <f>DO9*VLOOKUP('Données projet'!$B$14,Paramètres!$A$1:$I$89,3,0)*VLOOKUP('Données projet'!$B$14,Paramètres!$A$1:$I$89,5,0)</f>
        <v>1.8915875472152117</v>
      </c>
      <c r="DQ9" s="13">
        <f t="shared" si="43"/>
        <v>0.80938641877976369</v>
      </c>
      <c r="DR9" s="20">
        <f t="shared" si="16"/>
        <v>4.7041963241079152</v>
      </c>
      <c r="DS9" s="59">
        <f t="shared" si="17"/>
        <v>298.03752965744121</v>
      </c>
      <c r="DT9" s="59">
        <f ca="1">AVERAGE(OFFSET($DS$3,0,0,'Données projet'!$E$14+1,1))-AVERAGE(OFFSET($H$3,0,0,'Données projet'!$E$14+1,1))</f>
        <v>312.64506496298173</v>
      </c>
      <c r="DU9" s="59">
        <f t="shared" si="44"/>
        <v>259.97532509897508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2.1</v>
      </c>
      <c r="EJ9" s="12">
        <f>IF('Données projet'!$A$192&gt;35,EJ8+EI9-ER8,IF(A9&lt;'Données projet'!$A$192,$EG$205^A9,IF(A9='Données projet'!$A$192,'Données projet'!$B$192,EJ8+EI9-ER8)))</f>
        <v>3.0688438220956993</v>
      </c>
      <c r="EK9" s="17">
        <f>EJ9*VLOOKUP('Données projet'!$B$15,Paramètres!$A$1:$I$89,3,0)*VLOOKUP('Données projet'!$B$15,Paramètres!$A$1:$I$89,5,0)</f>
        <v>2.7766898902321886</v>
      </c>
      <c r="EL9" s="13">
        <f t="shared" si="45"/>
        <v>1.1361949561012803</v>
      </c>
      <c r="EM9" s="20">
        <f t="shared" si="19"/>
        <v>6.8149411073641248</v>
      </c>
      <c r="EN9" s="59">
        <f t="shared" si="20"/>
        <v>300.14827444069743</v>
      </c>
      <c r="EO9" s="59">
        <f ca="1">AVERAGE(OFFSET($EN$3,0,0,'Données projet'!$E$15+1,1))-AVERAGE(OFFSET($H$3,0,0,'Données projet'!$E$15+1,1))</f>
        <v>269.64423257646359</v>
      </c>
      <c r="EP9" s="59">
        <f t="shared" si="46"/>
        <v>161.0819079811821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5.85</v>
      </c>
      <c r="FE9" s="12">
        <f>IF('Données projet'!$A$218&gt;35,FE8+FD9-FM8,IF(A9&lt;'Données projet'!$A$218,$FB$205^A9,IF(A9='Données projet'!$A$218,'Données projet'!$B$218,FE8+FD9-FM8)))</f>
        <v>4.1730708532587206</v>
      </c>
      <c r="FF9" s="17">
        <f>FE9*VLOOKUP('Données projet'!$B$16,Paramètres!$A$1:$I$89,3,0)*VLOOKUP('Données projet'!$B$16,Paramètres!$A$1:$I$89,5,0)</f>
        <v>3.2549952655418024</v>
      </c>
      <c r="FG9" s="13">
        <f t="shared" si="47"/>
        <v>1.3074995980786071</v>
      </c>
      <c r="FH9" s="20">
        <f t="shared" si="22"/>
        <v>7.9463452208055463</v>
      </c>
      <c r="FI9" s="59">
        <f t="shared" si="23"/>
        <v>301.27967855413885</v>
      </c>
      <c r="FJ9" s="59">
        <f ca="1">AVERAGE(OFFSET($FI$3,0,0,'Données projet'!$E$16+1,1))-AVERAGE(OFFSET($H$3,0,0,'Données projet'!$E$16+1,1))</f>
        <v>283.77864672734273</v>
      </c>
      <c r="FK9" s="59">
        <f t="shared" si="48"/>
        <v>270.94620935643866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1.1000000000000001</v>
      </c>
      <c r="FZ9" s="12">
        <f>IF('Données projet'!$A$244&gt;35,FZ8+FY9-GH8,IF(A9&lt;'Données projet'!$A$244,$FW$205^A9,IF(A9='Données projet'!$A$244,'Données projet'!$B$244,FZ8+FY9-GH8)))</f>
        <v>4.2153691330919028</v>
      </c>
      <c r="GA9" s="17">
        <f>FZ9*VLOOKUP('Données projet'!$B$17,Paramètres!$A$1:$I$89,3,0)*VLOOKUP('Données projet'!$B$17,Paramètres!$A$1:$I$89,5,0)</f>
        <v>4.077105025526488</v>
      </c>
      <c r="GB9" s="13">
        <f t="shared" si="49"/>
        <v>1.5953611162447752</v>
      </c>
      <c r="GC9" s="20">
        <f t="shared" si="25"/>
        <v>9.8795451969182846</v>
      </c>
      <c r="GD9" s="59">
        <f t="shared" si="26"/>
        <v>303.2128785302516</v>
      </c>
      <c r="GE9" s="59">
        <f ca="1">AVERAGE(OFFSET($GD$3,0,0,'Données projet'!$E$17+1,1))-AVERAGE(OFFSET($H$3,0,0,'Données projet'!$E$17+1,1))</f>
        <v>347.54503437087288</v>
      </c>
      <c r="GF9" s="59">
        <f t="shared" si="50"/>
        <v>340.05673244455954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3.0666666666666669</v>
      </c>
      <c r="N10" s="13">
        <f>IF('Données projet'!$A$36&gt;35,N9+M10-V9,IF(A10&lt;'Données projet'!$A$36,$K$205^A10,IF(A10='Données projet'!$A$36,'Données projet'!$B$36,N9+M10-V9)))</f>
        <v>5.9697157807794445</v>
      </c>
      <c r="O10" s="13">
        <f>N10*VLOOKUP('Données projet'!$B$9,Paramètres!$A$1:$I$89,3,0)*VLOOKUP('Données projet'!$B$9,Paramètres!$A$1:$I$89,5,0)</f>
        <v>2.7938269854047801</v>
      </c>
      <c r="P10" s="13">
        <f t="shared" si="33"/>
        <v>1.1423888352255029</v>
      </c>
      <c r="Q10" s="20">
        <f t="shared" si="2"/>
        <v>6.8555758875977437</v>
      </c>
      <c r="R10" s="59">
        <f t="shared" si="0"/>
        <v>300.18890922093107</v>
      </c>
      <c r="S10" s="59">
        <f ca="1">AVERAGE(OFFSET($R$3,0,0,'Données projet'!$E$9+1,1))-AVERAGE(OFFSET($H$3,0,0,'Données projet'!$E$9+1,1))</f>
        <v>342.49944586217674</v>
      </c>
      <c r="T10" s="59">
        <f t="shared" si="34"/>
        <v>282.29766600872563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10.8</v>
      </c>
      <c r="AI10" s="13">
        <f>IF('Données projet'!$A$62&gt;35,AI9+AH10-AQ9,IF(A10&lt;'Données projet'!$A$62,$AF$205^A10,IF(A10='Données projet'!$A$62,'Données projet'!$B$62,AI9+AH10-AQ9)))</f>
        <v>10.742540675924095</v>
      </c>
      <c r="AJ10" s="13">
        <f>AI10*VLOOKUP('Données projet'!$B$10,Paramètres!$A$1:$I$89,3,0)*VLOOKUP('Données projet'!$B$10,Paramètres!$A$1:$I$89,5,0)</f>
        <v>6.0050802378415691</v>
      </c>
      <c r="AK10" s="13">
        <f t="shared" si="35"/>
        <v>2.2462148263235089</v>
      </c>
      <c r="AL10" s="20">
        <f t="shared" si="4"/>
        <v>14.37100557008751</v>
      </c>
      <c r="AM10" s="59">
        <f t="shared" si="5"/>
        <v>307.70433890342082</v>
      </c>
      <c r="AN10" s="59">
        <f ca="1">AVERAGE(OFFSET($AM$3,0,0,'Données projet'!$E$10+1,1))-AVERAGE(OFFSET($H$3,0,0,'Données projet'!$E$10+1,1))</f>
        <v>490.96084572840579</v>
      </c>
      <c r="AO10" s="59">
        <f t="shared" si="36"/>
        <v>597.91658789908263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0.6</v>
      </c>
      <c r="BD10" s="12">
        <f>IF('Données projet'!$A$88&gt;35,BD9+BC10-BL9,IF(A10&lt;'Données projet'!$A$88,$BA$205^A10,IF(A10='Données projet'!$A$88,'Données projet'!$B$88,BD9+BC10-BL9)))</f>
        <v>2.788130973628832</v>
      </c>
      <c r="BE10" s="13">
        <f>BD10*VLOOKUP('Données projet'!$B$11,Paramètres!$A$1:$I$89,3,0)*VLOOKUP('Données projet'!$B$11,Paramètres!$A$1:$I$89,5,0)</f>
        <v>2.218237002619099</v>
      </c>
      <c r="BF10" s="13">
        <f t="shared" si="37"/>
        <v>0.93171842856647213</v>
      </c>
      <c r="BG10" s="20">
        <f t="shared" si="7"/>
        <v>5.4861723759815355</v>
      </c>
      <c r="BH10" s="59">
        <f t="shared" si="8"/>
        <v>298.81950570931485</v>
      </c>
      <c r="BI10" s="59">
        <f ca="1">AVERAGE(OFFSET($BH$3,0,0,'Données projet'!$E$11+1,1))-AVERAGE(OFFSET($H$3,0,0,'Données projet'!$E$11+1,1))</f>
        <v>167.80254365106839</v>
      </c>
      <c r="BJ10" s="59">
        <f t="shared" si="38"/>
        <v>167.42302164950172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4.8</v>
      </c>
      <c r="BY10" s="12">
        <f>IF('Données projet'!$A$114&gt;35,BY9+BX10-CG9,IF(A10&lt;'Données projet'!$A$114,$BV$205^A10,IF(A10='Données projet'!$A$114,'Données projet'!$B$114,BY9+BX10-CG9)))</f>
        <v>4.9407733474474309</v>
      </c>
      <c r="BZ10" s="13">
        <f>BY10*VLOOKUP('Données projet'!$B$12,Paramètres!$A$1:$I$89,3,0)*VLOOKUP('Données projet'!$B$12,Paramètres!$A$1:$I$89,5,0)</f>
        <v>2.4407420336390309</v>
      </c>
      <c r="CA10" s="13">
        <f t="shared" si="39"/>
        <v>1.0138329420560543</v>
      </c>
      <c r="CB10" s="20">
        <f t="shared" si="10"/>
        <v>6.0167180826689401</v>
      </c>
      <c r="CC10" s="59">
        <f t="shared" si="11"/>
        <v>299.35005141600226</v>
      </c>
      <c r="CD10" s="59">
        <f ca="1">AVERAGE(OFFSET($CC$3,0,0,'Données projet'!$E$12+1,1))-AVERAGE(OFFSET($H$3,0,0,'Données projet'!$E$12+1,1))</f>
        <v>322.06606384496587</v>
      </c>
      <c r="CE10" s="59">
        <f t="shared" si="40"/>
        <v>267.71713177624713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8.5833333333333339</v>
      </c>
      <c r="CT10" s="12">
        <f>IF('Données projet'!$A$140&gt;35,CT9+CS10-DB9,IF(A10&lt;'Données projet'!$A$140,$CQ$205^A10,IF(A10='Données projet'!$A$140,'Données projet'!$B$140,CT9+CS10-DB9)))</f>
        <v>14.933274481896314</v>
      </c>
      <c r="CU10" s="17">
        <f>CT10*VLOOKUP('Données projet'!$B$13,Paramètres!$A$1:$I$89,3,0)*VLOOKUP('Données projet'!$B$13,Paramètres!$A$1:$I$89,5,0)</f>
        <v>9.3183632767033</v>
      </c>
      <c r="CV10" s="13">
        <f t="shared" si="41"/>
        <v>3.3117730561532612</v>
      </c>
      <c r="CW10" s="20">
        <f t="shared" si="13"/>
        <v>21.997487446391844</v>
      </c>
      <c r="CX10" s="59">
        <f t="shared" si="14"/>
        <v>315.33082077972517</v>
      </c>
      <c r="CY10" s="59">
        <f ca="1">AVERAGE(OFFSET($CX$3,0,0,'Données projet'!$E$13+1,1))-AVERAGE(OFFSET($H$3,0,0,'Données projet'!$E$13+1,1))</f>
        <v>269.77739619445515</v>
      </c>
      <c r="CZ10" s="59">
        <f t="shared" si="42"/>
        <v>347.56964743629885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4.8</v>
      </c>
      <c r="DO10" s="12">
        <f>IF('Données projet'!$A$166&gt;35,DO9+DN10-DW9,IF(A10&lt;'Données projet'!$A$166,$DL$205^A10,IF(A10='Données projet'!$A$166,'Données projet'!$B$166,DO9+DN10-DW9)))</f>
        <v>4.9407733474474309</v>
      </c>
      <c r="DP10" s="17">
        <f>DO10*VLOOKUP('Données projet'!$B$14,Paramètres!$A$1:$I$89,3,0)*VLOOKUP('Données projet'!$B$14,Paramètres!$A$1:$I$89,5,0)</f>
        <v>2.3765119801222143</v>
      </c>
      <c r="DQ10" s="13">
        <f t="shared" si="43"/>
        <v>0.99022219370527698</v>
      </c>
      <c r="DR10" s="20">
        <f t="shared" si="16"/>
        <v>5.8637286860828803</v>
      </c>
      <c r="DS10" s="59">
        <f t="shared" si="17"/>
        <v>299.19706201941619</v>
      </c>
      <c r="DT10" s="59">
        <f ca="1">AVERAGE(OFFSET($DS$3,0,0,'Données projet'!$E$14+1,1))-AVERAGE(OFFSET($H$3,0,0,'Données projet'!$E$14+1,1))</f>
        <v>312.64506496298173</v>
      </c>
      <c r="DU10" s="59">
        <f t="shared" si="44"/>
        <v>259.97532509897508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2.1</v>
      </c>
      <c r="EJ10" s="12">
        <f>IF('Données projet'!$A$192&gt;35,EJ9+EI10-ER9,IF(A10&lt;'Données projet'!$A$192,$EG$205^A10,IF(A10='Données projet'!$A$192,'Données projet'!$B$192,EJ9+EI10-ER9)))</f>
        <v>3.6994507637402658</v>
      </c>
      <c r="EK10" s="17">
        <f>EJ10*VLOOKUP('Données projet'!$B$15,Paramètres!$A$1:$I$89,3,0)*VLOOKUP('Données projet'!$B$15,Paramètres!$A$1:$I$89,5,0)</f>
        <v>3.3472630510321921</v>
      </c>
      <c r="EL10" s="13">
        <f t="shared" si="45"/>
        <v>1.34019505338418</v>
      </c>
      <c r="EM10" s="20">
        <f t="shared" si="19"/>
        <v>8.1639895318585136</v>
      </c>
      <c r="EN10" s="59">
        <f t="shared" si="20"/>
        <v>301.49732286519185</v>
      </c>
      <c r="EO10" s="59">
        <f ca="1">AVERAGE(OFFSET($EN$3,0,0,'Données projet'!$E$15+1,1))-AVERAGE(OFFSET($H$3,0,0,'Données projet'!$E$15+1,1))</f>
        <v>269.64423257646359</v>
      </c>
      <c r="EP10" s="59">
        <f t="shared" si="46"/>
        <v>161.0819079811821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5.85</v>
      </c>
      <c r="FE10" s="12">
        <f>IF('Données projet'!$A$218&gt;35,FE9+FD10-FM9,IF(A10&lt;'Données projet'!$A$218,$FB$205^A10,IF(A10='Données projet'!$A$218,'Données projet'!$B$218,FE9+FD10-FM9)))</f>
        <v>5.2949888705880443</v>
      </c>
      <c r="FF10" s="17">
        <f>FE10*VLOOKUP('Données projet'!$B$16,Paramètres!$A$1:$I$89,3,0)*VLOOKUP('Données projet'!$B$16,Paramètres!$A$1:$I$89,5,0)</f>
        <v>4.1300913190586748</v>
      </c>
      <c r="FG10" s="13">
        <f t="shared" si="47"/>
        <v>1.6136673633027767</v>
      </c>
      <c r="FH10" s="20">
        <f t="shared" si="22"/>
        <v>10.003713038446195</v>
      </c>
      <c r="FI10" s="59">
        <f t="shared" si="23"/>
        <v>303.33704637177954</v>
      </c>
      <c r="FJ10" s="59">
        <f ca="1">AVERAGE(OFFSET($FI$3,0,0,'Données projet'!$E$16+1,1))-AVERAGE(OFFSET($H$3,0,0,'Données projet'!$E$16+1,1))</f>
        <v>283.77864672734273</v>
      </c>
      <c r="FK10" s="59">
        <f t="shared" si="48"/>
        <v>270.94620935643866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1.1000000000000001</v>
      </c>
      <c r="FZ10" s="12">
        <f>IF('Données projet'!$A$244&gt;35,FZ9+FY10-GH9,IF(A10&lt;'Données projet'!$A$244,$FW$205^A10,IF(A10='Données projet'!$A$244,'Données projet'!$B$244,FZ9+FY10-GH9)))</f>
        <v>5.3576566694841175</v>
      </c>
      <c r="GA10" s="17">
        <f>FZ10*VLOOKUP('Données projet'!$B$17,Paramètres!$A$1:$I$89,3,0)*VLOOKUP('Données projet'!$B$17,Paramètres!$A$1:$I$89,5,0)</f>
        <v>5.1819255307250387</v>
      </c>
      <c r="GB10" s="13">
        <f t="shared" si="49"/>
        <v>1.9718617398501002</v>
      </c>
      <c r="GC10" s="20">
        <f t="shared" si="25"/>
        <v>12.459512829585032</v>
      </c>
      <c r="GD10" s="59">
        <f t="shared" si="26"/>
        <v>305.79284616291835</v>
      </c>
      <c r="GE10" s="59">
        <f ca="1">AVERAGE(OFFSET($GD$3,0,0,'Données projet'!$E$17+1,1))-AVERAGE(OFFSET($H$3,0,0,'Données projet'!$E$17+1,1))</f>
        <v>347.54503437087288</v>
      </c>
      <c r="GF10" s="59">
        <f t="shared" si="50"/>
        <v>340.05673244455954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3.0666666666666669</v>
      </c>
      <c r="N11" s="13">
        <f>IF('Données projet'!$A$36&gt;35,N10+M11-V10,IF(A11&lt;'Données projet'!$A$36,$K$205^A11,IF(A11='Données projet'!$A$36,'Données projet'!$B$36,N10+M11-V10)))</f>
        <v>7.7055594753949777</v>
      </c>
      <c r="O11" s="13">
        <f>N11*VLOOKUP('Données projet'!$B$9,Paramètres!$A$1:$I$89,3,0)*VLOOKUP('Données projet'!$B$9,Paramètres!$A$1:$I$89,5,0)</f>
        <v>3.6062018344848497</v>
      </c>
      <c r="P11" s="13">
        <f t="shared" si="33"/>
        <v>1.4314015110944656</v>
      </c>
      <c r="Q11" s="20">
        <f t="shared" si="2"/>
        <v>8.7738258268839733</v>
      </c>
      <c r="R11" s="59">
        <f t="shared" si="0"/>
        <v>302.10715916021729</v>
      </c>
      <c r="S11" s="59">
        <f ca="1">AVERAGE(OFFSET($R$3,0,0,'Données projet'!$E$9+1,1))-AVERAGE(OFFSET($H$3,0,0,'Données projet'!$E$9+1,1))</f>
        <v>342.49944586217674</v>
      </c>
      <c r="T11" s="59">
        <f t="shared" si="34"/>
        <v>282.29766600872563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10.8</v>
      </c>
      <c r="AI11" s="13">
        <f>IF('Données projet'!$A$62&gt;35,AI10+AH11-AQ10,IF(A11&lt;'Données projet'!$A$62,$AF$205^A11,IF(A11='Données projet'!$A$62,'Données projet'!$B$62,AI10+AH11-AQ10)))</f>
        <v>15.080231472901943</v>
      </c>
      <c r="AJ11" s="13">
        <f>AI11*VLOOKUP('Données projet'!$B$10,Paramètres!$A$1:$I$89,3,0)*VLOOKUP('Données projet'!$B$10,Paramètres!$A$1:$I$89,5,0)</f>
        <v>8.4298493933521872</v>
      </c>
      <c r="AK11" s="13">
        <f t="shared" si="35"/>
        <v>3.0311431985167756</v>
      </c>
      <c r="AL11" s="20">
        <f t="shared" si="4"/>
        <v>19.961228764171775</v>
      </c>
      <c r="AM11" s="59">
        <f t="shared" si="5"/>
        <v>313.29456209750509</v>
      </c>
      <c r="AN11" s="59">
        <f ca="1">AVERAGE(OFFSET($AM$3,0,0,'Données projet'!$E$10+1,1))-AVERAGE(OFFSET($H$3,0,0,'Données projet'!$E$10+1,1))</f>
        <v>490.96084572840579</v>
      </c>
      <c r="AO11" s="59">
        <f t="shared" si="36"/>
        <v>597.91658789908263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0.6</v>
      </c>
      <c r="BD11" s="12">
        <f>IF('Données projet'!$A$88&gt;35,BD10+BC11-BL10,IF(A11&lt;'Données projet'!$A$88,$BA$205^A11,IF(A11='Données projet'!$A$88,'Données projet'!$B$88,BD10+BC11-BL10)))</f>
        <v>3.227968874176038</v>
      </c>
      <c r="BE11" s="13">
        <f>BD11*VLOOKUP('Données projet'!$B$11,Paramètres!$A$1:$I$89,3,0)*VLOOKUP('Données projet'!$B$11,Paramètres!$A$1:$I$89,5,0)</f>
        <v>2.568172036294456</v>
      </c>
      <c r="BF11" s="13">
        <f t="shared" si="37"/>
        <v>1.0604640025024015</v>
      </c>
      <c r="BG11" s="20">
        <f t="shared" si="7"/>
        <v>6.3198744342378603</v>
      </c>
      <c r="BH11" s="59">
        <f t="shared" si="8"/>
        <v>299.65320776757119</v>
      </c>
      <c r="BI11" s="59">
        <f ca="1">AVERAGE(OFFSET($BH$3,0,0,'Données projet'!$E$11+1,1))-AVERAGE(OFFSET($H$3,0,0,'Données projet'!$E$11+1,1))</f>
        <v>167.80254365106839</v>
      </c>
      <c r="BJ11" s="59">
        <f t="shared" si="38"/>
        <v>167.42302164950172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4.8</v>
      </c>
      <c r="BY11" s="12">
        <f>IF('Données projet'!$A$114&gt;35,BY10+BX11-CG10,IF(A11&lt;'Données projet'!$A$114,$BV$205^A11,IF(A11='Données projet'!$A$114,'Données projet'!$B$114,BY10+BX11-CG10)))</f>
        <v>6.2073822956614393</v>
      </c>
      <c r="BZ11" s="13">
        <f>BY11*VLOOKUP('Données projet'!$B$12,Paramètres!$A$1:$I$89,3,0)*VLOOKUP('Données projet'!$B$12,Paramètres!$A$1:$I$89,5,0)</f>
        <v>3.0664468540567511</v>
      </c>
      <c r="CA11" s="13">
        <f t="shared" si="39"/>
        <v>1.2403468314268693</v>
      </c>
      <c r="CB11" s="20">
        <f t="shared" si="10"/>
        <v>7.5009990022173056</v>
      </c>
      <c r="CC11" s="59">
        <f t="shared" si="11"/>
        <v>300.83433233555064</v>
      </c>
      <c r="CD11" s="59">
        <f ca="1">AVERAGE(OFFSET($CC$3,0,0,'Données projet'!$E$12+1,1))-AVERAGE(OFFSET($H$3,0,0,'Données projet'!$E$12+1,1))</f>
        <v>322.06606384496587</v>
      </c>
      <c r="CE11" s="59">
        <f t="shared" si="40"/>
        <v>267.71713177624713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8.5833333333333339</v>
      </c>
      <c r="CT11" s="12">
        <f>IF('Données projet'!$A$140&gt;35,CT10+CS11-DB10,IF(A11&lt;'Données projet'!$A$140,$CQ$205^A11,IF(A11='Données projet'!$A$140,'Données projet'!$B$140,CT10+CS11-DB10)))</f>
        <v>21.973107636570681</v>
      </c>
      <c r="CU11" s="17">
        <f>CT11*VLOOKUP('Données projet'!$B$13,Paramètres!$A$1:$I$89,3,0)*VLOOKUP('Données projet'!$B$13,Paramètres!$A$1:$I$89,5,0)</f>
        <v>13.711219165220106</v>
      </c>
      <c r="CV11" s="13">
        <f t="shared" si="41"/>
        <v>4.6587830081577177</v>
      </c>
      <c r="CW11" s="20">
        <f t="shared" si="13"/>
        <v>31.994420451966377</v>
      </c>
      <c r="CX11" s="59">
        <f t="shared" si="14"/>
        <v>325.32775378529971</v>
      </c>
      <c r="CY11" s="59">
        <f ca="1">AVERAGE(OFFSET($CX$3,0,0,'Données projet'!$E$13+1,1))-AVERAGE(OFFSET($H$3,0,0,'Données projet'!$E$13+1,1))</f>
        <v>269.77739619445515</v>
      </c>
      <c r="CZ11" s="59">
        <f t="shared" si="42"/>
        <v>347.56964743629885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4.8</v>
      </c>
      <c r="DO11" s="12">
        <f>IF('Données projet'!$A$166&gt;35,DO10+DN11-DW10,IF(A11&lt;'Données projet'!$A$166,$DL$205^A11,IF(A11='Données projet'!$A$166,'Données projet'!$B$166,DO10+DN11-DW10)))</f>
        <v>6.2073822956614393</v>
      </c>
      <c r="DP11" s="17">
        <f>DO11*VLOOKUP('Données projet'!$B$14,Paramètres!$A$1:$I$89,3,0)*VLOOKUP('Données projet'!$B$14,Paramètres!$A$1:$I$89,5,0)</f>
        <v>2.9857508842131524</v>
      </c>
      <c r="DQ11" s="13">
        <f t="shared" si="43"/>
        <v>1.2114608920480276</v>
      </c>
      <c r="DR11" s="20">
        <f t="shared" si="16"/>
        <v>7.3101438436548882</v>
      </c>
      <c r="DS11" s="59">
        <f t="shared" si="17"/>
        <v>300.6434771769882</v>
      </c>
      <c r="DT11" s="59">
        <f ca="1">AVERAGE(OFFSET($DS$3,0,0,'Données projet'!$E$14+1,1))-AVERAGE(OFFSET($H$3,0,0,'Données projet'!$E$14+1,1))</f>
        <v>312.64506496298173</v>
      </c>
      <c r="DU11" s="59">
        <f t="shared" si="44"/>
        <v>259.97532509897508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2.1</v>
      </c>
      <c r="EJ11" s="12">
        <f>IF('Données projet'!$A$192&gt;35,EJ10+EI11-ER10,IF(A11&lt;'Données projet'!$A$192,$EG$205^A11,IF(A11='Données projet'!$A$192,'Données projet'!$B$192,EJ10+EI11-ER10)))</f>
        <v>4.4596391171162209</v>
      </c>
      <c r="EK11" s="17">
        <f>EJ11*VLOOKUP('Données projet'!$B$15,Paramètres!$A$1:$I$89,3,0)*VLOOKUP('Données projet'!$B$15,Paramètres!$A$1:$I$89,5,0)</f>
        <v>4.0350814731667564</v>
      </c>
      <c r="EL11" s="13">
        <f t="shared" si="45"/>
        <v>1.5808227025391921</v>
      </c>
      <c r="EM11" s="20">
        <f t="shared" si="19"/>
        <v>9.7810331060211926</v>
      </c>
      <c r="EN11" s="59">
        <f t="shared" si="20"/>
        <v>303.11436643935451</v>
      </c>
      <c r="EO11" s="59">
        <f ca="1">AVERAGE(OFFSET($EN$3,0,0,'Données projet'!$E$15+1,1))-AVERAGE(OFFSET($H$3,0,0,'Données projet'!$E$15+1,1))</f>
        <v>269.64423257646359</v>
      </c>
      <c r="EP11" s="59">
        <f t="shared" si="46"/>
        <v>161.0819079811821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5.85</v>
      </c>
      <c r="FE11" s="12">
        <f>IF('Données projet'!$A$218&gt;35,FE10+FD11-FM10,IF(A11&lt;'Données projet'!$A$218,$FB$205^A11,IF(A11='Données projet'!$A$218,'Données projet'!$B$218,FE10+FD11-FM10)))</f>
        <v>6.718531298781433</v>
      </c>
      <c r="FF11" s="17">
        <f>FE11*VLOOKUP('Données projet'!$B$16,Paramètres!$A$1:$I$89,3,0)*VLOOKUP('Données projet'!$B$16,Paramètres!$A$1:$I$89,5,0)</f>
        <v>5.2404544130495179</v>
      </c>
      <c r="FG11" s="13">
        <f t="shared" si="47"/>
        <v>1.9915282293126844</v>
      </c>
      <c r="FH11" s="20">
        <f t="shared" si="22"/>
        <v>12.59570310211417</v>
      </c>
      <c r="FI11" s="59">
        <f t="shared" si="23"/>
        <v>305.92903643544747</v>
      </c>
      <c r="FJ11" s="59">
        <f ca="1">AVERAGE(OFFSET($FI$3,0,0,'Données projet'!$E$16+1,1))-AVERAGE(OFFSET($H$3,0,0,'Données projet'!$E$16+1,1))</f>
        <v>283.77864672734273</v>
      </c>
      <c r="FK11" s="59">
        <f t="shared" si="48"/>
        <v>270.94620935643866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1.1000000000000001</v>
      </c>
      <c r="FZ11" s="12">
        <f>IF('Données projet'!$A$244&gt;35,FZ10+FY11-GH10,IF(A11&lt;'Données projet'!$A$244,$FW$205^A11,IF(A11='Données projet'!$A$244,'Données projet'!$B$244,FZ10+FY11-GH10)))</f>
        <v>6.8094831275223076</v>
      </c>
      <c r="GA11" s="17">
        <f>FZ11*VLOOKUP('Données projet'!$B$17,Paramètres!$A$1:$I$89,3,0)*VLOOKUP('Données projet'!$B$17,Paramètres!$A$1:$I$89,5,0)</f>
        <v>6.586132080939576</v>
      </c>
      <c r="GB11" s="13">
        <f t="shared" si="49"/>
        <v>2.4372154250800317</v>
      </c>
      <c r="GC11" s="20">
        <f t="shared" si="25"/>
        <v>15.715663572984148</v>
      </c>
      <c r="GD11" s="59">
        <f t="shared" si="26"/>
        <v>309.04899690631748</v>
      </c>
      <c r="GE11" s="59">
        <f ca="1">AVERAGE(OFFSET($GD$3,0,0,'Données projet'!$E$17+1,1))-AVERAGE(OFFSET($H$3,0,0,'Données projet'!$E$17+1,1))</f>
        <v>347.54503437087288</v>
      </c>
      <c r="GF11" s="59">
        <f t="shared" si="50"/>
        <v>340.05673244455954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3.0666666666666669</v>
      </c>
      <c r="N12" s="13">
        <f>IF('Données projet'!$A$36&gt;35,N11+M12-V11,IF(A12&lt;'Données projet'!$A$36,$K$205^A12,IF(A12='Données projet'!$A$36,'Données projet'!$B$36,N11+M12-V11)))</f>
        <v>9.94614300064665</v>
      </c>
      <c r="O12" s="13">
        <f>N12*VLOOKUP('Données projet'!$B$9,Paramètres!$A$1:$I$89,3,0)*VLOOKUP('Données projet'!$B$9,Paramètres!$A$1:$I$89,5,0)</f>
        <v>4.6547949243026316</v>
      </c>
      <c r="P12" s="13">
        <f t="shared" si="33"/>
        <v>1.7935314341189903</v>
      </c>
      <c r="Q12" s="20">
        <f t="shared" si="2"/>
        <v>11.230835074250992</v>
      </c>
      <c r="R12" s="59">
        <f t="shared" si="0"/>
        <v>304.5641684075843</v>
      </c>
      <c r="S12" s="59">
        <f ca="1">AVERAGE(OFFSET($R$3,0,0,'Données projet'!$E$9+1,1))-AVERAGE(OFFSET($H$3,0,0,'Données projet'!$E$9+1,1))</f>
        <v>342.49944586217674</v>
      </c>
      <c r="T12" s="59">
        <f t="shared" si="34"/>
        <v>282.29766600872563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10.8</v>
      </c>
      <c r="AI12" s="13">
        <f>IF('Données projet'!$A$62&gt;35,AI11+AH12-AQ11,IF(A12&lt;'Données projet'!$A$62,$AF$205^A12,IF(A12='Données projet'!$A$62,'Données projet'!$B$62,AI11+AH12-AQ11)))</f>
        <v>21.169422405444113</v>
      </c>
      <c r="AJ12" s="13">
        <f>AI12*VLOOKUP('Données projet'!$B$10,Paramètres!$A$1:$I$89,3,0)*VLOOKUP('Données projet'!$B$10,Paramètres!$A$1:$I$89,5,0)</f>
        <v>11.83370712464326</v>
      </c>
      <c r="AK12" s="13">
        <f t="shared" si="35"/>
        <v>4.0903608070972819</v>
      </c>
      <c r="AL12" s="20">
        <f t="shared" si="4"/>
        <v>27.734418314448106</v>
      </c>
      <c r="AM12" s="59">
        <f t="shared" si="5"/>
        <v>321.06775164778139</v>
      </c>
      <c r="AN12" s="59">
        <f ca="1">AVERAGE(OFFSET($AM$3,0,0,'Données projet'!$E$10+1,1))-AVERAGE(OFFSET($H$3,0,0,'Données projet'!$E$10+1,1))</f>
        <v>490.96084572840579</v>
      </c>
      <c r="AO12" s="59">
        <f t="shared" si="36"/>
        <v>597.91658789908263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0.6</v>
      </c>
      <c r="BD12" s="12">
        <f>IF('Données projet'!$A$88&gt;35,BD11+BC12-BL11,IF(A12&lt;'Données projet'!$A$88,$BA$205^A12,IF(A12='Données projet'!$A$88,'Données projet'!$B$88,BD11+BC12-BL11)))</f>
        <v>3.7371928188465526</v>
      </c>
      <c r="BE12" s="13">
        <f>BD12*VLOOKUP('Données projet'!$B$11,Paramètres!$A$1:$I$89,3,0)*VLOOKUP('Données projet'!$B$11,Paramètres!$A$1:$I$89,5,0)</f>
        <v>2.9733106066743171</v>
      </c>
      <c r="BF12" s="13">
        <f t="shared" si="37"/>
        <v>1.2069997395389946</v>
      </c>
      <c r="BG12" s="20">
        <f t="shared" si="7"/>
        <v>7.2807071863215178</v>
      </c>
      <c r="BH12" s="59">
        <f t="shared" si="8"/>
        <v>300.61404051965485</v>
      </c>
      <c r="BI12" s="59">
        <f ca="1">AVERAGE(OFFSET($BH$3,0,0,'Données projet'!$E$11+1,1))-AVERAGE(OFFSET($H$3,0,0,'Données projet'!$E$11+1,1))</f>
        <v>167.80254365106839</v>
      </c>
      <c r="BJ12" s="59">
        <f t="shared" si="38"/>
        <v>167.42302164950172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4.8</v>
      </c>
      <c r="BY12" s="12">
        <f>IF('Données projet'!$A$114&gt;35,BY11+BX12-CG11,IF(A12&lt;'Données projet'!$A$114,$BV$205^A12,IF(A12='Données projet'!$A$114,'Données projet'!$B$114,BY11+BX12-CG11)))</f>
        <v>7.7986971380498149</v>
      </c>
      <c r="BZ12" s="13">
        <f>BY12*VLOOKUP('Données projet'!$B$12,Paramètres!$A$1:$I$89,3,0)*VLOOKUP('Données projet'!$B$12,Paramètres!$A$1:$I$89,5,0)</f>
        <v>3.8525563861966088</v>
      </c>
      <c r="CA12" s="13">
        <f t="shared" si="39"/>
        <v>1.5174691987327569</v>
      </c>
      <c r="CB12" s="20">
        <f t="shared" si="10"/>
        <v>9.3527945604186442</v>
      </c>
      <c r="CC12" s="59">
        <f t="shared" si="11"/>
        <v>302.68612789375197</v>
      </c>
      <c r="CD12" s="59">
        <f ca="1">AVERAGE(OFFSET($CC$3,0,0,'Données projet'!$E$12+1,1))-AVERAGE(OFFSET($H$3,0,0,'Données projet'!$E$12+1,1))</f>
        <v>322.06606384496587</v>
      </c>
      <c r="CE12" s="59">
        <f t="shared" si="40"/>
        <v>267.71713177624713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8.5833333333333339</v>
      </c>
      <c r="CT12" s="12">
        <f>IF('Données projet'!$A$140&gt;35,CT11+CS12-DB11,IF(A12&lt;'Données projet'!$A$140,$CQ$205^A12,IF(A12='Données projet'!$A$140,'Données projet'!$B$140,CT11+CS12-DB11)))</f>
        <v>32.331653703522484</v>
      </c>
      <c r="CU12" s="17">
        <f>CT12*VLOOKUP('Données projet'!$B$13,Paramètres!$A$1:$I$89,3,0)*VLOOKUP('Données projet'!$B$13,Paramètres!$A$1:$I$89,5,0)</f>
        <v>20.174951910998029</v>
      </c>
      <c r="CV12" s="13">
        <f t="shared" si="41"/>
        <v>6.55366740084217</v>
      </c>
      <c r="CW12" s="20">
        <f t="shared" si="13"/>
        <v>46.552345301455006</v>
      </c>
      <c r="CX12" s="59">
        <f t="shared" si="14"/>
        <v>339.88567863478829</v>
      </c>
      <c r="CY12" s="59">
        <f ca="1">AVERAGE(OFFSET($CX$3,0,0,'Données projet'!$E$13+1,1))-AVERAGE(OFFSET($H$3,0,0,'Données projet'!$E$13+1,1))</f>
        <v>269.77739619445515</v>
      </c>
      <c r="CZ12" s="59">
        <f t="shared" si="42"/>
        <v>347.56964743629885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4.8</v>
      </c>
      <c r="DO12" s="12">
        <f>IF('Données projet'!$A$166&gt;35,DO11+DN12-DW11,IF(A12&lt;'Données projet'!$A$166,$DL$205^A12,IF(A12='Données projet'!$A$166,'Données projet'!$B$166,DO11+DN12-DW11)))</f>
        <v>7.7986971380498149</v>
      </c>
      <c r="DP12" s="17">
        <f>DO12*VLOOKUP('Données projet'!$B$14,Paramètres!$A$1:$I$89,3,0)*VLOOKUP('Données projet'!$B$14,Paramètres!$A$1:$I$89,5,0)</f>
        <v>3.7511733234019609</v>
      </c>
      <c r="DQ12" s="13">
        <f t="shared" si="43"/>
        <v>1.4821294678016681</v>
      </c>
      <c r="DR12" s="20">
        <f t="shared" si="16"/>
        <v>9.1146690280129867</v>
      </c>
      <c r="DS12" s="59">
        <f t="shared" si="17"/>
        <v>302.44800236134631</v>
      </c>
      <c r="DT12" s="59">
        <f ca="1">AVERAGE(OFFSET($DS$3,0,0,'Données projet'!$E$14+1,1))-AVERAGE(OFFSET($H$3,0,0,'Données projet'!$E$14+1,1))</f>
        <v>312.64506496298173</v>
      </c>
      <c r="DU12" s="59">
        <f t="shared" si="44"/>
        <v>259.97532509897508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2.1</v>
      </c>
      <c r="EJ12" s="12">
        <f>IF('Données projet'!$A$192&gt;35,EJ11+EI12-ER11,IF(A12&lt;'Données projet'!$A$192,$EG$205^A12,IF(A12='Données projet'!$A$192,'Données projet'!$B$192,EJ11+EI12-ER11)))</f>
        <v>5.3760361537574148</v>
      </c>
      <c r="EK12" s="17">
        <f>EJ12*VLOOKUP('Données projet'!$B$15,Paramètres!$A$1:$I$89,3,0)*VLOOKUP('Données projet'!$B$15,Paramètres!$A$1:$I$89,5,0)</f>
        <v>4.8642375119197085</v>
      </c>
      <c r="EL12" s="13">
        <f t="shared" si="45"/>
        <v>1.8646542609995393</v>
      </c>
      <c r="EM12" s="20">
        <f t="shared" si="19"/>
        <v>11.719486504501022</v>
      </c>
      <c r="EN12" s="59">
        <f t="shared" si="20"/>
        <v>305.05281983783436</v>
      </c>
      <c r="EO12" s="59">
        <f ca="1">AVERAGE(OFFSET($EN$3,0,0,'Données projet'!$E$15+1,1))-AVERAGE(OFFSET($H$3,0,0,'Données projet'!$E$15+1,1))</f>
        <v>269.64423257646359</v>
      </c>
      <c r="EP12" s="59">
        <f t="shared" si="46"/>
        <v>161.0819079811821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5.85</v>
      </c>
      <c r="FE12" s="12">
        <f>IF('Données projet'!$A$218&gt;35,FE11+FD12-FM11,IF(A12&lt;'Données projet'!$A$218,$FB$205^A12,IF(A12='Données projet'!$A$218,'Données projet'!$B$218,FE11+FD12-FM11)))</f>
        <v>8.5247889874587734</v>
      </c>
      <c r="FF12" s="17">
        <f>FE12*VLOOKUP('Données projet'!$B$16,Paramètres!$A$1:$I$89,3,0)*VLOOKUP('Données projet'!$B$16,Paramètres!$A$1:$I$89,5,0)</f>
        <v>6.6493354102178435</v>
      </c>
      <c r="FG12" s="13">
        <f t="shared" si="47"/>
        <v>2.4578700532379361</v>
      </c>
      <c r="FH12" s="20">
        <f t="shared" si="22"/>
        <v>15.86171618218548</v>
      </c>
      <c r="FI12" s="59">
        <f t="shared" si="23"/>
        <v>309.1950495155188</v>
      </c>
      <c r="FJ12" s="59">
        <f ca="1">AVERAGE(OFFSET($FI$3,0,0,'Données projet'!$E$16+1,1))-AVERAGE(OFFSET($H$3,0,0,'Données projet'!$E$16+1,1))</f>
        <v>283.77864672734273</v>
      </c>
      <c r="FK12" s="59">
        <f t="shared" si="48"/>
        <v>270.94620935643866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1.1000000000000001</v>
      </c>
      <c r="FZ12" s="12">
        <f>IF('Données projet'!$A$244&gt;35,FZ11+FY12-GH11,IF(A12&lt;'Données projet'!$A$244,$FW$205^A12,IF(A12='Données projet'!$A$244,'Données projet'!$B$244,FZ11+FY12-GH11)))</f>
        <v>8.6547278641645029</v>
      </c>
      <c r="GA12" s="17">
        <f>FZ12*VLOOKUP('Données projet'!$B$17,Paramètres!$A$1:$I$89,3,0)*VLOOKUP('Données projet'!$B$17,Paramètres!$A$1:$I$89,5,0)</f>
        <v>8.3708527902199066</v>
      </c>
      <c r="GB12" s="13">
        <f t="shared" si="49"/>
        <v>3.0123912382921927</v>
      </c>
      <c r="GC12" s="20">
        <f t="shared" si="25"/>
        <v>19.825816682991903</v>
      </c>
      <c r="GD12" s="59">
        <f t="shared" si="26"/>
        <v>313.15915001632521</v>
      </c>
      <c r="GE12" s="59">
        <f ca="1">AVERAGE(OFFSET($GD$3,0,0,'Données projet'!$E$17+1,1))-AVERAGE(OFFSET($H$3,0,0,'Données projet'!$E$17+1,1))</f>
        <v>347.54503437087288</v>
      </c>
      <c r="GF12" s="59">
        <f t="shared" si="50"/>
        <v>340.05673244455954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3.0666666666666669</v>
      </c>
      <c r="N13" s="13">
        <f>IF('Données projet'!$A$36&gt;35,N12+M13-V12,IF(A13&lt;'Données projet'!$A$36,$K$205^A13,IF(A13='Données projet'!$A$36,'Données projet'!$B$36,N12+M13-V12)))</f>
        <v>12.838232045991901</v>
      </c>
      <c r="O13" s="13">
        <f>N13*VLOOKUP('Données projet'!$B$9,Paramètres!$A$1:$I$89,3,0)*VLOOKUP('Données projet'!$B$9,Paramètres!$A$1:$I$89,5,0)</f>
        <v>6.0082925975242105</v>
      </c>
      <c r="P13" s="13">
        <f t="shared" si="33"/>
        <v>2.2472765190204087</v>
      </c>
      <c r="Q13" s="20">
        <f t="shared" si="2"/>
        <v>14.378449544648545</v>
      </c>
      <c r="R13" s="59">
        <f t="shared" si="0"/>
        <v>307.71178287798188</v>
      </c>
      <c r="S13" s="59">
        <f ca="1">AVERAGE(OFFSET($R$3,0,0,'Données projet'!$E$9+1,1))-AVERAGE(OFFSET($H$3,0,0,'Données projet'!$E$9+1,1))</f>
        <v>342.49944586217674</v>
      </c>
      <c r="T13" s="59">
        <f t="shared" si="34"/>
        <v>282.29766600872563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10.8</v>
      </c>
      <c r="AI13" s="13">
        <f>IF('Données projet'!$A$62&gt;35,AI12+AH13-AQ12,IF(A13&lt;'Données projet'!$A$62,$AF$205^A13,IF(A13='Données projet'!$A$62,'Données projet'!$B$62,AI12+AH13-AQ12)))</f>
        <v>29.717345240051621</v>
      </c>
      <c r="AJ13" s="13">
        <f>AI13*VLOOKUP('Données projet'!$B$10,Paramètres!$A$1:$I$89,3,0)*VLOOKUP('Données projet'!$B$10,Paramètres!$A$1:$I$89,5,0)</f>
        <v>16.611995989188856</v>
      </c>
      <c r="AK13" s="13">
        <f t="shared" si="35"/>
        <v>5.5197166337850669</v>
      </c>
      <c r="AL13" s="20">
        <f t="shared" si="4"/>
        <v>38.546066151679575</v>
      </c>
      <c r="AM13" s="59">
        <f t="shared" si="5"/>
        <v>331.87939948501287</v>
      </c>
      <c r="AN13" s="59">
        <f ca="1">AVERAGE(OFFSET($AM$3,0,0,'Données projet'!$E$10+1,1))-AVERAGE(OFFSET($H$3,0,0,'Données projet'!$E$10+1,1))</f>
        <v>490.96084572840579</v>
      </c>
      <c r="AO13" s="59">
        <f t="shared" si="36"/>
        <v>597.91658789908263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0.6</v>
      </c>
      <c r="BD13" s="12">
        <f>IF('Données projet'!$A$88&gt;35,BD12+BC13-BL12,IF(A13&lt;'Données projet'!$A$88,$BA$205^A13,IF(A13='Données projet'!$A$88,'Données projet'!$B$88,BD12+BC13-BL12)))</f>
        <v>4.3267487109222253</v>
      </c>
      <c r="BE13" s="13">
        <f>BD13*VLOOKUP('Données projet'!$B$11,Paramètres!$A$1:$I$89,3,0)*VLOOKUP('Données projet'!$B$11,Paramètres!$A$1:$I$89,5,0)</f>
        <v>3.4423612744097229</v>
      </c>
      <c r="BF13" s="13">
        <f t="shared" si="37"/>
        <v>1.3737838981893231</v>
      </c>
      <c r="BG13" s="20">
        <f t="shared" si="7"/>
        <v>8.3881195089433387</v>
      </c>
      <c r="BH13" s="59">
        <f t="shared" si="8"/>
        <v>301.72145284227668</v>
      </c>
      <c r="BI13" s="59">
        <f ca="1">AVERAGE(OFFSET($BH$3,0,0,'Données projet'!$E$11+1,1))-AVERAGE(OFFSET($H$3,0,0,'Données projet'!$E$11+1,1))</f>
        <v>167.80254365106839</v>
      </c>
      <c r="BJ13" s="59">
        <f t="shared" si="38"/>
        <v>167.42302164950172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4.8</v>
      </c>
      <c r="BY13" s="12">
        <f>IF('Données projet'!$A$114&gt;35,BY12+BX13-CG12,IF(A13&lt;'Données projet'!$A$114,$BV$205^A13,IF(A13='Données projet'!$A$114,'Données projet'!$B$114,BY12+BX13-CG12)))</f>
        <v>9.7979589711327133</v>
      </c>
      <c r="BZ13" s="13">
        <f>BY13*VLOOKUP('Données projet'!$B$12,Paramètres!$A$1:$I$89,3,0)*VLOOKUP('Données projet'!$B$12,Paramètres!$A$1:$I$89,5,0)</f>
        <v>4.8401917317395604</v>
      </c>
      <c r="CA13" s="13">
        <f t="shared" si="39"/>
        <v>1.8565071565133457</v>
      </c>
      <c r="CB13" s="20">
        <f t="shared" si="10"/>
        <v>11.663417230373812</v>
      </c>
      <c r="CC13" s="59">
        <f t="shared" si="11"/>
        <v>304.99675056370711</v>
      </c>
      <c r="CD13" s="59">
        <f ca="1">AVERAGE(OFFSET($CC$3,0,0,'Données projet'!$E$12+1,1))-AVERAGE(OFFSET($H$3,0,0,'Données projet'!$E$12+1,1))</f>
        <v>322.06606384496587</v>
      </c>
      <c r="CE13" s="59">
        <f t="shared" si="40"/>
        <v>267.71713177624713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8.5833333333333339</v>
      </c>
      <c r="CT13" s="12">
        <f>IF('Données projet'!$A$140&gt;35,CT12+CS13-DB12,IF(A13&lt;'Données projet'!$A$140,$CQ$205^A13,IF(A13='Données projet'!$A$140,'Données projet'!$B$140,CT12+CS13-DB12)))</f>
        <v>47.573417856685268</v>
      </c>
      <c r="CU13" s="17">
        <f>CT13*VLOOKUP('Données projet'!$B$13,Paramètres!$A$1:$I$89,3,0)*VLOOKUP('Données projet'!$B$13,Paramètres!$A$1:$I$89,5,0)</f>
        <v>29.685812742571606</v>
      </c>
      <c r="CV13" s="13">
        <f t="shared" si="41"/>
        <v>9.2192652728519882</v>
      </c>
      <c r="CW13" s="20">
        <f t="shared" si="13"/>
        <v>67.759677543529421</v>
      </c>
      <c r="CX13" s="59">
        <f t="shared" si="14"/>
        <v>361.09301087686276</v>
      </c>
      <c r="CY13" s="59">
        <f ca="1">AVERAGE(OFFSET($CX$3,0,0,'Données projet'!$E$13+1,1))-AVERAGE(OFFSET($H$3,0,0,'Données projet'!$E$13+1,1))</f>
        <v>269.77739619445515</v>
      </c>
      <c r="CZ13" s="59">
        <f t="shared" si="42"/>
        <v>347.56964743629885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4.8</v>
      </c>
      <c r="DO13" s="12">
        <f>IF('Données projet'!$A$166&gt;35,DO12+DN13-DW12,IF(A13&lt;'Données projet'!$A$166,$DL$205^A13,IF(A13='Données projet'!$A$166,'Données projet'!$B$166,DO12+DN13-DW12)))</f>
        <v>9.7979589711327133</v>
      </c>
      <c r="DP13" s="17">
        <f>DO13*VLOOKUP('Données projet'!$B$14,Paramètres!$A$1:$I$89,3,0)*VLOOKUP('Données projet'!$B$14,Paramètres!$A$1:$I$89,5,0)</f>
        <v>4.7128182651148354</v>
      </c>
      <c r="DQ13" s="13">
        <f t="shared" si="43"/>
        <v>1.8132717067015065</v>
      </c>
      <c r="DR13" s="20">
        <f t="shared" si="16"/>
        <v>11.36627336758013</v>
      </c>
      <c r="DS13" s="59">
        <f t="shared" si="17"/>
        <v>304.69960670091342</v>
      </c>
      <c r="DT13" s="59">
        <f ca="1">AVERAGE(OFFSET($DS$3,0,0,'Données projet'!$E$14+1,1))-AVERAGE(OFFSET($H$3,0,0,'Données projet'!$E$14+1,1))</f>
        <v>312.64506496298173</v>
      </c>
      <c r="DU13" s="59">
        <f t="shared" si="44"/>
        <v>259.97532509897508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2.1</v>
      </c>
      <c r="EJ13" s="12">
        <f>IF('Données projet'!$A$192&gt;35,EJ12+EI13-ER12,IF(A13&lt;'Données projet'!$A$192,$EG$205^A13,IF(A13='Données projet'!$A$192,'Données projet'!$B$192,EJ12+EI13-ER12)))</f>
        <v>6.4807406984078657</v>
      </c>
      <c r="EK13" s="17">
        <f>EJ13*VLOOKUP('Données projet'!$B$15,Paramètres!$A$1:$I$89,3,0)*VLOOKUP('Données projet'!$B$15,Paramètres!$A$1:$I$89,5,0)</f>
        <v>5.8637741839194364</v>
      </c>
      <c r="EL13" s="13">
        <f t="shared" si="45"/>
        <v>2.1994468497187687</v>
      </c>
      <c r="EM13" s="20">
        <f t="shared" si="19"/>
        <v>14.043443300253207</v>
      </c>
      <c r="EN13" s="59">
        <f t="shared" si="20"/>
        <v>307.37677663358653</v>
      </c>
      <c r="EO13" s="59">
        <f ca="1">AVERAGE(OFFSET($EN$3,0,0,'Données projet'!$E$15+1,1))-AVERAGE(OFFSET($H$3,0,0,'Données projet'!$E$15+1,1))</f>
        <v>269.64423257646359</v>
      </c>
      <c r="EP13" s="59">
        <f t="shared" si="46"/>
        <v>161.0819079811821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5.85</v>
      </c>
      <c r="FE13" s="12">
        <f>IF('Données projet'!$A$218&gt;35,FE12+FD13-FM12,IF(A13&lt;'Données projet'!$A$218,$FB$205^A13,IF(A13='Données projet'!$A$218,'Données projet'!$B$218,FE12+FD13-FM12)))</f>
        <v>10.816653826391967</v>
      </c>
      <c r="FF13" s="17">
        <f>FE13*VLOOKUP('Données projet'!$B$16,Paramètres!$A$1:$I$89,3,0)*VLOOKUP('Données projet'!$B$16,Paramètres!$A$1:$I$89,5,0)</f>
        <v>8.4369899845857343</v>
      </c>
      <c r="FG13" s="13">
        <f t="shared" si="47"/>
        <v>3.0334117838182832</v>
      </c>
      <c r="FH13" s="20">
        <f t="shared" si="22"/>
        <v>19.977616413303661</v>
      </c>
      <c r="FI13" s="59">
        <f t="shared" si="23"/>
        <v>313.31094974663699</v>
      </c>
      <c r="FJ13" s="59">
        <f ca="1">AVERAGE(OFFSET($FI$3,0,0,'Données projet'!$E$16+1,1))-AVERAGE(OFFSET($H$3,0,0,'Données projet'!$E$16+1,1))</f>
        <v>283.77864672734273</v>
      </c>
      <c r="FK13" s="59">
        <f t="shared" si="48"/>
        <v>270.94620935643866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>
        <f>VLOOKUP(A13,'Données projet'!$A$243:$I$263,2,0)</f>
        <v>11</v>
      </c>
      <c r="FX13" s="12">
        <f>VLOOKUP(A13,'Données projet'!$A$243:$I$263,9,0)</f>
        <v>1.1000000000000001</v>
      </c>
      <c r="FY13" s="12">
        <f t="array" ref="FY13">INDEX(FX:FX,MIN(IF(ISNUMBER(FX13:FX209),ROW(FX13:FX209),"")))</f>
        <v>1.1000000000000001</v>
      </c>
      <c r="FZ13" s="12">
        <f>IF('Données projet'!$A$244&gt;35,FZ12+FY13-GH12,IF(A13&lt;'Données projet'!$A$244,$FW$205^A13,IF(A13='Données projet'!$A$244,'Données projet'!$B$244,FZ12+FY13-GH12)))</f>
        <v>11</v>
      </c>
      <c r="GA13" s="17">
        <f>FZ13*VLOOKUP('Données projet'!$B$17,Paramètres!$A$1:$I$89,3,0)*VLOOKUP('Données projet'!$B$17,Paramètres!$A$1:$I$89,5,0)</f>
        <v>10.639200000000001</v>
      </c>
      <c r="GB13" s="13">
        <f t="shared" si="49"/>
        <v>3.7233068850454925</v>
      </c>
      <c r="GC13" s="20">
        <f t="shared" si="25"/>
        <v>25.014699491454234</v>
      </c>
      <c r="GD13" s="59">
        <f t="shared" si="26"/>
        <v>318.34803282478754</v>
      </c>
      <c r="GE13" s="59">
        <f ca="1">AVERAGE(OFFSET($GD$3,0,0,'Données projet'!$E$17+1,1))-AVERAGE(OFFSET($H$3,0,0,'Données projet'!$E$17+1,1))</f>
        <v>347.54503437087288</v>
      </c>
      <c r="GF13" s="59">
        <f t="shared" si="50"/>
        <v>340.05673244455954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3.0666666666666669</v>
      </c>
      <c r="N14" s="13">
        <f>IF('Données projet'!$A$36&gt;35,N13+M14-V13,IF(A14&lt;'Données projet'!$A$36,$K$205^A14,IF(A14='Données projet'!$A$36,'Données projet'!$B$36,N13+M14-V13)))</f>
        <v>16.571268084122419</v>
      </c>
      <c r="O14" s="13">
        <f>N14*VLOOKUP('Données projet'!$B$9,Paramètres!$A$1:$I$89,3,0)*VLOOKUP('Données projet'!$B$9,Paramètres!$A$1:$I$89,5,0)</f>
        <v>7.7553534633692927</v>
      </c>
      <c r="P14" s="13">
        <f t="shared" si="33"/>
        <v>2.8158144635035316</v>
      </c>
      <c r="Q14" s="20">
        <f t="shared" si="2"/>
        <v>18.411450805970173</v>
      </c>
      <c r="R14" s="59">
        <f t="shared" si="0"/>
        <v>311.74478413930348</v>
      </c>
      <c r="S14" s="59">
        <f ca="1">AVERAGE(OFFSET($R$3,0,0,'Données projet'!$E$9+1,1))-AVERAGE(OFFSET($H$3,0,0,'Données projet'!$E$9+1,1))</f>
        <v>342.49944586217674</v>
      </c>
      <c r="T14" s="59">
        <f t="shared" si="34"/>
        <v>282.29766600872563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10.8</v>
      </c>
      <c r="AI14" s="13">
        <f>IF('Données projet'!$A$62&gt;35,AI13+AH14-AQ13,IF(A14&lt;'Données projet'!$A$62,$AF$205^A14,IF(A14='Données projet'!$A$62,'Données projet'!$B$62,AI13+AH14-AQ13)))</f>
        <v>41.716802244415881</v>
      </c>
      <c r="AJ14" s="13">
        <f>AI14*VLOOKUP('Données projet'!$B$10,Paramètres!$A$1:$I$89,3,0)*VLOOKUP('Données projet'!$B$10,Paramètres!$A$1:$I$89,5,0)</f>
        <v>23.319692454628481</v>
      </c>
      <c r="AK14" s="13">
        <f t="shared" si="35"/>
        <v>7.4485536005574575</v>
      </c>
      <c r="AL14" s="20">
        <f t="shared" si="4"/>
        <v>53.58802854611551</v>
      </c>
      <c r="AM14" s="59">
        <f t="shared" si="5"/>
        <v>346.9213618794488</v>
      </c>
      <c r="AN14" s="59">
        <f ca="1">AVERAGE(OFFSET($AM$3,0,0,'Données projet'!$E$10+1,1))-AVERAGE(OFFSET($H$3,0,0,'Données projet'!$E$10+1,1))</f>
        <v>490.96084572840579</v>
      </c>
      <c r="AO14" s="59">
        <f t="shared" si="36"/>
        <v>597.91658789908263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0.6</v>
      </c>
      <c r="BD14" s="12">
        <f>IF('Données projet'!$A$88&gt;35,BD13+BC14-BL13,IF(A14&lt;'Données projet'!$A$88,$BA$205^A14,IF(A14='Données projet'!$A$88,'Données projet'!$B$88,BD13+BC14-BL13)))</f>
        <v>5.0093092101266317</v>
      </c>
      <c r="BE14" s="13">
        <f>BD14*VLOOKUP('Données projet'!$B$11,Paramètres!$A$1:$I$89,3,0)*VLOOKUP('Données projet'!$B$11,Paramètres!$A$1:$I$89,5,0)</f>
        <v>3.9854064075767486</v>
      </c>
      <c r="BF14" s="13">
        <f t="shared" si="37"/>
        <v>1.5636144210313476</v>
      </c>
      <c r="BG14" s="20">
        <f t="shared" si="7"/>
        <v>9.6645446098257679</v>
      </c>
      <c r="BH14" s="59">
        <f t="shared" si="8"/>
        <v>302.9978779431591</v>
      </c>
      <c r="BI14" s="59">
        <f ca="1">AVERAGE(OFFSET($BH$3,0,0,'Données projet'!$E$11+1,1))-AVERAGE(OFFSET($H$3,0,0,'Données projet'!$E$11+1,1))</f>
        <v>167.80254365106839</v>
      </c>
      <c r="BJ14" s="59">
        <f t="shared" si="38"/>
        <v>167.42302164950172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4.8</v>
      </c>
      <c r="BY14" s="12">
        <f>IF('Données projet'!$A$114&gt;35,BY13+BX14-CG13,IF(A14&lt;'Données projet'!$A$114,$BV$205^A14,IF(A14='Données projet'!$A$114,'Données projet'!$B$114,BY13+BX14-CG13)))</f>
        <v>12.309748449085985</v>
      </c>
      <c r="BZ14" s="13">
        <f>BY14*VLOOKUP('Données projet'!$B$12,Paramètres!$A$1:$I$89,3,0)*VLOOKUP('Données projet'!$B$12,Paramètres!$A$1:$I$89,5,0)</f>
        <v>6.0810157338484778</v>
      </c>
      <c r="CA14" s="13">
        <f t="shared" si="39"/>
        <v>2.2712940895693636</v>
      </c>
      <c r="CB14" s="20">
        <f t="shared" si="10"/>
        <v>14.546939609119406</v>
      </c>
      <c r="CC14" s="59">
        <f t="shared" si="11"/>
        <v>307.88027294245273</v>
      </c>
      <c r="CD14" s="59">
        <f ca="1">AVERAGE(OFFSET($CC$3,0,0,'Données projet'!$E$12+1,1))-AVERAGE(OFFSET($H$3,0,0,'Données projet'!$E$12+1,1))</f>
        <v>322.06606384496587</v>
      </c>
      <c r="CE14" s="59">
        <f t="shared" si="40"/>
        <v>267.71713177624713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8.5833333333333339</v>
      </c>
      <c r="CT14" s="12">
        <f>IF('Données projet'!$A$140&gt;35,CT13+CS14-DB13,IF(A14&lt;'Données projet'!$A$140,$CQ$205^A14,IF(A14='Données projet'!$A$140,'Données projet'!$B$140,CT13+CS14-DB13)))</f>
        <v>70.000443136015818</v>
      </c>
      <c r="CU14" s="17">
        <f>CT14*VLOOKUP('Données projet'!$B$13,Paramètres!$A$1:$I$89,3,0)*VLOOKUP('Données projet'!$B$13,Paramètres!$A$1:$I$89,5,0)</f>
        <v>43.680276516873867</v>
      </c>
      <c r="CV14" s="13">
        <f t="shared" si="41"/>
        <v>12.969051825897136</v>
      </c>
      <c r="CW14" s="20">
        <f t="shared" si="13"/>
        <v>98.664246863659471</v>
      </c>
      <c r="CX14" s="59">
        <f t="shared" si="14"/>
        <v>391.99758019699277</v>
      </c>
      <c r="CY14" s="59">
        <f ca="1">AVERAGE(OFFSET($CX$3,0,0,'Données projet'!$E$13+1,1))-AVERAGE(OFFSET($H$3,0,0,'Données projet'!$E$13+1,1))</f>
        <v>269.77739619445515</v>
      </c>
      <c r="CZ14" s="59">
        <f t="shared" si="42"/>
        <v>347.56964743629885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4.8</v>
      </c>
      <c r="DO14" s="12">
        <f>IF('Données projet'!$A$166&gt;35,DO13+DN14-DW13,IF(A14&lt;'Données projet'!$A$166,$DL$205^A14,IF(A14='Données projet'!$A$166,'Données projet'!$B$166,DO13+DN14-DW13)))</f>
        <v>12.309748449085985</v>
      </c>
      <c r="DP14" s="17">
        <f>DO14*VLOOKUP('Données projet'!$B$14,Paramètres!$A$1:$I$89,3,0)*VLOOKUP('Données projet'!$B$14,Paramètres!$A$1:$I$89,5,0)</f>
        <v>5.9209890040103588</v>
      </c>
      <c r="DQ14" s="13">
        <f t="shared" si="43"/>
        <v>2.2183988334035152</v>
      </c>
      <c r="DR14" s="20">
        <f t="shared" si="16"/>
        <v>14.17610048349583</v>
      </c>
      <c r="DS14" s="59">
        <f t="shared" si="17"/>
        <v>307.50943381682913</v>
      </c>
      <c r="DT14" s="59">
        <f ca="1">AVERAGE(OFFSET($DS$3,0,0,'Données projet'!$E$14+1,1))-AVERAGE(OFFSET($H$3,0,0,'Données projet'!$E$14+1,1))</f>
        <v>312.64506496298173</v>
      </c>
      <c r="DU14" s="59">
        <f t="shared" si="44"/>
        <v>259.97532509897508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2.1</v>
      </c>
      <c r="EJ14" s="12">
        <f>IF('Données projet'!$A$192&gt;35,EJ13+EI14-ER13,IF(A14&lt;'Données projet'!$A$192,$EG$205^A14,IF(A14='Données projet'!$A$192,'Données projet'!$B$192,EJ13+EI14-ER13)))</f>
        <v>7.8124474610620815</v>
      </c>
      <c r="EK14" s="17">
        <f>EJ14*VLOOKUP('Données projet'!$B$15,Paramètres!$A$1:$I$89,3,0)*VLOOKUP('Données projet'!$B$15,Paramètres!$A$1:$I$89,5,0)</f>
        <v>7.0687024627689707</v>
      </c>
      <c r="EL14" s="13">
        <f t="shared" si="45"/>
        <v>2.5943503554083325</v>
      </c>
      <c r="EM14" s="20">
        <f t="shared" si="19"/>
        <v>16.829816991658799</v>
      </c>
      <c r="EN14" s="59">
        <f t="shared" si="20"/>
        <v>310.1631503249921</v>
      </c>
      <c r="EO14" s="59">
        <f ca="1">AVERAGE(OFFSET($EN$3,0,0,'Données projet'!$E$15+1,1))-AVERAGE(OFFSET($H$3,0,0,'Données projet'!$E$15+1,1))</f>
        <v>269.64423257646359</v>
      </c>
      <c r="EP14" s="59">
        <f t="shared" si="46"/>
        <v>161.0819079811821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5.85</v>
      </c>
      <c r="FE14" s="12">
        <f>IF('Données projet'!$A$218&gt;35,FE13+FD14-FM13,IF(A14&lt;'Données projet'!$A$218,$FB$205^A14,IF(A14='Données projet'!$A$218,'Données projet'!$B$218,FE13+FD14-FM13)))</f>
        <v>13.724679892033022</v>
      </c>
      <c r="FF14" s="17">
        <f>FE14*VLOOKUP('Données projet'!$B$16,Paramètres!$A$1:$I$89,3,0)*VLOOKUP('Données projet'!$B$16,Paramètres!$A$1:$I$89,5,0)</f>
        <v>10.705250315785758</v>
      </c>
      <c r="FG14" s="13">
        <f t="shared" si="47"/>
        <v>3.7437239768171127</v>
      </c>
      <c r="FH14" s="20">
        <f t="shared" si="22"/>
        <v>25.165296892949996</v>
      </c>
      <c r="FI14" s="59">
        <f t="shared" si="23"/>
        <v>318.4986302262833</v>
      </c>
      <c r="FJ14" s="59">
        <f ca="1">AVERAGE(OFFSET($FI$3,0,0,'Données projet'!$E$16+1,1))-AVERAGE(OFFSET($H$3,0,0,'Données projet'!$E$16+1,1))</f>
        <v>283.77864672734273</v>
      </c>
      <c r="FK14" s="59">
        <f t="shared" si="48"/>
        <v>270.94620935643866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10.8</v>
      </c>
      <c r="FZ14" s="12">
        <f>IF('Données projet'!$A$244&gt;35,FZ13+FY14-GH13,IF(A14&lt;'Données projet'!$A$244,$FW$205^A14,IF(A14='Données projet'!$A$244,'Données projet'!$B$244,FZ13+FY14-GH13)))</f>
        <v>21.8</v>
      </c>
      <c r="GA14" s="17">
        <f>FZ14*VLOOKUP('Données projet'!$B$17,Paramètres!$A$1:$I$89,3,0)*VLOOKUP('Données projet'!$B$17,Paramètres!$A$1:$I$89,5,0)</f>
        <v>21.084960000000002</v>
      </c>
      <c r="GB14" s="13">
        <f t="shared" si="49"/>
        <v>6.8141927573321395</v>
      </c>
      <c r="GC14" s="20">
        <f t="shared" si="25"/>
        <v>48.591024385686815</v>
      </c>
      <c r="GD14" s="59">
        <f t="shared" si="26"/>
        <v>341.92435771902012</v>
      </c>
      <c r="GE14" s="59">
        <f ca="1">AVERAGE(OFFSET($GD$3,0,0,'Données projet'!$E$17+1,1))-AVERAGE(OFFSET($H$3,0,0,'Données projet'!$E$17+1,1))</f>
        <v>347.54503437087288</v>
      </c>
      <c r="GF14" s="59">
        <f t="shared" si="50"/>
        <v>340.05673244455954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3.0666666666666669</v>
      </c>
      <c r="N15" s="13">
        <f>IF('Données projet'!$A$36&gt;35,N14+M15-V14,IF(A15&lt;'Données projet'!$A$36,$K$205^A15,IF(A15='Données projet'!$A$36,'Données projet'!$B$36,N14+M15-V14)))</f>
        <v>21.389777418892084</v>
      </c>
      <c r="O15" s="13">
        <f>N15*VLOOKUP('Données projet'!$B$9,Paramètres!$A$1:$I$89,3,0)*VLOOKUP('Données projet'!$B$9,Paramètres!$A$1:$I$89,5,0)</f>
        <v>10.010415832041495</v>
      </c>
      <c r="P15" s="13">
        <f t="shared" si="33"/>
        <v>3.5281866854248354</v>
      </c>
      <c r="Q15" s="20">
        <f t="shared" si="2"/>
        <v>23.579732717920521</v>
      </c>
      <c r="R15" s="59">
        <f t="shared" si="0"/>
        <v>316.91306605125385</v>
      </c>
      <c r="S15" s="59">
        <f ca="1">AVERAGE(OFFSET($R$3,0,0,'Données projet'!$E$9+1,1))-AVERAGE(OFFSET($H$3,0,0,'Données projet'!$E$9+1,1))</f>
        <v>342.49944586217674</v>
      </c>
      <c r="T15" s="59">
        <f t="shared" si="34"/>
        <v>282.29766600872563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10.8</v>
      </c>
      <c r="AI15" s="13">
        <f>IF('Données projet'!$A$62&gt;35,AI14+AH15-AQ14,IF(A15&lt;'Données projet'!$A$62,$AF$205^A15,IF(A15='Données projet'!$A$62,'Données projet'!$B$62,AI14+AH15-AQ14)))</f>
        <v>58.561475644675681</v>
      </c>
      <c r="AJ15" s="13">
        <f>AI15*VLOOKUP('Données projet'!$B$10,Paramètres!$A$1:$I$89,3,0)*VLOOKUP('Données projet'!$B$10,Paramètres!$A$1:$I$89,5,0)</f>
        <v>32.735864885373708</v>
      </c>
      <c r="AK15" s="13">
        <f t="shared" si="35"/>
        <v>10.051412857100269</v>
      </c>
      <c r="AL15" s="20">
        <f t="shared" si="4"/>
        <v>74.521175401475503</v>
      </c>
      <c r="AM15" s="59">
        <f t="shared" si="5"/>
        <v>367.8545087348088</v>
      </c>
      <c r="AN15" s="59">
        <f ca="1">AVERAGE(OFFSET($AM$3,0,0,'Données projet'!$E$10+1,1))-AVERAGE(OFFSET($H$3,0,0,'Données projet'!$E$10+1,1))</f>
        <v>490.96084572840579</v>
      </c>
      <c r="AO15" s="59">
        <f t="shared" si="36"/>
        <v>597.91658789908263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0.6</v>
      </c>
      <c r="BD15" s="12">
        <f>IF('Données projet'!$A$88&gt;35,BD14+BC15-BL14,IF(A15&lt;'Données projet'!$A$88,$BA$205^A15,IF(A15='Données projet'!$A$88,'Données projet'!$B$88,BD14+BC15-BL14)))</f>
        <v>5.799546134795289</v>
      </c>
      <c r="BE15" s="13">
        <f>BD15*VLOOKUP('Données projet'!$B$11,Paramètres!$A$1:$I$89,3,0)*VLOOKUP('Données projet'!$B$11,Paramètres!$A$1:$I$89,5,0)</f>
        <v>4.6141189048431315</v>
      </c>
      <c r="BF15" s="13">
        <f t="shared" si="37"/>
        <v>1.7796758725150397</v>
      </c>
      <c r="BG15" s="20">
        <f t="shared" si="7"/>
        <v>11.135859237232149</v>
      </c>
      <c r="BH15" s="59">
        <f t="shared" si="8"/>
        <v>304.46919257056544</v>
      </c>
      <c r="BI15" s="59">
        <f ca="1">AVERAGE(OFFSET($BH$3,0,0,'Données projet'!$E$11+1,1))-AVERAGE(OFFSET($H$3,0,0,'Données projet'!$E$11+1,1))</f>
        <v>167.80254365106839</v>
      </c>
      <c r="BJ15" s="59">
        <f t="shared" si="38"/>
        <v>167.42302164950172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4.8</v>
      </c>
      <c r="BY15" s="12">
        <f>IF('Données projet'!$A$114&gt;35,BY14+BX15-CG14,IF(A15&lt;'Données projet'!$A$114,$BV$205^A15,IF(A15='Données projet'!$A$114,'Données projet'!$B$114,BY14+BX15-CG14)))</f>
        <v>15.465456359454105</v>
      </c>
      <c r="BZ15" s="13">
        <f>BY15*VLOOKUP('Données projet'!$B$12,Paramètres!$A$1:$I$89,3,0)*VLOOKUP('Données projet'!$B$12,Paramètres!$A$1:$I$89,5,0)</f>
        <v>7.6399354415703282</v>
      </c>
      <c r="CA15" s="13">
        <f t="shared" si="39"/>
        <v>2.7787540830175308</v>
      </c>
      <c r="CB15" s="20">
        <f t="shared" si="10"/>
        <v>18.14588425532385</v>
      </c>
      <c r="CC15" s="59">
        <f t="shared" si="11"/>
        <v>311.47921758865715</v>
      </c>
      <c r="CD15" s="59">
        <f ca="1">AVERAGE(OFFSET($CC$3,0,0,'Données projet'!$E$12+1,1))-AVERAGE(OFFSET($H$3,0,0,'Données projet'!$E$12+1,1))</f>
        <v>322.06606384496587</v>
      </c>
      <c r="CE15" s="59">
        <f t="shared" si="40"/>
        <v>267.71713177624713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>
        <f>VLOOKUP(A15,'Données projet'!$A$139:$I$159,2,0)</f>
        <v>103</v>
      </c>
      <c r="CR15" s="12">
        <f>VLOOKUP(A15,'Données projet'!$A$139:$I$159,9,0)</f>
        <v>8.5833333333333339</v>
      </c>
      <c r="CS15" s="12">
        <f t="array" ref="CS15">INDEX(CR:CR,MIN(IF(ISNUMBER(CR15:CR211),ROW(CR15:CR211),"")))</f>
        <v>8.5833333333333339</v>
      </c>
      <c r="CT15" s="12">
        <f>IF('Données projet'!$A$140&gt;35,CT14+CS15-DB14,IF(A15&lt;'Données projet'!$A$140,$CQ$205^A15,IF(A15='Données projet'!$A$140,'Données projet'!$B$140,CT14+CS15-DB14)))</f>
        <v>103</v>
      </c>
      <c r="CU15" s="17">
        <f>CT15*VLOOKUP('Données projet'!$B$13,Paramètres!$A$1:$I$89,3,0)*VLOOKUP('Données projet'!$B$13,Paramètres!$A$1:$I$89,5,0)</f>
        <v>64.272000000000006</v>
      </c>
      <c r="CV15" s="13">
        <f t="shared" si="41"/>
        <v>18.244003213368217</v>
      </c>
      <c r="CW15" s="20">
        <f t="shared" si="13"/>
        <v>143.71537226328297</v>
      </c>
      <c r="CX15" s="59">
        <f t="shared" si="14"/>
        <v>437.04870559661629</v>
      </c>
      <c r="CY15" s="59">
        <f ca="1">AVERAGE(OFFSET($CX$3,0,0,'Données projet'!$E$13+1,1))-AVERAGE(OFFSET($H$3,0,0,'Données projet'!$E$13+1,1))</f>
        <v>269.77739619445515</v>
      </c>
      <c r="CZ15" s="59">
        <f t="shared" si="42"/>
        <v>347.56964743629885</v>
      </c>
      <c r="DA15" s="15">
        <f>IF(ISNA(VLOOKUP(A15,'Données projet'!$A$139:$I$159,3,0)),0,VLOOKUP(A15,'Données projet'!$A$139:$I$159,3,0))</f>
        <v>1</v>
      </c>
      <c r="DB15" s="15">
        <f>IF(ISNA(VLOOKUP(A15,'Données projet'!$A$139:$I$159,4,0)),0,VLOOKUP(A15,'Données projet'!$A$139:$I$159,4,0))</f>
        <v>18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1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12.717233165817262</v>
      </c>
      <c r="DI15" s="22">
        <f t="shared" si="15"/>
        <v>12.717233165817262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4.8</v>
      </c>
      <c r="DO15" s="12">
        <f>IF('Données projet'!$A$166&gt;35,DO14+DN15-DW14,IF(A15&lt;'Données projet'!$A$166,$DL$205^A15,IF(A15='Données projet'!$A$166,'Données projet'!$B$166,DO14+DN15-DW14)))</f>
        <v>15.465456359454105</v>
      </c>
      <c r="DP15" s="17">
        <f>DO15*VLOOKUP('Données projet'!$B$14,Paramètres!$A$1:$I$89,3,0)*VLOOKUP('Données projet'!$B$14,Paramètres!$A$1:$I$89,5,0)</f>
        <v>7.4388845088974245</v>
      </c>
      <c r="DQ15" s="13">
        <f t="shared" si="43"/>
        <v>2.7140407948008654</v>
      </c>
      <c r="DR15" s="20">
        <f t="shared" si="16"/>
        <v>17.683011570607853</v>
      </c>
      <c r="DS15" s="59">
        <f t="shared" si="17"/>
        <v>311.01634490394116</v>
      </c>
      <c r="DT15" s="59">
        <f ca="1">AVERAGE(OFFSET($DS$3,0,0,'Données projet'!$E$14+1,1))-AVERAGE(OFFSET($H$3,0,0,'Données projet'!$E$14+1,1))</f>
        <v>312.64506496298173</v>
      </c>
      <c r="DU15" s="59">
        <f t="shared" si="44"/>
        <v>259.97532509897508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2.1</v>
      </c>
      <c r="EJ15" s="12">
        <f>IF('Données projet'!$A$192&gt;35,EJ14+EI15-ER14,IF(A15&lt;'Données projet'!$A$192,$EG$205^A15,IF(A15='Données projet'!$A$192,'Données projet'!$B$192,EJ14+EI15-ER14)))</f>
        <v>9.4178024044149407</v>
      </c>
      <c r="EK15" s="17">
        <f>EJ15*VLOOKUP('Données projet'!$B$15,Paramètres!$A$1:$I$89,3,0)*VLOOKUP('Données projet'!$B$15,Paramètres!$A$1:$I$89,5,0)</f>
        <v>8.521227615514638</v>
      </c>
      <c r="EL15" s="13">
        <f t="shared" si="45"/>
        <v>3.0601574970852128</v>
      </c>
      <c r="EM15" s="20">
        <f t="shared" si="19"/>
        <v>20.170912404444739</v>
      </c>
      <c r="EN15" s="59">
        <f t="shared" si="20"/>
        <v>313.50424573777804</v>
      </c>
      <c r="EO15" s="59">
        <f ca="1">AVERAGE(OFFSET($EN$3,0,0,'Données projet'!$E$15+1,1))-AVERAGE(OFFSET($H$3,0,0,'Données projet'!$E$15+1,1))</f>
        <v>269.64423257646359</v>
      </c>
      <c r="EP15" s="59">
        <f t="shared" si="46"/>
        <v>161.0819079811821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5.85</v>
      </c>
      <c r="FE15" s="12">
        <f>IF('Données projet'!$A$218&gt;35,FE14+FD15-FM14,IF(A15&lt;'Données projet'!$A$218,$FB$205^A15,IF(A15='Données projet'!$A$218,'Données projet'!$B$218,FE14+FD15-FM14)))</f>
        <v>17.414520346317467</v>
      </c>
      <c r="FF15" s="17">
        <f>FE15*VLOOKUP('Données projet'!$B$16,Paramètres!$A$1:$I$89,3,0)*VLOOKUP('Données projet'!$B$16,Paramètres!$A$1:$I$89,5,0)</f>
        <v>13.583325870127625</v>
      </c>
      <c r="FG15" s="13">
        <f t="shared" si="47"/>
        <v>4.6203648609004491</v>
      </c>
      <c r="FH15" s="20">
        <f t="shared" si="22"/>
        <v>31.704761356540562</v>
      </c>
      <c r="FI15" s="59">
        <f t="shared" si="23"/>
        <v>325.0380946898739</v>
      </c>
      <c r="FJ15" s="59">
        <f ca="1">AVERAGE(OFFSET($FI$3,0,0,'Données projet'!$E$16+1,1))-AVERAGE(OFFSET($H$3,0,0,'Données projet'!$E$16+1,1))</f>
        <v>283.77864672734273</v>
      </c>
      <c r="FK15" s="59">
        <f t="shared" si="48"/>
        <v>270.94620935643866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10.8</v>
      </c>
      <c r="FZ15" s="12">
        <f>IF('Données projet'!$A$244&gt;35,FZ14+FY15-GH14,IF(A15&lt;'Données projet'!$A$244,$FW$205^A15,IF(A15='Données projet'!$A$244,'Données projet'!$B$244,FZ14+FY15-GH14)))</f>
        <v>32.6</v>
      </c>
      <c r="GA15" s="17">
        <f>FZ15*VLOOKUP('Données projet'!$B$17,Paramètres!$A$1:$I$89,3,0)*VLOOKUP('Données projet'!$B$17,Paramètres!$A$1:$I$89,5,0)</f>
        <v>31.530720000000002</v>
      </c>
      <c r="GB15" s="13">
        <f t="shared" si="49"/>
        <v>9.7237397844340823</v>
      </c>
      <c r="GC15" s="20">
        <f t="shared" si="25"/>
        <v>71.851517457889358</v>
      </c>
      <c r="GD15" s="59">
        <f t="shared" si="26"/>
        <v>365.18485079122269</v>
      </c>
      <c r="GE15" s="59">
        <f ca="1">AVERAGE(OFFSET($GD$3,0,0,'Données projet'!$E$17+1,1))-AVERAGE(OFFSET($H$3,0,0,'Données projet'!$E$17+1,1))</f>
        <v>347.54503437087288</v>
      </c>
      <c r="GF15" s="59">
        <f t="shared" si="50"/>
        <v>340.05673244455954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3.0666666666666669</v>
      </c>
      <c r="N16" s="13">
        <f>IF('Données projet'!$A$36&gt;35,N15+M16-V15,IF(A16&lt;'Données projet'!$A$36,$K$205^A16,IF(A16='Données projet'!$A$36,'Données projet'!$B$36,N15+M16-V15)))</f>
        <v>27.609388473300726</v>
      </c>
      <c r="O16" s="13">
        <f>N16*VLOOKUP('Données projet'!$B$9,Paramètres!$A$1:$I$89,3,0)*VLOOKUP('Données projet'!$B$9,Paramètres!$A$1:$I$89,5,0)</f>
        <v>12.921193805504741</v>
      </c>
      <c r="P16" s="13">
        <f t="shared" si="33"/>
        <v>4.4207817839392547</v>
      </c>
      <c r="Q16" s="20">
        <f t="shared" si="2"/>
        <v>30.203940818281627</v>
      </c>
      <c r="R16" s="59">
        <f t="shared" si="0"/>
        <v>323.53727415161495</v>
      </c>
      <c r="S16" s="59">
        <f ca="1">AVERAGE(OFFSET($R$3,0,0,'Données projet'!$E$9+1,1))-AVERAGE(OFFSET($H$3,0,0,'Données projet'!$E$9+1,1))</f>
        <v>342.49944586217674</v>
      </c>
      <c r="T16" s="59">
        <f t="shared" si="34"/>
        <v>282.29766600872563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10.8</v>
      </c>
      <c r="AI16" s="13">
        <f>IF('Données projet'!$A$62&gt;35,AI15+AH16-AQ15,IF(A16&lt;'Données projet'!$A$62,$AF$205^A16,IF(A16='Données projet'!$A$62,'Données projet'!$B$62,AI15+AH16-AQ15)))</f>
        <v>82.20779746225638</v>
      </c>
      <c r="AJ16" s="13">
        <f>AI16*VLOOKUP('Données projet'!$B$10,Paramètres!$A$1:$I$89,3,0)*VLOOKUP('Données projet'!$B$10,Paramètres!$A$1:$I$89,5,0)</f>
        <v>45.954158781401318</v>
      </c>
      <c r="AK16" s="13">
        <f t="shared" si="35"/>
        <v>13.563828072113143</v>
      </c>
      <c r="AL16" s="20">
        <f t="shared" si="4"/>
        <v>103.66049376987102</v>
      </c>
      <c r="AM16" s="59">
        <f t="shared" si="5"/>
        <v>396.99382710320435</v>
      </c>
      <c r="AN16" s="59">
        <f ca="1">AVERAGE(OFFSET($AM$3,0,0,'Données projet'!$E$10+1,1))-AVERAGE(OFFSET($H$3,0,0,'Données projet'!$E$10+1,1))</f>
        <v>490.96084572840579</v>
      </c>
      <c r="AO16" s="59">
        <f t="shared" si="36"/>
        <v>597.91658789908263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0.6</v>
      </c>
      <c r="BD16" s="12">
        <f>IF('Données projet'!$A$88&gt;35,BD15+BC16-BL15,IF(A16&lt;'Données projet'!$A$88,$BA$205^A16,IF(A16='Données projet'!$A$88,'Données projet'!$B$88,BD15+BC16-BL15)))</f>
        <v>6.7144458364886441</v>
      </c>
      <c r="BE16" s="13">
        <f>BD16*VLOOKUP('Données projet'!$B$11,Paramètres!$A$1:$I$89,3,0)*VLOOKUP('Données projet'!$B$11,Paramètres!$A$1:$I$89,5,0)</f>
        <v>5.3420131075103656</v>
      </c>
      <c r="BF16" s="13">
        <f t="shared" si="37"/>
        <v>2.0255928626720379</v>
      </c>
      <c r="BG16" s="20">
        <f t="shared" si="7"/>
        <v>12.831913731401018</v>
      </c>
      <c r="BH16" s="59">
        <f t="shared" si="8"/>
        <v>306.16524706473433</v>
      </c>
      <c r="BI16" s="59">
        <f ca="1">AVERAGE(OFFSET($BH$3,0,0,'Données projet'!$E$11+1,1))-AVERAGE(OFFSET($H$3,0,0,'Données projet'!$E$11+1,1))</f>
        <v>167.80254365106839</v>
      </c>
      <c r="BJ16" s="59">
        <f t="shared" si="38"/>
        <v>167.42302164950172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4.8</v>
      </c>
      <c r="BY16" s="12">
        <f>IF('Données projet'!$A$114&gt;35,BY15+BX16-CG15,IF(A16&lt;'Données projet'!$A$114,$BV$205^A16,IF(A16='Données projet'!$A$114,'Données projet'!$B$114,BY15+BX16-CG15)))</f>
        <v>19.430156627119288</v>
      </c>
      <c r="BZ16" s="13">
        <f>BY16*VLOOKUP('Données projet'!$B$12,Paramètres!$A$1:$I$89,3,0)*VLOOKUP('Données projet'!$B$12,Paramètres!$A$1:$I$89,5,0)</f>
        <v>9.5984973737969295</v>
      </c>
      <c r="CA16" s="13">
        <f t="shared" si="39"/>
        <v>3.3995924567173006</v>
      </c>
      <c r="CB16" s="20">
        <f t="shared" si="10"/>
        <v>22.638339788145615</v>
      </c>
      <c r="CC16" s="59">
        <f t="shared" si="11"/>
        <v>315.97167312147894</v>
      </c>
      <c r="CD16" s="59">
        <f ca="1">AVERAGE(OFFSET($CC$3,0,0,'Données projet'!$E$12+1,1))-AVERAGE(OFFSET($H$3,0,0,'Données projet'!$E$12+1,1))</f>
        <v>322.06606384496587</v>
      </c>
      <c r="CE16" s="59">
        <f t="shared" si="40"/>
        <v>267.71713177624713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23</v>
      </c>
      <c r="CT16" s="12">
        <f>IF('Données projet'!$A$140&gt;35,CT15+CS16-DB15,IF(A16&lt;'Données projet'!$A$140,$CQ$205^A16,IF(A16='Données projet'!$A$140,'Données projet'!$B$140,CT15+CS16-DB15)))</f>
        <v>108</v>
      </c>
      <c r="CU16" s="17">
        <f>CT16*VLOOKUP('Données projet'!$B$13,Paramètres!$A$1:$I$89,3,0)*VLOOKUP('Données projet'!$B$13,Paramètres!$A$1:$I$89,5,0)</f>
        <v>67.391999999999996</v>
      </c>
      <c r="CV16" s="13">
        <f t="shared" si="41"/>
        <v>19.02437502991798</v>
      </c>
      <c r="CW16" s="20">
        <f t="shared" si="13"/>
        <v>150.5085198437738</v>
      </c>
      <c r="CX16" s="59">
        <f t="shared" si="14"/>
        <v>443.84185317710711</v>
      </c>
      <c r="CY16" s="59">
        <f ca="1">AVERAGE(OFFSET($CX$3,0,0,'Données projet'!$E$13+1,1))-AVERAGE(OFFSET($H$3,0,0,'Données projet'!$E$13+1,1))</f>
        <v>269.77739619445515</v>
      </c>
      <c r="CZ16" s="59">
        <f t="shared" si="42"/>
        <v>347.56964743629885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8.9924418094798533</v>
      </c>
      <c r="DI16" s="22">
        <f t="shared" si="15"/>
        <v>8.9924418094798533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4.8</v>
      </c>
      <c r="DO16" s="12">
        <f>IF('Données projet'!$A$166&gt;35,DO15+DN16-DW15,IF(A16&lt;'Données projet'!$A$166,$DL$205^A16,IF(A16='Données projet'!$A$166,'Données projet'!$B$166,DO15+DN16-DW15)))</f>
        <v>19.430156627119288</v>
      </c>
      <c r="DP16" s="17">
        <f>DO16*VLOOKUP('Données projet'!$B$14,Paramètres!$A$1:$I$89,3,0)*VLOOKUP('Données projet'!$B$14,Paramètres!$A$1:$I$89,5,0)</f>
        <v>9.3459053376443784</v>
      </c>
      <c r="DQ16" s="13">
        <f t="shared" si="43"/>
        <v>3.3204207128716408</v>
      </c>
      <c r="DR16" s="20">
        <f t="shared" si="16"/>
        <v>22.060517871315398</v>
      </c>
      <c r="DS16" s="59">
        <f t="shared" si="17"/>
        <v>315.39385120464874</v>
      </c>
      <c r="DT16" s="59">
        <f ca="1">AVERAGE(OFFSET($DS$3,0,0,'Données projet'!$E$14+1,1))-AVERAGE(OFFSET($H$3,0,0,'Données projet'!$E$14+1,1))</f>
        <v>312.64506496298173</v>
      </c>
      <c r="DU16" s="59">
        <f t="shared" si="44"/>
        <v>259.97532509897508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2.1</v>
      </c>
      <c r="EJ16" s="12">
        <f>IF('Données projet'!$A$192&gt;35,EJ15+EI16-ER15,IF(A16&lt;'Données projet'!$A$192,$EG$205^A16,IF(A16='Données projet'!$A$192,'Données projet'!$B$192,EJ15+EI16-ER15)))</f>
        <v>11.35303662145153</v>
      </c>
      <c r="EK16" s="17">
        <f>EJ16*VLOOKUP('Données projet'!$B$15,Paramètres!$A$1:$I$89,3,0)*VLOOKUP('Données projet'!$B$15,Paramètres!$A$1:$I$89,5,0)</f>
        <v>10.272227535089344</v>
      </c>
      <c r="EL16" s="13">
        <f t="shared" si="45"/>
        <v>3.6095987912522753</v>
      </c>
      <c r="EM16" s="20">
        <f t="shared" si="19"/>
        <v>24.177514185044988</v>
      </c>
      <c r="EN16" s="59">
        <f t="shared" si="20"/>
        <v>317.51084751837828</v>
      </c>
      <c r="EO16" s="59">
        <f ca="1">AVERAGE(OFFSET($EN$3,0,0,'Données projet'!$E$15+1,1))-AVERAGE(OFFSET($H$3,0,0,'Données projet'!$E$15+1,1))</f>
        <v>269.64423257646359</v>
      </c>
      <c r="EP16" s="59">
        <f t="shared" si="46"/>
        <v>161.0819079811821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5.85</v>
      </c>
      <c r="FE16" s="12">
        <f>IF('Données projet'!$A$218&gt;35,FE15+FD16-FM15,IF(A16&lt;'Données projet'!$A$218,$FB$205^A16,IF(A16='Données projet'!$A$218,'Données projet'!$B$218,FE15+FD16-FM15)))</f>
        <v>22.096363724180279</v>
      </c>
      <c r="FF16" s="17">
        <f>FE16*VLOOKUP('Données projet'!$B$16,Paramètres!$A$1:$I$89,3,0)*VLOOKUP('Données projet'!$B$16,Paramètres!$A$1:$I$89,5,0)</f>
        <v>17.235163704860618</v>
      </c>
      <c r="FG16" s="13">
        <f t="shared" si="47"/>
        <v>5.7022824278817001</v>
      </c>
      <c r="FH16" s="20">
        <f t="shared" si="22"/>
        <v>39.949385347859533</v>
      </c>
      <c r="FI16" s="59">
        <f t="shared" si="23"/>
        <v>333.28271868119282</v>
      </c>
      <c r="FJ16" s="59">
        <f ca="1">AVERAGE(OFFSET($FI$3,0,0,'Données projet'!$E$16+1,1))-AVERAGE(OFFSET($H$3,0,0,'Données projet'!$E$16+1,1))</f>
        <v>283.77864672734273</v>
      </c>
      <c r="FK16" s="59">
        <f t="shared" si="48"/>
        <v>270.94620935643866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10.8</v>
      </c>
      <c r="FZ16" s="12">
        <f>IF('Données projet'!$A$244&gt;35,FZ15+FY16-GH15,IF(A16&lt;'Données projet'!$A$244,$FW$205^A16,IF(A16='Données projet'!$A$244,'Données projet'!$B$244,FZ15+FY16-GH15)))</f>
        <v>43.400000000000006</v>
      </c>
      <c r="GA16" s="17">
        <f>FZ16*VLOOKUP('Données projet'!$B$17,Paramètres!$A$1:$I$89,3,0)*VLOOKUP('Données projet'!$B$17,Paramètres!$A$1:$I$89,5,0)</f>
        <v>41.976480000000009</v>
      </c>
      <c r="GB16" s="13">
        <f t="shared" si="49"/>
        <v>12.521033624290981</v>
      </c>
      <c r="GC16" s="20">
        <f t="shared" si="25"/>
        <v>94.916502895640136</v>
      </c>
      <c r="GD16" s="59">
        <f t="shared" si="26"/>
        <v>388.24983622897344</v>
      </c>
      <c r="GE16" s="59">
        <f ca="1">AVERAGE(OFFSET($GD$3,0,0,'Données projet'!$E$17+1,1))-AVERAGE(OFFSET($H$3,0,0,'Données projet'!$E$17+1,1))</f>
        <v>347.54503437087288</v>
      </c>
      <c r="GF16" s="59">
        <f t="shared" si="50"/>
        <v>340.05673244455954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3.0666666666666669</v>
      </c>
      <c r="N17" s="13">
        <f>IF('Données projet'!$A$36&gt;35,N16+M17-V16,IF(A17&lt;'Données projet'!$A$36,$K$205^A17,IF(A17='Données projet'!$A$36,'Données projet'!$B$36,N16+M17-V16)))</f>
        <v>35.637506503287135</v>
      </c>
      <c r="O17" s="13">
        <f>N17*VLOOKUP('Données projet'!$B$9,Paramètres!$A$1:$I$89,3,0)*VLOOKUP('Données projet'!$B$9,Paramètres!$A$1:$I$89,5,0)</f>
        <v>16.67835304353838</v>
      </c>
      <c r="P17" s="13">
        <f t="shared" si="33"/>
        <v>5.5391943011246507</v>
      </c>
      <c r="Q17" s="20">
        <f t="shared" si="2"/>
        <v>38.695561625288114</v>
      </c>
      <c r="R17" s="59">
        <f t="shared" si="0"/>
        <v>332.02889495862144</v>
      </c>
      <c r="S17" s="59">
        <f ca="1">AVERAGE(OFFSET($R$3,0,0,'Données projet'!$E$9+1,1))-AVERAGE(OFFSET($H$3,0,0,'Données projet'!$E$9+1,1))</f>
        <v>342.49944586217674</v>
      </c>
      <c r="T17" s="59">
        <f t="shared" si="34"/>
        <v>282.29766600872563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10.8</v>
      </c>
      <c r="AI17" s="13">
        <f>IF('Données projet'!$A$62&gt;35,AI16+AH17-AQ16,IF(A17&lt;'Données projet'!$A$62,$AF$205^A17,IF(A17='Données projet'!$A$62,'Données projet'!$B$62,AI16+AH17-AQ16)))</f>
        <v>115.40218017388374</v>
      </c>
      <c r="AJ17" s="13">
        <f>AI17*VLOOKUP('Données projet'!$B$10,Paramètres!$A$1:$I$89,3,0)*VLOOKUP('Données projet'!$B$10,Paramètres!$A$1:$I$89,5,0)</f>
        <v>64.509818717201014</v>
      </c>
      <c r="AK17" s="13">
        <f t="shared" si="35"/>
        <v>18.303638959560171</v>
      </c>
      <c r="AL17" s="20">
        <f t="shared" si="4"/>
        <v>144.23343878702573</v>
      </c>
      <c r="AM17" s="59">
        <f t="shared" si="5"/>
        <v>437.56677212035902</v>
      </c>
      <c r="AN17" s="59">
        <f ca="1">AVERAGE(OFFSET($AM$3,0,0,'Données projet'!$E$10+1,1))-AVERAGE(OFFSET($H$3,0,0,'Données projet'!$E$10+1,1))</f>
        <v>490.96084572840579</v>
      </c>
      <c r="AO17" s="59">
        <f t="shared" si="36"/>
        <v>597.91658789908263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0.6</v>
      </c>
      <c r="BD17" s="12">
        <f>IF('Données projet'!$A$88&gt;35,BD16+BC17-BL16,IF(A17&lt;'Données projet'!$A$88,$BA$205^A17,IF(A17='Données projet'!$A$88,'Données projet'!$B$88,BD16+BC17-BL16)))</f>
        <v>7.7736743261084582</v>
      </c>
      <c r="BE17" s="13">
        <f>BD17*VLOOKUP('Données projet'!$B$11,Paramètres!$A$1:$I$89,3,0)*VLOOKUP('Données projet'!$B$11,Paramètres!$A$1:$I$89,5,0)</f>
        <v>6.1847352938518894</v>
      </c>
      <c r="BF17" s="13">
        <f t="shared" si="37"/>
        <v>2.3054908529548683</v>
      </c>
      <c r="BG17" s="20">
        <f t="shared" si="7"/>
        <v>14.787143872355102</v>
      </c>
      <c r="BH17" s="59">
        <f t="shared" si="8"/>
        <v>308.12047720568842</v>
      </c>
      <c r="BI17" s="59">
        <f ca="1">AVERAGE(OFFSET($BH$3,0,0,'Données projet'!$E$11+1,1))-AVERAGE(OFFSET($H$3,0,0,'Données projet'!$E$11+1,1))</f>
        <v>167.80254365106839</v>
      </c>
      <c r="BJ17" s="59">
        <f t="shared" si="38"/>
        <v>167.42302164950172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4.8</v>
      </c>
      <c r="BY17" s="12">
        <f>IF('Données projet'!$A$114&gt;35,BY16+BX17-CG16,IF(A17&lt;'Données projet'!$A$114,$BV$205^A17,IF(A17='Données projet'!$A$114,'Données projet'!$B$114,BY16+BX17-CG16)))</f>
        <v>24.411241270846887</v>
      </c>
      <c r="BZ17" s="13">
        <f>BY17*VLOOKUP('Données projet'!$B$12,Paramètres!$A$1:$I$89,3,0)*VLOOKUP('Données projet'!$B$12,Paramètres!$A$1:$I$89,5,0)</f>
        <v>12.059153187798362</v>
      </c>
      <c r="CA17" s="13">
        <f t="shared" si="39"/>
        <v>4.1591405811696838</v>
      </c>
      <c r="CB17" s="20">
        <f t="shared" si="10"/>
        <v>28.246861647619344</v>
      </c>
      <c r="CC17" s="59">
        <f t="shared" si="11"/>
        <v>321.58019498095268</v>
      </c>
      <c r="CD17" s="59">
        <f ca="1">AVERAGE(OFFSET($CC$3,0,0,'Données projet'!$E$12+1,1))-AVERAGE(OFFSET($H$3,0,0,'Données projet'!$E$12+1,1))</f>
        <v>322.06606384496587</v>
      </c>
      <c r="CE17" s="59">
        <f t="shared" si="40"/>
        <v>267.71713177624713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23</v>
      </c>
      <c r="CT17" s="12">
        <f>IF('Données projet'!$A$140&gt;35,CT16+CS17-DB16,IF(A17&lt;'Données projet'!$A$140,$CQ$205^A17,IF(A17='Données projet'!$A$140,'Données projet'!$B$140,CT16+CS17-DB16)))</f>
        <v>131</v>
      </c>
      <c r="CU17" s="17">
        <f>CT17*VLOOKUP('Données projet'!$B$13,Paramètres!$A$1:$I$89,3,0)*VLOOKUP('Données projet'!$B$13,Paramètres!$A$1:$I$89,5,0)</f>
        <v>81.744</v>
      </c>
      <c r="CV17" s="13">
        <f t="shared" si="41"/>
        <v>22.563064513367394</v>
      </c>
      <c r="CW17" s="20">
        <f t="shared" si="13"/>
        <v>181.66813736078151</v>
      </c>
      <c r="CX17" s="59">
        <f t="shared" si="14"/>
        <v>475.0014706941148</v>
      </c>
      <c r="CY17" s="59">
        <f ca="1">AVERAGE(OFFSET($CX$3,0,0,'Données projet'!$E$13+1,1))-AVERAGE(OFFSET($H$3,0,0,'Données projet'!$E$13+1,1))</f>
        <v>269.77739619445515</v>
      </c>
      <c r="CZ17" s="59">
        <f t="shared" si="42"/>
        <v>347.56964743629885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6.358616582908633</v>
      </c>
      <c r="DI17" s="22">
        <f t="shared" si="15"/>
        <v>6.358616582908633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4.8</v>
      </c>
      <c r="DO17" s="12">
        <f>IF('Données projet'!$A$166&gt;35,DO16+DN17-DW16,IF(A17&lt;'Données projet'!$A$166,$DL$205^A17,IF(A17='Données projet'!$A$166,'Données projet'!$B$166,DO16+DN17-DW16)))</f>
        <v>24.411241270846887</v>
      </c>
      <c r="DP17" s="17">
        <f>DO17*VLOOKUP('Données projet'!$B$14,Paramètres!$A$1:$I$89,3,0)*VLOOKUP('Données projet'!$B$14,Paramètres!$A$1:$I$89,5,0)</f>
        <v>11.741807051277354</v>
      </c>
      <c r="DQ17" s="13">
        <f t="shared" si="43"/>
        <v>4.0622800259993692</v>
      </c>
      <c r="DR17" s="20">
        <f t="shared" si="16"/>
        <v>27.525451659590289</v>
      </c>
      <c r="DS17" s="59">
        <f t="shared" si="17"/>
        <v>320.85878499292357</v>
      </c>
      <c r="DT17" s="59">
        <f ca="1">AVERAGE(OFFSET($DS$3,0,0,'Données projet'!$E$14+1,1))-AVERAGE(OFFSET($H$3,0,0,'Données projet'!$E$14+1,1))</f>
        <v>312.64506496298173</v>
      </c>
      <c r="DU17" s="59">
        <f t="shared" si="44"/>
        <v>259.97532509897508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2.1</v>
      </c>
      <c r="EJ17" s="12">
        <f>IF('Données projet'!$A$192&gt;35,EJ16+EI17-ER16,IF(A17&lt;'Données projet'!$A$192,$EG$205^A17,IF(A17='Données projet'!$A$192,'Données projet'!$B$192,EJ16+EI17-ER16)))</f>
        <v>13.685935953338433</v>
      </c>
      <c r="EK17" s="17">
        <f>EJ17*VLOOKUP('Données projet'!$B$15,Paramètres!$A$1:$I$89,3,0)*VLOOKUP('Données projet'!$B$15,Paramètres!$A$1:$I$89,5,0)</f>
        <v>12.383034850580612</v>
      </c>
      <c r="EL17" s="13">
        <f t="shared" si="45"/>
        <v>4.2576904771143838</v>
      </c>
      <c r="EM17" s="20">
        <f t="shared" si="19"/>
        <v>28.982596612402116</v>
      </c>
      <c r="EN17" s="59">
        <f t="shared" si="20"/>
        <v>322.31592994573543</v>
      </c>
      <c r="EO17" s="59">
        <f ca="1">AVERAGE(OFFSET($EN$3,0,0,'Données projet'!$E$15+1,1))-AVERAGE(OFFSET($H$3,0,0,'Données projet'!$E$15+1,1))</f>
        <v>269.64423257646359</v>
      </c>
      <c r="EP17" s="59">
        <f t="shared" si="46"/>
        <v>161.0819079811821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5.85</v>
      </c>
      <c r="FE17" s="12">
        <f>IF('Données projet'!$A$218&gt;35,FE16+FD17-FM16,IF(A17&lt;'Données projet'!$A$218,$FB$205^A17,IF(A17='Données projet'!$A$218,'Données projet'!$B$218,FE16+FD17-FM16)))</f>
        <v>28.036907139651255</v>
      </c>
      <c r="FF17" s="17">
        <f>FE17*VLOOKUP('Données projet'!$B$16,Paramètres!$A$1:$I$89,3,0)*VLOOKUP('Données projet'!$B$16,Paramètres!$A$1:$I$89,5,0)</f>
        <v>21.868787568927981</v>
      </c>
      <c r="FG17" s="13">
        <f t="shared" si="47"/>
        <v>7.0375448403422114</v>
      </c>
      <c r="FH17" s="20">
        <f t="shared" si="22"/>
        <v>50.34519561281224</v>
      </c>
      <c r="FI17" s="59">
        <f t="shared" si="23"/>
        <v>343.67852894614555</v>
      </c>
      <c r="FJ17" s="59">
        <f ca="1">AVERAGE(OFFSET($FI$3,0,0,'Données projet'!$E$16+1,1))-AVERAGE(OFFSET($H$3,0,0,'Données projet'!$E$16+1,1))</f>
        <v>283.77864672734273</v>
      </c>
      <c r="FK17" s="59">
        <f t="shared" si="48"/>
        <v>270.94620935643866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10.8</v>
      </c>
      <c r="FZ17" s="12">
        <f>IF('Données projet'!$A$244&gt;35,FZ16+FY17-GH16,IF(A17&lt;'Données projet'!$A$244,$FW$205^A17,IF(A17='Données projet'!$A$244,'Données projet'!$B$244,FZ16+FY17-GH16)))</f>
        <v>54.2</v>
      </c>
      <c r="GA17" s="17">
        <f>FZ17*VLOOKUP('Données projet'!$B$17,Paramètres!$A$1:$I$89,3,0)*VLOOKUP('Données projet'!$B$17,Paramètres!$A$1:$I$89,5,0)</f>
        <v>52.422240000000002</v>
      </c>
      <c r="GB17" s="13">
        <f t="shared" si="49"/>
        <v>15.23758096998198</v>
      </c>
      <c r="GC17" s="20">
        <f t="shared" si="25"/>
        <v>117.84085485605193</v>
      </c>
      <c r="GD17" s="59">
        <f t="shared" si="26"/>
        <v>411.17418818938523</v>
      </c>
      <c r="GE17" s="59">
        <f ca="1">AVERAGE(OFFSET($GD$3,0,0,'Données projet'!$E$17+1,1))-AVERAGE(OFFSET($H$3,0,0,'Données projet'!$E$17+1,1))</f>
        <v>347.54503437087288</v>
      </c>
      <c r="GF17" s="59">
        <f t="shared" si="50"/>
        <v>340.05673244455954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46</v>
      </c>
      <c r="L18" s="12">
        <f>VLOOKUP(A18,'Données projet'!$A$35:$I$55,9,0)</f>
        <v>3.0666666666666669</v>
      </c>
      <c r="M18" s="12">
        <f t="array" ref="M18">INDEX(L:L,MIN(IF(ISNUMBER(L18:L214),ROW(L18:L214),"")))</f>
        <v>3.0666666666666669</v>
      </c>
      <c r="N18" s="13">
        <f>IF('Données projet'!$A$36&gt;35,N17+M18-V17,IF(A18&lt;'Données projet'!$A$36,$K$205^A18,IF(A18='Données projet'!$A$36,'Données projet'!$B$36,N17+M18-V17)))</f>
        <v>46</v>
      </c>
      <c r="O18" s="13">
        <f>N18*VLOOKUP('Données projet'!$B$9,Paramètres!$A$1:$I$89,3,0)*VLOOKUP('Données projet'!$B$9,Paramètres!$A$1:$I$89,5,0)</f>
        <v>21.527999999999999</v>
      </c>
      <c r="P18" s="13">
        <f t="shared" si="33"/>
        <v>6.9405537312613585</v>
      </c>
      <c r="Q18" s="20">
        <f t="shared" si="2"/>
        <v>49.582731081946861</v>
      </c>
      <c r="R18" s="59">
        <f t="shared" si="0"/>
        <v>342.91606441528018</v>
      </c>
      <c r="S18" s="59">
        <f ca="1">AVERAGE(OFFSET($R$3,0,0,'Données projet'!$E$9+1,1))-AVERAGE(OFFSET($H$3,0,0,'Données projet'!$E$9+1,1))</f>
        <v>342.49944586217674</v>
      </c>
      <c r="T18" s="59">
        <f t="shared" si="34"/>
        <v>282.29766600872563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162</v>
      </c>
      <c r="AG18" s="12">
        <f>VLOOKUP(A18,'Données projet'!$A$61:$I$81,9,0)</f>
        <v>10.8</v>
      </c>
      <c r="AH18" s="12">
        <f t="array" ref="AH18">INDEX(AG:AG,MIN(IF(ISNUMBER(AG18:AG214),ROW(AG18:AG214),"")))</f>
        <v>10.8</v>
      </c>
      <c r="AI18" s="13">
        <f>IF('Données projet'!$A$62&gt;35,AI17+AH18-AQ17,IF(A18&lt;'Données projet'!$A$62,$AF$205^A18,IF(A18='Données projet'!$A$62,'Données projet'!$B$62,AI17+AH18-AQ17)))</f>
        <v>162</v>
      </c>
      <c r="AJ18" s="13">
        <f>AI18*VLOOKUP('Données projet'!$B$10,Paramètres!$A$1:$I$89,3,0)*VLOOKUP('Données projet'!$B$10,Paramètres!$A$1:$I$89,5,0)</f>
        <v>90.557999999999993</v>
      </c>
      <c r="AK18" s="13">
        <f t="shared" si="35"/>
        <v>24.699752708509138</v>
      </c>
      <c r="AL18" s="20">
        <f t="shared" si="4"/>
        <v>200.74058596732007</v>
      </c>
      <c r="AM18" s="59">
        <f t="shared" si="5"/>
        <v>494.07391930065342</v>
      </c>
      <c r="AN18" s="59">
        <f ca="1">AVERAGE(OFFSET($AM$3,0,0,'Données projet'!$E$10+1,1))-AVERAGE(OFFSET($H$3,0,0,'Données projet'!$E$10+1,1))</f>
        <v>490.96084572840579</v>
      </c>
      <c r="AO18" s="59">
        <f t="shared" si="36"/>
        <v>597.91658789908263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9</v>
      </c>
      <c r="BB18" s="12">
        <f>VLOOKUP(A18,'Données projet'!$A$87:$I$107,9,0)</f>
        <v>0.6</v>
      </c>
      <c r="BC18" s="12">
        <f t="array" ref="BC18">INDEX(BB:BB,MIN(IF(ISNUMBER(BB18:BB214),ROW(BB18:BB214),"")))</f>
        <v>0.6</v>
      </c>
      <c r="BD18" s="12">
        <f>IF('Données projet'!$A$88&gt;35,BD17+BC18-BL17,IF(A18&lt;'Données projet'!$A$88,$BA$205^A18,IF(A18='Données projet'!$A$88,'Données projet'!$B$88,BD17+BC18-BL17)))</f>
        <v>9</v>
      </c>
      <c r="BE18" s="13">
        <f>BD18*VLOOKUP('Données projet'!$B$11,Paramètres!$A$1:$I$89,3,0)*VLOOKUP('Données projet'!$B$11,Paramètres!$A$1:$I$89,5,0)</f>
        <v>7.1604000000000001</v>
      </c>
      <c r="BF18" s="13">
        <f t="shared" si="37"/>
        <v>2.624065364274125</v>
      </c>
      <c r="BG18" s="20">
        <f t="shared" si="7"/>
        <v>17.041277176110768</v>
      </c>
      <c r="BH18" s="59">
        <f t="shared" si="8"/>
        <v>310.3746105094441</v>
      </c>
      <c r="BI18" s="59">
        <f ca="1">AVERAGE(OFFSET($BH$3,0,0,'Données projet'!$E$11+1,1))-AVERAGE(OFFSET($H$3,0,0,'Données projet'!$E$11+1,1))</f>
        <v>167.80254365106839</v>
      </c>
      <c r="BJ18" s="59">
        <f t="shared" si="38"/>
        <v>167.42302164950172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4.8</v>
      </c>
      <c r="BY18" s="12">
        <f>IF('Données projet'!$A$114&gt;35,BY17+BX18-CG17,IF(A18&lt;'Données projet'!$A$114,$BV$205^A18,IF(A18='Données projet'!$A$114,'Données projet'!$B$114,BY17+BX18-CG17)))</f>
        <v>30.669269003821089</v>
      </c>
      <c r="BZ18" s="13">
        <f>BY18*VLOOKUP('Données projet'!$B$12,Paramètres!$A$1:$I$89,3,0)*VLOOKUP('Données projet'!$B$12,Paramètres!$A$1:$I$89,5,0)</f>
        <v>15.150618887887619</v>
      </c>
      <c r="CA18" s="13">
        <f t="shared" si="39"/>
        <v>5.088389444961928</v>
      </c>
      <c r="CB18" s="20">
        <f t="shared" si="10"/>
        <v>35.249606179712963</v>
      </c>
      <c r="CC18" s="59">
        <f t="shared" si="11"/>
        <v>328.58293951304626</v>
      </c>
      <c r="CD18" s="59">
        <f ca="1">AVERAGE(OFFSET($CC$3,0,0,'Données projet'!$E$12+1,1))-AVERAGE(OFFSET($H$3,0,0,'Données projet'!$E$12+1,1))</f>
        <v>322.06606384496587</v>
      </c>
      <c r="CE18" s="59">
        <f t="shared" si="40"/>
        <v>267.71713177624713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23</v>
      </c>
      <c r="CT18" s="12">
        <f>IF('Données projet'!$A$140&gt;35,CT17+CS18-DB17,IF(A18&lt;'Données projet'!$A$140,$CQ$205^A18,IF(A18='Données projet'!$A$140,'Données projet'!$B$140,CT17+CS18-DB17)))</f>
        <v>154</v>
      </c>
      <c r="CU18" s="17">
        <f>CT18*VLOOKUP('Données projet'!$B$13,Paramètres!$A$1:$I$89,3,0)*VLOOKUP('Données projet'!$B$13,Paramètres!$A$1:$I$89,5,0)</f>
        <v>96.096000000000004</v>
      </c>
      <c r="CV18" s="13">
        <f t="shared" si="41"/>
        <v>26.029778784173352</v>
      </c>
      <c r="CW18" s="20">
        <f t="shared" si="13"/>
        <v>212.70239804910193</v>
      </c>
      <c r="CX18" s="59">
        <f t="shared" si="14"/>
        <v>506.03573138243524</v>
      </c>
      <c r="CY18" s="59">
        <f ca="1">AVERAGE(OFFSET($CX$3,0,0,'Données projet'!$E$13+1,1))-AVERAGE(OFFSET($H$3,0,0,'Données projet'!$E$13+1,1))</f>
        <v>269.77739619445515</v>
      </c>
      <c r="CZ18" s="59">
        <f t="shared" si="42"/>
        <v>347.56964743629885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4.4962209047399275</v>
      </c>
      <c r="DI18" s="22">
        <f t="shared" si="15"/>
        <v>4.4962209047399275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4.8</v>
      </c>
      <c r="DO18" s="12">
        <f>IF('Données projet'!$A$166&gt;35,DO17+DN18-DW17,IF(A18&lt;'Données projet'!$A$166,$DL$205^A18,IF(A18='Données projet'!$A$166,'Données projet'!$B$166,DO17+DN18-DW17)))</f>
        <v>30.669269003821089</v>
      </c>
      <c r="DP18" s="17">
        <f>DO18*VLOOKUP('Données projet'!$B$14,Paramètres!$A$1:$I$89,3,0)*VLOOKUP('Données projet'!$B$14,Paramètres!$A$1:$I$89,5,0)</f>
        <v>14.751918390837945</v>
      </c>
      <c r="DQ18" s="13">
        <f t="shared" si="43"/>
        <v>4.9698879860804466</v>
      </c>
      <c r="DR18" s="20">
        <f t="shared" si="16"/>
        <v>34.348812773132863</v>
      </c>
      <c r="DS18" s="59">
        <f t="shared" si="17"/>
        <v>327.68214610646618</v>
      </c>
      <c r="DT18" s="59">
        <f ca="1">AVERAGE(OFFSET($DS$3,0,0,'Données projet'!$E$14+1,1))-AVERAGE(OFFSET($H$3,0,0,'Données projet'!$E$14+1,1))</f>
        <v>312.64506496298173</v>
      </c>
      <c r="DU18" s="59">
        <f t="shared" si="44"/>
        <v>259.97532509897508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2.1</v>
      </c>
      <c r="EJ18" s="12">
        <f>IF('Données projet'!$A$192&gt;35,EJ17+EI18-ER17,IF(A18&lt;'Données projet'!$A$192,$EG$205^A18,IF(A18='Données projet'!$A$192,'Données projet'!$B$192,EJ17+EI18-ER17)))</f>
        <v>16.498215337821566</v>
      </c>
      <c r="EK18" s="17">
        <f>EJ18*VLOOKUP('Données projet'!$B$15,Paramètres!$A$1:$I$89,3,0)*VLOOKUP('Données projet'!$B$15,Paramètres!$A$1:$I$89,5,0)</f>
        <v>14.927585237660953</v>
      </c>
      <c r="EL18" s="13">
        <f t="shared" si="45"/>
        <v>5.0221449106318534</v>
      </c>
      <c r="EM18" s="20">
        <f t="shared" si="19"/>
        <v>34.745780008276633</v>
      </c>
      <c r="EN18" s="59">
        <f t="shared" si="20"/>
        <v>328.07911334160997</v>
      </c>
      <c r="EO18" s="59">
        <f ca="1">AVERAGE(OFFSET($EN$3,0,0,'Données projet'!$E$15+1,1))-AVERAGE(OFFSET($H$3,0,0,'Données projet'!$E$15+1,1))</f>
        <v>269.64423257646359</v>
      </c>
      <c r="EP18" s="59">
        <f t="shared" si="46"/>
        <v>161.0819079811821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5.85</v>
      </c>
      <c r="FE18" s="12">
        <f>IF('Données projet'!$A$218&gt;35,FE17+FD18-FM17,IF(A18&lt;'Données projet'!$A$218,$FB$205^A18,IF(A18='Données projet'!$A$218,'Données projet'!$B$218,FE17+FD18-FM17)))</f>
        <v>35.574548453745123</v>
      </c>
      <c r="FF18" s="17">
        <f>FE18*VLOOKUP('Données projet'!$B$16,Paramètres!$A$1:$I$89,3,0)*VLOOKUP('Données projet'!$B$16,Paramètres!$A$1:$I$89,5,0)</f>
        <v>27.748147793921198</v>
      </c>
      <c r="FG18" s="13">
        <f t="shared" si="47"/>
        <v>8.6854760363431716</v>
      </c>
      <c r="FH18" s="20">
        <f t="shared" si="22"/>
        <v>63.455228171043764</v>
      </c>
      <c r="FI18" s="59">
        <f t="shared" si="23"/>
        <v>356.78856150437707</v>
      </c>
      <c r="FJ18" s="59">
        <f ca="1">AVERAGE(OFFSET($FI$3,0,0,'Données projet'!$E$16+1,1))-AVERAGE(OFFSET($H$3,0,0,'Données projet'!$E$16+1,1))</f>
        <v>283.77864672734273</v>
      </c>
      <c r="FK18" s="59">
        <f t="shared" si="48"/>
        <v>270.94620935643866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>
        <f>VLOOKUP(A18,'Données projet'!$A$243:$I$263,2,0)</f>
        <v>65</v>
      </c>
      <c r="FX18" s="12">
        <f>VLOOKUP(A18,'Données projet'!$A$243:$I$263,9,0)</f>
        <v>10.8</v>
      </c>
      <c r="FY18" s="12">
        <f t="array" ref="FY18">INDEX(FX:FX,MIN(IF(ISNUMBER(FX18:FX214),ROW(FX18:FX214),"")))</f>
        <v>10.8</v>
      </c>
      <c r="FZ18" s="12">
        <f>IF('Données projet'!$A$244&gt;35,FZ17+FY18-GH17,IF(A18&lt;'Données projet'!$A$244,$FW$205^A18,IF(A18='Données projet'!$A$244,'Données projet'!$B$244,FZ17+FY18-GH17)))</f>
        <v>65</v>
      </c>
      <c r="GA18" s="17">
        <f>FZ18*VLOOKUP('Données projet'!$B$17,Paramètres!$A$1:$I$89,3,0)*VLOOKUP('Données projet'!$B$17,Paramètres!$A$1:$I$89,5,0)</f>
        <v>62.867999999999995</v>
      </c>
      <c r="GB18" s="13">
        <f t="shared" si="49"/>
        <v>17.891407141629873</v>
      </c>
      <c r="GC18" s="20">
        <f t="shared" si="25"/>
        <v>140.65596743833868</v>
      </c>
      <c r="GD18" s="59">
        <f t="shared" si="26"/>
        <v>433.98930077167199</v>
      </c>
      <c r="GE18" s="59">
        <f ca="1">AVERAGE(OFFSET($GD$3,0,0,'Données projet'!$E$17+1,1))-AVERAGE(OFFSET($H$3,0,0,'Données projet'!$E$17+1,1))</f>
        <v>347.54503437087288</v>
      </c>
      <c r="GF18" s="59">
        <f t="shared" si="50"/>
        <v>340.05673244455954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32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17.600000000000001</v>
      </c>
      <c r="N19" s="13">
        <f>IF('Données projet'!$A$36&gt;35,N18+M19-V18,IF(A19&lt;'Données projet'!$A$36,$K$205^A19,IF(A19='Données projet'!$A$36,'Données projet'!$B$36,N18+M19-V18)))</f>
        <v>63.6</v>
      </c>
      <c r="O19" s="13">
        <f>N19*VLOOKUP('Données projet'!$B$9,Paramètres!$A$1:$I$89,3,0)*VLOOKUP('Données projet'!$B$9,Paramètres!$A$1:$I$89,5,0)</f>
        <v>29.764800000000001</v>
      </c>
      <c r="P19" s="13">
        <f t="shared" si="33"/>
        <v>9.2409369697206341</v>
      </c>
      <c r="Q19" s="20">
        <f t="shared" si="2"/>
        <v>67.934991888930114</v>
      </c>
      <c r="R19" s="59">
        <f t="shared" si="0"/>
        <v>361.26832522226346</v>
      </c>
      <c r="S19" s="59">
        <f ca="1">AVERAGE(OFFSET($R$3,0,0,'Données projet'!$E$9+1,1))-AVERAGE(OFFSET($H$3,0,0,'Données projet'!$E$9+1,1))</f>
        <v>342.49944586217674</v>
      </c>
      <c r="T19" s="59">
        <f t="shared" si="34"/>
        <v>282.29766600872563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28.2</v>
      </c>
      <c r="AI19" s="13">
        <f>IF('Données projet'!$A$62&gt;35,AI18+AH19-AQ18,IF(A19&lt;'Données projet'!$A$62,$AF$205^A19,IF(A19='Données projet'!$A$62,'Données projet'!$B$62,AI18+AH19-AQ18)))</f>
        <v>190.2</v>
      </c>
      <c r="AJ19" s="13">
        <f>AI19*VLOOKUP('Données projet'!$B$10,Paramètres!$A$1:$I$89,3,0)*VLOOKUP('Données projet'!$B$10,Paramètres!$A$1:$I$89,5,0)</f>
        <v>106.32179999999998</v>
      </c>
      <c r="AK19" s="13">
        <f t="shared" si="35"/>
        <v>28.462664081653866</v>
      </c>
      <c r="AL19" s="20">
        <f t="shared" si="4"/>
        <v>234.7496082755471</v>
      </c>
      <c r="AM19" s="59">
        <f t="shared" si="5"/>
        <v>528.08294160888045</v>
      </c>
      <c r="AN19" s="59">
        <f ca="1">AVERAGE(OFFSET($AM$3,0,0,'Données projet'!$E$10+1,1))-AVERAGE(OFFSET($H$3,0,0,'Données projet'!$E$10+1,1))</f>
        <v>490.96084572840579</v>
      </c>
      <c r="AO19" s="59">
        <f t="shared" si="36"/>
        <v>597.91658789908263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18.600000000000001</v>
      </c>
      <c r="BE19" s="13">
        <f>BD19*VLOOKUP('Données projet'!$B$11,Paramètres!$A$1:$I$89,3,0)*VLOOKUP('Données projet'!$B$11,Paramètres!$A$1:$I$89,5,0)</f>
        <v>14.798160000000001</v>
      </c>
      <c r="BF19" s="13">
        <f t="shared" si="37"/>
        <v>4.9836508114679425</v>
      </c>
      <c r="BG19" s="20">
        <f t="shared" si="7"/>
        <v>34.453320496639996</v>
      </c>
      <c r="BH19" s="59">
        <f t="shared" si="8"/>
        <v>327.78665382997332</v>
      </c>
      <c r="BI19" s="59">
        <f ca="1">AVERAGE(OFFSET($BH$3,0,0,'Données projet'!$E$11+1,1))-AVERAGE(OFFSET($H$3,0,0,'Données projet'!$E$11+1,1))</f>
        <v>167.80254365106839</v>
      </c>
      <c r="BJ19" s="59">
        <f t="shared" si="38"/>
        <v>167.42302164950172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4.8</v>
      </c>
      <c r="BY19" s="12">
        <f>IF('Données projet'!$A$114&gt;35,BY18+BX19-CG18,IF(A19&lt;'Données projet'!$A$114,$BV$205^A19,IF(A19='Données projet'!$A$114,'Données projet'!$B$114,BY18+BX19-CG18)))</f>
        <v>38.531594964491077</v>
      </c>
      <c r="BZ19" s="13">
        <f>BY19*VLOOKUP('Données projet'!$B$12,Paramètres!$A$1:$I$89,3,0)*VLOOKUP('Données projet'!$B$12,Paramètres!$A$1:$I$89,5,0)</f>
        <v>19.034607912458593</v>
      </c>
      <c r="CA19" s="13">
        <f t="shared" si="39"/>
        <v>6.2252541452490116</v>
      </c>
      <c r="CB19" s="20">
        <f t="shared" si="10"/>
        <v>43.99425975050741</v>
      </c>
      <c r="CC19" s="59">
        <f t="shared" si="11"/>
        <v>337.32759308384072</v>
      </c>
      <c r="CD19" s="59">
        <f ca="1">AVERAGE(OFFSET($CC$3,0,0,'Données projet'!$E$12+1,1))-AVERAGE(OFFSET($H$3,0,0,'Données projet'!$E$12+1,1))</f>
        <v>322.06606384496587</v>
      </c>
      <c r="CE19" s="59">
        <f t="shared" si="40"/>
        <v>267.71713177624713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23</v>
      </c>
      <c r="CT19" s="12">
        <f>IF('Données projet'!$A$140&gt;35,CT18+CS19-DB18,IF(A19&lt;'Données projet'!$A$140,$CQ$205^A19,IF(A19='Données projet'!$A$140,'Données projet'!$B$140,CT18+CS19-DB18)))</f>
        <v>177</v>
      </c>
      <c r="CU19" s="17">
        <f>CT19*VLOOKUP('Données projet'!$B$13,Paramètres!$A$1:$I$89,3,0)*VLOOKUP('Données projet'!$B$13,Paramètres!$A$1:$I$89,5,0)</f>
        <v>110.44799999999999</v>
      </c>
      <c r="CV19" s="13">
        <f t="shared" si="41"/>
        <v>29.436511885319565</v>
      </c>
      <c r="CW19" s="20">
        <f t="shared" si="13"/>
        <v>243.63219153359822</v>
      </c>
      <c r="CX19" s="59">
        <f t="shared" si="14"/>
        <v>536.96552486693156</v>
      </c>
      <c r="CY19" s="59">
        <f ca="1">AVERAGE(OFFSET($CX$3,0,0,'Données projet'!$E$13+1,1))-AVERAGE(OFFSET($H$3,0,0,'Données projet'!$E$13+1,1))</f>
        <v>269.77739619445515</v>
      </c>
      <c r="CZ19" s="59">
        <f t="shared" si="42"/>
        <v>347.56964743629885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3.1793082914543169</v>
      </c>
      <c r="DI19" s="22">
        <f t="shared" si="15"/>
        <v>3.1793082914543169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4.8</v>
      </c>
      <c r="DO19" s="12">
        <f>IF('Données projet'!$A$166&gt;35,DO18+DN19-DW18,IF(A19&lt;'Données projet'!$A$166,$DL$205^A19,IF(A19='Données projet'!$A$166,'Données projet'!$B$166,DO18+DN19-DW18)))</f>
        <v>38.531594964491077</v>
      </c>
      <c r="DP19" s="17">
        <f>DO19*VLOOKUP('Données projet'!$B$14,Paramètres!$A$1:$I$89,3,0)*VLOOKUP('Données projet'!$B$14,Paramètres!$A$1:$I$89,5,0)</f>
        <v>18.533697177920207</v>
      </c>
      <c r="DQ19" s="13">
        <f t="shared" si="43"/>
        <v>6.0802767007944762</v>
      </c>
      <c r="DR19" s="20">
        <f t="shared" si="16"/>
        <v>42.869337838761396</v>
      </c>
      <c r="DS19" s="59">
        <f t="shared" si="17"/>
        <v>336.20267117209471</v>
      </c>
      <c r="DT19" s="59">
        <f ca="1">AVERAGE(OFFSET($DS$3,0,0,'Données projet'!$E$14+1,1))-AVERAGE(OFFSET($H$3,0,0,'Données projet'!$E$14+1,1))</f>
        <v>312.64506496298173</v>
      </c>
      <c r="DU19" s="59">
        <f t="shared" si="44"/>
        <v>259.97532509897508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2.1</v>
      </c>
      <c r="EJ19" s="12">
        <f>IF('Données projet'!$A$192&gt;35,EJ18+EI19-ER18,IF(A19&lt;'Données projet'!$A$192,$EG$205^A19,IF(A19='Données projet'!$A$192,'Données projet'!$B$192,EJ18+EI19-ER18)))</f>
        <v>19.888381054913147</v>
      </c>
      <c r="EK19" s="17">
        <f>EJ19*VLOOKUP('Données projet'!$B$15,Paramètres!$A$1:$I$89,3,0)*VLOOKUP('Données projet'!$B$15,Paramètres!$A$1:$I$89,5,0)</f>
        <v>17.995007178485412</v>
      </c>
      <c r="EL19" s="13">
        <f t="shared" si="45"/>
        <v>5.9238546434872337</v>
      </c>
      <c r="EM19" s="20">
        <f t="shared" si="19"/>
        <v>41.658684339935689</v>
      </c>
      <c r="EN19" s="59">
        <f t="shared" si="20"/>
        <v>334.992017673269</v>
      </c>
      <c r="EO19" s="59">
        <f ca="1">AVERAGE(OFFSET($EN$3,0,0,'Données projet'!$E$15+1,1))-AVERAGE(OFFSET($H$3,0,0,'Données projet'!$E$15+1,1))</f>
        <v>269.64423257646359</v>
      </c>
      <c r="EP19" s="59">
        <f t="shared" si="46"/>
        <v>161.0819079811821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5.85</v>
      </c>
      <c r="FE19" s="12">
        <f>IF('Données projet'!$A$218&gt;35,FE18+FD19-FM18,IF(A19&lt;'Données projet'!$A$218,$FB$205^A19,IF(A19='Données projet'!$A$218,'Données projet'!$B$218,FE18+FD19-FM18)))</f>
        <v>45.138662812705725</v>
      </c>
      <c r="FF19" s="17">
        <f>FE19*VLOOKUP('Données projet'!$B$16,Paramètres!$A$1:$I$89,3,0)*VLOOKUP('Données projet'!$B$16,Paramètres!$A$1:$I$89,5,0)</f>
        <v>35.208156993910464</v>
      </c>
      <c r="FG19" s="13">
        <f t="shared" si="47"/>
        <v>10.71929141331386</v>
      </c>
      <c r="FH19" s="20">
        <f t="shared" si="22"/>
        <v>79.990305975915703</v>
      </c>
      <c r="FI19" s="59">
        <f t="shared" si="23"/>
        <v>373.32363930924902</v>
      </c>
      <c r="FJ19" s="59">
        <f ca="1">AVERAGE(OFFSET($FI$3,0,0,'Données projet'!$E$16+1,1))-AVERAGE(OFFSET($H$3,0,0,'Données projet'!$E$16+1,1))</f>
        <v>283.77864672734273</v>
      </c>
      <c r="FK19" s="59">
        <f t="shared" si="48"/>
        <v>270.94620935643866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13.8</v>
      </c>
      <c r="FZ19" s="12">
        <f>IF('Données projet'!$A$244&gt;35,FZ18+FY19-GH18,IF(A19&lt;'Données projet'!$A$244,$FW$205^A19,IF(A19='Données projet'!$A$244,'Données projet'!$B$244,FZ18+FY19-GH18)))</f>
        <v>46.8</v>
      </c>
      <c r="GA19" s="17">
        <f>FZ19*VLOOKUP('Données projet'!$B$17,Paramètres!$A$1:$I$89,3,0)*VLOOKUP('Données projet'!$B$17,Paramètres!$A$1:$I$89,5,0)</f>
        <v>45.264960000000002</v>
      </c>
      <c r="GB19" s="13">
        <f t="shared" si="49"/>
        <v>13.383924947719283</v>
      </c>
      <c r="GC19" s="20">
        <f t="shared" si="25"/>
        <v>102.14680795061109</v>
      </c>
      <c r="GD19" s="59">
        <f t="shared" si="26"/>
        <v>395.48014128394442</v>
      </c>
      <c r="GE19" s="59">
        <f ca="1">AVERAGE(OFFSET($GD$3,0,0,'Données projet'!$E$17+1,1))-AVERAGE(OFFSET($H$3,0,0,'Données projet'!$E$17+1,1))</f>
        <v>347.54503437087288</v>
      </c>
      <c r="GF19" s="59">
        <f t="shared" si="50"/>
        <v>340.05673244455954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17.600000000000001</v>
      </c>
      <c r="N20" s="13">
        <f>IF('Données projet'!$A$36&gt;35,N19+M20-V19,IF(A20&lt;'Données projet'!$A$36,$K$205^A20,IF(A20='Données projet'!$A$36,'Données projet'!$B$36,N19+M20-V19)))</f>
        <v>81.2</v>
      </c>
      <c r="O20" s="13">
        <f>N20*VLOOKUP('Données projet'!$B$9,Paramètres!$A$1:$I$89,3,0)*VLOOKUP('Données projet'!$B$9,Paramètres!$A$1:$I$89,5,0)</f>
        <v>38.001600000000003</v>
      </c>
      <c r="P20" s="13">
        <f t="shared" si="33"/>
        <v>11.467401227090512</v>
      </c>
      <c r="Q20" s="20">
        <f t="shared" si="2"/>
        <v>86.158510470515978</v>
      </c>
      <c r="R20" s="59">
        <f t="shared" si="0"/>
        <v>379.49184380384929</v>
      </c>
      <c r="S20" s="59">
        <f ca="1">AVERAGE(OFFSET($R$3,0,0,'Données projet'!$E$9+1,1))-AVERAGE(OFFSET($H$3,0,0,'Données projet'!$E$9+1,1))</f>
        <v>342.49944586217674</v>
      </c>
      <c r="T20" s="59">
        <f t="shared" si="34"/>
        <v>282.29766600872563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28.2</v>
      </c>
      <c r="AI20" s="13">
        <f>IF('Données projet'!$A$62&gt;35,AI19+AH20-AQ19,IF(A20&lt;'Données projet'!$A$62,$AF$205^A20,IF(A20='Données projet'!$A$62,'Données projet'!$B$62,AI19+AH20-AQ19)))</f>
        <v>218.39999999999998</v>
      </c>
      <c r="AJ20" s="13">
        <f>AI20*VLOOKUP('Données projet'!$B$10,Paramètres!$A$1:$I$89,3,0)*VLOOKUP('Données projet'!$B$10,Paramètres!$A$1:$I$89,5,0)</f>
        <v>122.0856</v>
      </c>
      <c r="AK20" s="13">
        <f t="shared" si="35"/>
        <v>32.160942364346717</v>
      </c>
      <c r="AL20" s="20">
        <f t="shared" si="4"/>
        <v>268.64606128457052</v>
      </c>
      <c r="AM20" s="59">
        <f t="shared" si="5"/>
        <v>561.97939461790384</v>
      </c>
      <c r="AN20" s="59">
        <f ca="1">AVERAGE(OFFSET($AM$3,0,0,'Données projet'!$E$10+1,1))-AVERAGE(OFFSET($H$3,0,0,'Données projet'!$E$10+1,1))</f>
        <v>490.96084572840579</v>
      </c>
      <c r="AO20" s="59">
        <f t="shared" si="36"/>
        <v>597.91658789908263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28.200000000000003</v>
      </c>
      <c r="BE20" s="13">
        <f>BD20*VLOOKUP('Données projet'!$B$11,Paramètres!$A$1:$I$89,3,0)*VLOOKUP('Données projet'!$B$11,Paramètres!$A$1:$I$89,5,0)</f>
        <v>22.435920000000003</v>
      </c>
      <c r="BF20" s="13">
        <f t="shared" si="37"/>
        <v>7.1985674727914821</v>
      </c>
      <c r="BG20" s="20">
        <f t="shared" si="7"/>
        <v>51.613399015111831</v>
      </c>
      <c r="BH20" s="59">
        <f t="shared" si="8"/>
        <v>344.94673234844515</v>
      </c>
      <c r="BI20" s="59">
        <f ca="1">AVERAGE(OFFSET($BH$3,0,0,'Données projet'!$E$11+1,1))-AVERAGE(OFFSET($H$3,0,0,'Données projet'!$E$11+1,1))</f>
        <v>167.80254365106839</v>
      </c>
      <c r="BJ20" s="59">
        <f t="shared" si="38"/>
        <v>167.42302164950172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4.8</v>
      </c>
      <c r="BY20" s="12">
        <f>IF('Données projet'!$A$114&gt;35,BY19+BX20-CG19,IF(A20&lt;'Données projet'!$A$114,$BV$205^A20,IF(A20='Données projet'!$A$114,'Données projet'!$B$114,BY19+BX20-CG19)))</f>
        <v>48.409494543955958</v>
      </c>
      <c r="BZ20" s="13">
        <f>BY20*VLOOKUP('Données projet'!$B$12,Paramètres!$A$1:$I$89,3,0)*VLOOKUP('Données projet'!$B$12,Paramètres!$A$1:$I$89,5,0)</f>
        <v>23.914290304714243</v>
      </c>
      <c r="CA20" s="13">
        <f t="shared" si="39"/>
        <v>7.6161208948561434</v>
      </c>
      <c r="CB20" s="20">
        <f t="shared" si="10"/>
        <v>54.915466172585091</v>
      </c>
      <c r="CC20" s="59">
        <f t="shared" si="11"/>
        <v>348.24879950591838</v>
      </c>
      <c r="CD20" s="59">
        <f ca="1">AVERAGE(OFFSET($CC$3,0,0,'Données projet'!$E$12+1,1))-AVERAGE(OFFSET($H$3,0,0,'Données projet'!$E$12+1,1))</f>
        <v>322.06606384496587</v>
      </c>
      <c r="CE20" s="59">
        <f t="shared" si="40"/>
        <v>267.71713177624713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23</v>
      </c>
      <c r="CT20" s="12">
        <f>IF('Données projet'!$A$140&gt;35,CT19+CS20-DB19,IF(A20&lt;'Données projet'!$A$140,$CQ$205^A20,IF(A20='Données projet'!$A$140,'Données projet'!$B$140,CT19+CS20-DB19)))</f>
        <v>200</v>
      </c>
      <c r="CU20" s="17">
        <f>CT20*VLOOKUP('Données projet'!$B$13,Paramètres!$A$1:$I$89,3,0)*VLOOKUP('Données projet'!$B$13,Paramètres!$A$1:$I$89,5,0)</f>
        <v>124.80000000000001</v>
      </c>
      <c r="CV20" s="13">
        <f t="shared" si="41"/>
        <v>32.791952217579265</v>
      </c>
      <c r="CW20" s="20">
        <f t="shared" si="13"/>
        <v>274.47265011228387</v>
      </c>
      <c r="CX20" s="59">
        <f t="shared" si="14"/>
        <v>567.80598344561713</v>
      </c>
      <c r="CY20" s="59">
        <f ca="1">AVERAGE(OFFSET($CX$3,0,0,'Données projet'!$E$13+1,1))-AVERAGE(OFFSET($H$3,0,0,'Données projet'!$E$13+1,1))</f>
        <v>269.77739619445515</v>
      </c>
      <c r="CZ20" s="59">
        <f t="shared" si="42"/>
        <v>347.56964743629885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2.2481104523699642</v>
      </c>
      <c r="DI20" s="22">
        <f t="shared" si="15"/>
        <v>2.2481104523699642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4.8</v>
      </c>
      <c r="DO20" s="12">
        <f>IF('Données projet'!$A$166&gt;35,DO19+DN20-DW19,IF(A20&lt;'Données projet'!$A$166,$DL$205^A20,IF(A20='Données projet'!$A$166,'Données projet'!$B$166,DO19+DN20-DW19)))</f>
        <v>48.409494543955958</v>
      </c>
      <c r="DP20" s="17">
        <f>DO20*VLOOKUP('Données projet'!$B$14,Paramètres!$A$1:$I$89,3,0)*VLOOKUP('Données projet'!$B$14,Paramètres!$A$1:$I$89,5,0)</f>
        <v>23.284966875642816</v>
      </c>
      <c r="DQ20" s="13">
        <f t="shared" si="43"/>
        <v>7.4387521130794694</v>
      </c>
      <c r="DR20" s="20">
        <f t="shared" si="16"/>
        <v>53.510477238691315</v>
      </c>
      <c r="DS20" s="59">
        <f t="shared" si="17"/>
        <v>346.84381057202461</v>
      </c>
      <c r="DT20" s="59">
        <f ca="1">AVERAGE(OFFSET($DS$3,0,0,'Données projet'!$E$14+1,1))-AVERAGE(OFFSET($H$3,0,0,'Données projet'!$E$14+1,1))</f>
        <v>312.64506496298173</v>
      </c>
      <c r="DU20" s="59">
        <f t="shared" si="44"/>
        <v>259.97532509897508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2.1</v>
      </c>
      <c r="EJ20" s="12">
        <f>IF('Données projet'!$A$192&gt;35,EJ19+EI20-ER19,IF(A20&lt;'Données projet'!$A$192,$EG$205^A20,IF(A20='Données projet'!$A$192,'Données projet'!$B$192,EJ19+EI20-ER19)))</f>
        <v>23.975181126327602</v>
      </c>
      <c r="EK20" s="17">
        <f>EJ20*VLOOKUP('Données projet'!$B$15,Paramètres!$A$1:$I$89,3,0)*VLOOKUP('Données projet'!$B$15,Paramètres!$A$1:$I$89,5,0)</f>
        <v>21.692743883101215</v>
      </c>
      <c r="EL20" s="13">
        <f t="shared" si="45"/>
        <v>6.98746341685115</v>
      </c>
      <c r="EM20" s="20">
        <f t="shared" si="19"/>
        <v>49.951361047417038</v>
      </c>
      <c r="EN20" s="59">
        <f t="shared" si="20"/>
        <v>343.28469438075035</v>
      </c>
      <c r="EO20" s="59">
        <f ca="1">AVERAGE(OFFSET($EN$3,0,0,'Données projet'!$E$15+1,1))-AVERAGE(OFFSET($H$3,0,0,'Données projet'!$E$15+1,1))</f>
        <v>269.64423257646359</v>
      </c>
      <c r="EP20" s="59">
        <f t="shared" si="46"/>
        <v>161.0819079811821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5.85</v>
      </c>
      <c r="FE20" s="12">
        <f>IF('Données projet'!$A$218&gt;35,FE19+FD20-FM19,IF(A20&lt;'Données projet'!$A$218,$FB$205^A20,IF(A20='Données projet'!$A$218,'Données projet'!$B$218,FE19+FD20-FM19)))</f>
        <v>57.274061627749042</v>
      </c>
      <c r="FF20" s="17">
        <f>FE20*VLOOKUP('Données projet'!$B$16,Paramètres!$A$1:$I$89,3,0)*VLOOKUP('Données projet'!$B$16,Paramètres!$A$1:$I$89,5,0)</f>
        <v>44.673768069644254</v>
      </c>
      <c r="FG20" s="13">
        <f t="shared" si="47"/>
        <v>13.229350691055696</v>
      </c>
      <c r="FH20" s="20">
        <f t="shared" si="22"/>
        <v>100.84793184155241</v>
      </c>
      <c r="FI20" s="59">
        <f t="shared" si="23"/>
        <v>394.18126517488571</v>
      </c>
      <c r="FJ20" s="59">
        <f ca="1">AVERAGE(OFFSET($FI$3,0,0,'Données projet'!$E$16+1,1))-AVERAGE(OFFSET($H$3,0,0,'Données projet'!$E$16+1,1))</f>
        <v>283.77864672734273</v>
      </c>
      <c r="FK20" s="59">
        <f t="shared" si="48"/>
        <v>270.94620935643866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13.8</v>
      </c>
      <c r="FZ20" s="12">
        <f>IF('Données projet'!$A$244&gt;35,FZ19+FY20-GH19,IF(A20&lt;'Données projet'!$A$244,$FW$205^A20,IF(A20='Données projet'!$A$244,'Données projet'!$B$244,FZ19+FY20-GH19)))</f>
        <v>60.599999999999994</v>
      </c>
      <c r="GA20" s="17">
        <f>FZ20*VLOOKUP('Données projet'!$B$17,Paramètres!$A$1:$I$89,3,0)*VLOOKUP('Données projet'!$B$17,Paramètres!$A$1:$I$89,5,0)</f>
        <v>58.612319999999997</v>
      </c>
      <c r="GB20" s="13">
        <f t="shared" si="49"/>
        <v>16.816943594767903</v>
      </c>
      <c r="GC20" s="20">
        <f t="shared" si="25"/>
        <v>131.37263409422076</v>
      </c>
      <c r="GD20" s="59">
        <f t="shared" si="26"/>
        <v>424.70596742755407</v>
      </c>
      <c r="GE20" s="59">
        <f ca="1">AVERAGE(OFFSET($GD$3,0,0,'Données projet'!$E$17+1,1))-AVERAGE(OFFSET($H$3,0,0,'Données projet'!$E$17+1,1))</f>
        <v>347.54503437087288</v>
      </c>
      <c r="GF20" s="59">
        <f t="shared" si="50"/>
        <v>340.05673244455954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17.600000000000001</v>
      </c>
      <c r="N21" s="13">
        <f>IF('Données projet'!$A$36&gt;35,N20+M21-V20,IF(A21&lt;'Données projet'!$A$36,$K$205^A21,IF(A21='Données projet'!$A$36,'Données projet'!$B$36,N20+M21-V20)))</f>
        <v>98.800000000000011</v>
      </c>
      <c r="O21" s="13">
        <f>N21*VLOOKUP('Données projet'!$B$9,Paramètres!$A$1:$I$89,3,0)*VLOOKUP('Données projet'!$B$9,Paramètres!$A$1:$I$89,5,0)</f>
        <v>46.238400000000006</v>
      </c>
      <c r="P21" s="13">
        <f t="shared" si="33"/>
        <v>13.637932508790355</v>
      </c>
      <c r="Q21" s="20">
        <f t="shared" si="2"/>
        <v>104.28461245280988</v>
      </c>
      <c r="R21" s="59">
        <f t="shared" si="0"/>
        <v>397.6179457861432</v>
      </c>
      <c r="S21" s="59">
        <f ca="1">AVERAGE(OFFSET($R$3,0,0,'Données projet'!$E$9+1,1))-AVERAGE(OFFSET($H$3,0,0,'Données projet'!$E$9+1,1))</f>
        <v>342.49944586217674</v>
      </c>
      <c r="T21" s="59">
        <f t="shared" si="34"/>
        <v>282.29766600872563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28.2</v>
      </c>
      <c r="AI21" s="13">
        <f>IF('Données projet'!$A$62&gt;35,AI20+AH21-AQ20,IF(A21&lt;'Données projet'!$A$62,$AF$205^A21,IF(A21='Données projet'!$A$62,'Données projet'!$B$62,AI20+AH21-AQ20)))</f>
        <v>246.59999999999997</v>
      </c>
      <c r="AJ21" s="13">
        <f>AI21*VLOOKUP('Données projet'!$B$10,Paramètres!$A$1:$I$89,3,0)*VLOOKUP('Données projet'!$B$10,Paramètres!$A$1:$I$89,5,0)</f>
        <v>137.84939999999997</v>
      </c>
      <c r="AK21" s="13">
        <f t="shared" si="35"/>
        <v>35.803890229822542</v>
      </c>
      <c r="AL21" s="20">
        <f t="shared" si="4"/>
        <v>302.44614715027416</v>
      </c>
      <c r="AM21" s="59">
        <f t="shared" si="5"/>
        <v>595.77948048360747</v>
      </c>
      <c r="AN21" s="59">
        <f ca="1">AVERAGE(OFFSET($AM$3,0,0,'Données projet'!$E$10+1,1))-AVERAGE(OFFSET($H$3,0,0,'Données projet'!$E$10+1,1))</f>
        <v>490.96084572840579</v>
      </c>
      <c r="AO21" s="59">
        <f t="shared" si="36"/>
        <v>597.91658789908263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37.800000000000004</v>
      </c>
      <c r="BE21" s="13">
        <f>BD21*VLOOKUP('Données projet'!$B$11,Paramètres!$A$1:$I$89,3,0)*VLOOKUP('Données projet'!$B$11,Paramètres!$A$1:$I$89,5,0)</f>
        <v>30.073680000000003</v>
      </c>
      <c r="BF21" s="13">
        <f t="shared" si="37"/>
        <v>9.3256201513302699</v>
      </c>
      <c r="BG21" s="20">
        <f t="shared" si="7"/>
        <v>68.620447763566887</v>
      </c>
      <c r="BH21" s="59">
        <f t="shared" si="8"/>
        <v>361.95378109690023</v>
      </c>
      <c r="BI21" s="59">
        <f ca="1">AVERAGE(OFFSET($BH$3,0,0,'Données projet'!$E$11+1,1))-AVERAGE(OFFSET($H$3,0,0,'Données projet'!$E$11+1,1))</f>
        <v>167.80254365106839</v>
      </c>
      <c r="BJ21" s="59">
        <f t="shared" si="38"/>
        <v>167.42302164950172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4.8</v>
      </c>
      <c r="BY21" s="12">
        <f>IF('Données projet'!$A$114&gt;35,BY20+BX21-CG20,IF(A21&lt;'Données projet'!$A$114,$BV$205^A21,IF(A21='Données projet'!$A$114,'Données projet'!$B$114,BY20+BX21-CG20)))</f>
        <v>60.819677051026375</v>
      </c>
      <c r="BZ21" s="13">
        <f>BY21*VLOOKUP('Données projet'!$B$12,Paramètres!$A$1:$I$89,3,0)*VLOOKUP('Données projet'!$B$12,Paramètres!$A$1:$I$89,5,0)</f>
        <v>30.044920463207031</v>
      </c>
      <c r="CA21" s="13">
        <f t="shared" si="39"/>
        <v>9.3177396667946208</v>
      </c>
      <c r="CB21" s="20">
        <f t="shared" si="10"/>
        <v>68.556633059752883</v>
      </c>
      <c r="CC21" s="59">
        <f t="shared" si="11"/>
        <v>361.88996639308618</v>
      </c>
      <c r="CD21" s="59">
        <f ca="1">AVERAGE(OFFSET($CC$3,0,0,'Données projet'!$E$12+1,1))-AVERAGE(OFFSET($H$3,0,0,'Données projet'!$E$12+1,1))</f>
        <v>322.06606384496587</v>
      </c>
      <c r="CE21" s="59">
        <f t="shared" si="40"/>
        <v>267.71713177624713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>
        <f>VLOOKUP(A21,'Données projet'!$A$139:$I$159,2,0)</f>
        <v>223</v>
      </c>
      <c r="CR21" s="12">
        <f>VLOOKUP(A21,'Données projet'!$A$139:$I$159,9,0)</f>
        <v>23</v>
      </c>
      <c r="CS21" s="12">
        <f t="array" ref="CS21">INDEX(CR:CR,MIN(IF(ISNUMBER(CR21:CR217),ROW(CR21:CR217),"")))</f>
        <v>23</v>
      </c>
      <c r="CT21" s="12">
        <f>IF('Données projet'!$A$140&gt;35,CT20+CS21-DB20,IF(A21&lt;'Données projet'!$A$140,$CQ$205^A21,IF(A21='Données projet'!$A$140,'Données projet'!$B$140,CT20+CS21-DB20)))</f>
        <v>223</v>
      </c>
      <c r="CU21" s="17">
        <f>CT21*VLOOKUP('Données projet'!$B$13,Paramètres!$A$1:$I$89,3,0)*VLOOKUP('Données projet'!$B$13,Paramètres!$A$1:$I$89,5,0)</f>
        <v>139.15199999999999</v>
      </c>
      <c r="CV21" s="13">
        <f t="shared" si="41"/>
        <v>36.102671964783006</v>
      </c>
      <c r="CW21" s="20">
        <f t="shared" si="13"/>
        <v>305.23522033866374</v>
      </c>
      <c r="CX21" s="59">
        <f t="shared" si="14"/>
        <v>598.56855367199705</v>
      </c>
      <c r="CY21" s="59">
        <f ca="1">AVERAGE(OFFSET($CX$3,0,0,'Données projet'!$E$13+1,1))-AVERAGE(OFFSET($H$3,0,0,'Données projet'!$E$13+1,1))</f>
        <v>269.77739619445515</v>
      </c>
      <c r="CZ21" s="59">
        <f t="shared" si="42"/>
        <v>347.56964743629885</v>
      </c>
      <c r="DA21" s="15">
        <f>IF(ISNA(VLOOKUP(A21,'Données projet'!$A$139:$I$159,3,0)),0,VLOOKUP(A21,'Données projet'!$A$139:$I$159,3,0))</f>
        <v>2</v>
      </c>
      <c r="DB21" s="15">
        <f>IF(ISNA(VLOOKUP(A21,'Données projet'!$A$139:$I$159,4,0)),0,VLOOKUP(A21,'Données projet'!$A$139:$I$159,4,0))</f>
        <v>84.3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0.6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41.704067321283624</v>
      </c>
      <c r="DH21" s="21">
        <f>EXP(-LN(2)/2)*DH20+(1-EXP(-LN(2)/2))/(LN(2)/2)*DB21*DE21*VLOOKUP('Données projet'!$B$13,Paramètres!$A$1:$I$89,3,0)*0.475*44/12</f>
        <v>1.5896541457271587</v>
      </c>
      <c r="DI21" s="22">
        <f t="shared" si="15"/>
        <v>43.293721467010783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4.8</v>
      </c>
      <c r="DO21" s="12">
        <f>IF('Données projet'!$A$166&gt;35,DO20+DN21-DW20,IF(A21&lt;'Données projet'!$A$166,$DL$205^A21,IF(A21='Données projet'!$A$166,'Données projet'!$B$166,DO20+DN21-DW20)))</f>
        <v>60.819677051026375</v>
      </c>
      <c r="DP21" s="17">
        <f>DO21*VLOOKUP('Données projet'!$B$14,Paramètres!$A$1:$I$89,3,0)*VLOOKUP('Données projet'!$B$14,Paramètres!$A$1:$I$89,5,0)</f>
        <v>29.254264661543687</v>
      </c>
      <c r="DQ21" s="13">
        <f t="shared" si="43"/>
        <v>9.1007425686094034</v>
      </c>
      <c r="DR21" s="20">
        <f t="shared" si="16"/>
        <v>66.801637592516627</v>
      </c>
      <c r="DS21" s="59">
        <f t="shared" si="17"/>
        <v>360.13497092584993</v>
      </c>
      <c r="DT21" s="59">
        <f ca="1">AVERAGE(OFFSET($DS$3,0,0,'Données projet'!$E$14+1,1))-AVERAGE(OFFSET($H$3,0,0,'Données projet'!$E$14+1,1))</f>
        <v>312.64506496298173</v>
      </c>
      <c r="DU21" s="59">
        <f t="shared" si="44"/>
        <v>259.97532509897508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2.1</v>
      </c>
      <c r="EJ21" s="12">
        <f>IF('Données projet'!$A$192&gt;35,EJ20+EI21-ER20,IF(A21&lt;'Données projet'!$A$192,$EG$205^A21,IF(A21='Données projet'!$A$192,'Données projet'!$B$192,EJ20+EI21-ER20)))</f>
        <v>28.901764726506816</v>
      </c>
      <c r="EK21" s="17">
        <f>EJ21*VLOOKUP('Données projet'!$B$15,Paramètres!$A$1:$I$89,3,0)*VLOOKUP('Données projet'!$B$15,Paramètres!$A$1:$I$89,5,0)</f>
        <v>26.150316724543362</v>
      </c>
      <c r="EL21" s="13">
        <f t="shared" si="45"/>
        <v>8.2420396752158016</v>
      </c>
      <c r="EM21" s="20">
        <f t="shared" si="19"/>
        <v>59.900020729580547</v>
      </c>
      <c r="EN21" s="59">
        <f t="shared" si="20"/>
        <v>353.23335406291386</v>
      </c>
      <c r="EO21" s="59">
        <f ca="1">AVERAGE(OFFSET($EN$3,0,0,'Données projet'!$E$15+1,1))-AVERAGE(OFFSET($H$3,0,0,'Données projet'!$E$15+1,1))</f>
        <v>269.64423257646359</v>
      </c>
      <c r="EP21" s="59">
        <f t="shared" si="46"/>
        <v>161.0819079811821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5.85</v>
      </c>
      <c r="FE21" s="12">
        <f>IF('Données projet'!$A$218&gt;35,FE20+FD21-FM20,IF(A21&lt;'Données projet'!$A$218,$FB$205^A21,IF(A21='Données projet'!$A$218,'Données projet'!$B$218,FE20+FD21-FM20)))</f>
        <v>72.672027280698373</v>
      </c>
      <c r="FF21" s="17">
        <f>FE21*VLOOKUP('Données projet'!$B$16,Paramètres!$A$1:$I$89,3,0)*VLOOKUP('Données projet'!$B$16,Paramètres!$A$1:$I$89,5,0)</f>
        <v>56.684181278944735</v>
      </c>
      <c r="FG21" s="13">
        <f t="shared" si="47"/>
        <v>16.327172474251263</v>
      </c>
      <c r="FH21" s="20">
        <f t="shared" si="22"/>
        <v>127.16144112014972</v>
      </c>
      <c r="FI21" s="59">
        <f t="shared" si="23"/>
        <v>420.49477445348305</v>
      </c>
      <c r="FJ21" s="59">
        <f ca="1">AVERAGE(OFFSET($FI$3,0,0,'Données projet'!$E$16+1,1))-AVERAGE(OFFSET($H$3,0,0,'Données projet'!$E$16+1,1))</f>
        <v>283.77864672734273</v>
      </c>
      <c r="FK21" s="59">
        <f t="shared" si="48"/>
        <v>270.94620935643866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13.8</v>
      </c>
      <c r="FZ21" s="12">
        <f>IF('Données projet'!$A$244&gt;35,FZ20+FY21-GH20,IF(A21&lt;'Données projet'!$A$244,$FW$205^A21,IF(A21='Données projet'!$A$244,'Données projet'!$B$244,FZ20+FY21-GH20)))</f>
        <v>74.399999999999991</v>
      </c>
      <c r="GA21" s="17">
        <f>FZ21*VLOOKUP('Données projet'!$B$17,Paramètres!$A$1:$I$89,3,0)*VLOOKUP('Données projet'!$B$17,Paramètres!$A$1:$I$89,5,0)</f>
        <v>71.959679999999992</v>
      </c>
      <c r="GB21" s="13">
        <f t="shared" si="49"/>
        <v>20.159330395897832</v>
      </c>
      <c r="GC21" s="20">
        <f t="shared" si="25"/>
        <v>160.44060977285537</v>
      </c>
      <c r="GD21" s="59">
        <f t="shared" si="26"/>
        <v>453.77394310618865</v>
      </c>
      <c r="GE21" s="59">
        <f ca="1">AVERAGE(OFFSET($GD$3,0,0,'Données projet'!$E$17+1,1))-AVERAGE(OFFSET($H$3,0,0,'Données projet'!$E$17+1,1))</f>
        <v>347.54503437087288</v>
      </c>
      <c r="GF21" s="59">
        <f t="shared" si="50"/>
        <v>340.05673244455954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17.600000000000001</v>
      </c>
      <c r="N22" s="13">
        <f>IF('Données projet'!$A$36&gt;35,N21+M22-V21,IF(A22&lt;'Données projet'!$A$36,$K$205^A22,IF(A22='Données projet'!$A$36,'Données projet'!$B$36,N21+M22-V21)))</f>
        <v>116.4</v>
      </c>
      <c r="O22" s="13">
        <f>N22*VLOOKUP('Données projet'!$B$9,Paramètres!$A$1:$I$89,3,0)*VLOOKUP('Données projet'!$B$9,Paramètres!$A$1:$I$89,5,0)</f>
        <v>54.475200000000008</v>
      </c>
      <c r="P22" s="13">
        <f t="shared" si="33"/>
        <v>15.763670703256032</v>
      </c>
      <c r="Q22" s="20">
        <f t="shared" si="2"/>
        <v>122.33269980817094</v>
      </c>
      <c r="R22" s="59">
        <f t="shared" si="0"/>
        <v>415.66603314150427</v>
      </c>
      <c r="S22" s="59">
        <f ca="1">AVERAGE(OFFSET($R$3,0,0,'Données projet'!$E$9+1,1))-AVERAGE(OFFSET($H$3,0,0,'Données projet'!$E$9+1,1))</f>
        <v>342.49944586217674</v>
      </c>
      <c r="T22" s="59">
        <f t="shared" si="34"/>
        <v>282.29766600872563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28.2</v>
      </c>
      <c r="AI22" s="13">
        <f>IF('Données projet'!$A$62&gt;35,AI21+AH22-AQ21,IF(A22&lt;'Données projet'!$A$62,$AF$205^A22,IF(A22='Données projet'!$A$62,'Données projet'!$B$62,AI21+AH22-AQ21)))</f>
        <v>274.79999999999995</v>
      </c>
      <c r="AJ22" s="13">
        <f>AI22*VLOOKUP('Données projet'!$B$10,Paramètres!$A$1:$I$89,3,0)*VLOOKUP('Données projet'!$B$10,Paramètres!$A$1:$I$89,5,0)</f>
        <v>153.61319999999998</v>
      </c>
      <c r="AK22" s="13">
        <f t="shared" si="35"/>
        <v>39.398557339898318</v>
      </c>
      <c r="AL22" s="20">
        <f t="shared" si="4"/>
        <v>336.16214403365615</v>
      </c>
      <c r="AM22" s="59">
        <f t="shared" si="5"/>
        <v>629.49547736698946</v>
      </c>
      <c r="AN22" s="59">
        <f ca="1">AVERAGE(OFFSET($AM$3,0,0,'Données projet'!$E$10+1,1))-AVERAGE(OFFSET($H$3,0,0,'Données projet'!$E$10+1,1))</f>
        <v>490.96084572840579</v>
      </c>
      <c r="AO22" s="59">
        <f t="shared" si="36"/>
        <v>597.91658789908263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47.400000000000006</v>
      </c>
      <c r="BE22" s="13">
        <f>BD22*VLOOKUP('Données projet'!$B$11,Paramètres!$A$1:$I$89,3,0)*VLOOKUP('Données projet'!$B$11,Paramètres!$A$1:$I$89,5,0)</f>
        <v>37.711440000000003</v>
      </c>
      <c r="BF22" s="13">
        <f t="shared" si="37"/>
        <v>11.389999638070119</v>
      </c>
      <c r="BG22" s="20">
        <f t="shared" si="7"/>
        <v>85.518340702972125</v>
      </c>
      <c r="BH22" s="59">
        <f t="shared" si="8"/>
        <v>378.85167403630544</v>
      </c>
      <c r="BI22" s="59">
        <f ca="1">AVERAGE(OFFSET($BH$3,0,0,'Données projet'!$E$11+1,1))-AVERAGE(OFFSET($H$3,0,0,'Données projet'!$E$11+1,1))</f>
        <v>167.80254365106839</v>
      </c>
      <c r="BJ22" s="59">
        <f t="shared" si="38"/>
        <v>167.42302164950172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4.8</v>
      </c>
      <c r="BY22" s="12">
        <f>IF('Données projet'!$A$114&gt;35,BY21+BX22-CG21,IF(A22&lt;'Données projet'!$A$114,$BV$205^A22,IF(A22='Données projet'!$A$114,'Données projet'!$B$114,BY21+BX22-CG21)))</f>
        <v>76.411314586902208</v>
      </c>
      <c r="BZ22" s="13">
        <f>BY22*VLOOKUP('Données projet'!$B$12,Paramètres!$A$1:$I$89,3,0)*VLOOKUP('Données projet'!$B$12,Paramètres!$A$1:$I$89,5,0)</f>
        <v>37.747189405929689</v>
      </c>
      <c r="CA22" s="13">
        <f t="shared" si="39"/>
        <v>11.399539699638371</v>
      </c>
      <c r="CB22" s="20">
        <f t="shared" si="10"/>
        <v>85.597219858864364</v>
      </c>
      <c r="CC22" s="59">
        <f t="shared" si="11"/>
        <v>378.93055319219769</v>
      </c>
      <c r="CD22" s="59">
        <f ca="1">AVERAGE(OFFSET($CC$3,0,0,'Données projet'!$E$12+1,1))-AVERAGE(OFFSET($H$3,0,0,'Données projet'!$E$12+1,1))</f>
        <v>322.06606384496587</v>
      </c>
      <c r="CE22" s="59">
        <f t="shared" si="40"/>
        <v>267.71713177624713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19.216666666666669</v>
      </c>
      <c r="CT22" s="12">
        <f>IF('Données projet'!$A$140&gt;35,CT21+CS22-DB21,IF(A22&lt;'Données projet'!$A$140,$CQ$205^A22,IF(A22='Données projet'!$A$140,'Données projet'!$B$140,CT21+CS22-DB21)))</f>
        <v>157.91666666666669</v>
      </c>
      <c r="CU22" s="17">
        <f>CT22*VLOOKUP('Données projet'!$B$13,Paramètres!$A$1:$I$89,3,0)*VLOOKUP('Données projet'!$B$13,Paramètres!$A$1:$I$89,5,0)</f>
        <v>98.54000000000002</v>
      </c>
      <c r="CV22" s="13">
        <f t="shared" si="41"/>
        <v>26.613875509207226</v>
      </c>
      <c r="CW22" s="20">
        <f t="shared" si="13"/>
        <v>217.97633317853592</v>
      </c>
      <c r="CX22" s="59">
        <f t="shared" si="14"/>
        <v>511.30966651186924</v>
      </c>
      <c r="CY22" s="59">
        <f ca="1">AVERAGE(OFFSET($CX$3,0,0,'Données projet'!$E$13+1,1))-AVERAGE(OFFSET($H$3,0,0,'Données projet'!$E$13+1,1))</f>
        <v>269.77739619445515</v>
      </c>
      <c r="CZ22" s="59">
        <f t="shared" si="42"/>
        <v>347.56964743629885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40.563667407261541</v>
      </c>
      <c r="DH22" s="21">
        <f>EXP(-LN(2)/2)*DH21+(1-EXP(-LN(2)/2))/(LN(2)/2)*DB22*DE22*VLOOKUP('Données projet'!$B$13,Paramètres!$A$1:$I$89,3,0)*0.475*44/12</f>
        <v>1.1240552261849821</v>
      </c>
      <c r="DI22" s="22">
        <f t="shared" si="15"/>
        <v>41.687722633446526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4.8</v>
      </c>
      <c r="DO22" s="12">
        <f>IF('Données projet'!$A$166&gt;35,DO21+DN22-DW21,IF(A22&lt;'Données projet'!$A$166,$DL$205^A22,IF(A22='Données projet'!$A$166,'Données projet'!$B$166,DO21+DN22-DW21)))</f>
        <v>76.411314586902208</v>
      </c>
      <c r="DP22" s="17">
        <f>DO22*VLOOKUP('Données projet'!$B$14,Paramètres!$A$1:$I$89,3,0)*VLOOKUP('Données projet'!$B$14,Paramètres!$A$1:$I$89,5,0)</f>
        <v>36.753842316299966</v>
      </c>
      <c r="DQ22" s="13">
        <f t="shared" si="43"/>
        <v>11.134060396295732</v>
      </c>
      <c r="DR22" s="20">
        <f t="shared" si="16"/>
        <v>83.404763891104167</v>
      </c>
      <c r="DS22" s="59">
        <f t="shared" si="17"/>
        <v>376.73809722443747</v>
      </c>
      <c r="DT22" s="59">
        <f ca="1">AVERAGE(OFFSET($DS$3,0,0,'Données projet'!$E$14+1,1))-AVERAGE(OFFSET($H$3,0,0,'Données projet'!$E$14+1,1))</f>
        <v>312.64506496298173</v>
      </c>
      <c r="DU22" s="59">
        <f t="shared" si="44"/>
        <v>259.97532509897508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2.1</v>
      </c>
      <c r="EJ22" s="12">
        <f>IF('Données projet'!$A$192&gt;35,EJ21+EI22-ER21,IF(A22&lt;'Données projet'!$A$192,$EG$205^A22,IF(A22='Données projet'!$A$192,'Données projet'!$B$192,EJ21+EI22-ER21)))</f>
        <v>34.840696297767764</v>
      </c>
      <c r="EK22" s="17">
        <f>EJ22*VLOOKUP('Données projet'!$B$15,Paramètres!$A$1:$I$89,3,0)*VLOOKUP('Données projet'!$B$15,Paramètres!$A$1:$I$89,5,0)</f>
        <v>31.52386201022027</v>
      </c>
      <c r="EL22" s="13">
        <f t="shared" si="45"/>
        <v>9.7218710074397983</v>
      </c>
      <c r="EM22" s="20">
        <f t="shared" si="19"/>
        <v>71.836318339091292</v>
      </c>
      <c r="EN22" s="59">
        <f t="shared" si="20"/>
        <v>365.16965167242461</v>
      </c>
      <c r="EO22" s="59">
        <f ca="1">AVERAGE(OFFSET($EN$3,0,0,'Données projet'!$E$15+1,1))-AVERAGE(OFFSET($H$3,0,0,'Données projet'!$E$15+1,1))</f>
        <v>269.64423257646359</v>
      </c>
      <c r="EP22" s="59">
        <f t="shared" si="46"/>
        <v>161.0819079811821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5.85</v>
      </c>
      <c r="FE22" s="12">
        <f>IF('Données projet'!$A$218&gt;35,FE21+FD22-FM21,IF(A22&lt;'Données projet'!$A$218,$FB$205^A22,IF(A22='Données projet'!$A$218,'Données projet'!$B$218,FE21+FD22-FM21)))</f>
        <v>92.209691420380025</v>
      </c>
      <c r="FF22" s="17">
        <f>FE22*VLOOKUP('Données projet'!$B$16,Paramètres!$A$1:$I$89,3,0)*VLOOKUP('Données projet'!$B$16,Paramètres!$A$1:$I$89,5,0)</f>
        <v>71.923559307896426</v>
      </c>
      <c r="FG22" s="13">
        <f t="shared" si="47"/>
        <v>20.150388876166009</v>
      </c>
      <c r="FH22" s="20">
        <f t="shared" si="22"/>
        <v>160.36212642057541</v>
      </c>
      <c r="FI22" s="59">
        <f t="shared" si="23"/>
        <v>453.69545975390872</v>
      </c>
      <c r="FJ22" s="59">
        <f ca="1">AVERAGE(OFFSET($FI$3,0,0,'Données projet'!$E$16+1,1))-AVERAGE(OFFSET($H$3,0,0,'Données projet'!$E$16+1,1))</f>
        <v>283.77864672734273</v>
      </c>
      <c r="FK22" s="59">
        <f t="shared" si="48"/>
        <v>270.94620935643866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13.8</v>
      </c>
      <c r="FZ22" s="12">
        <f>IF('Données projet'!$A$244&gt;35,FZ21+FY22-GH21,IF(A22&lt;'Données projet'!$A$244,$FW$205^A22,IF(A22='Données projet'!$A$244,'Données projet'!$B$244,FZ21+FY22-GH21)))</f>
        <v>88.199999999999989</v>
      </c>
      <c r="GA22" s="17">
        <f>FZ22*VLOOKUP('Données projet'!$B$17,Paramètres!$A$1:$I$89,3,0)*VLOOKUP('Données projet'!$B$17,Paramètres!$A$1:$I$89,5,0)</f>
        <v>85.307039999999986</v>
      </c>
      <c r="GB22" s="13">
        <f t="shared" si="49"/>
        <v>23.429892642855144</v>
      </c>
      <c r="GC22" s="20">
        <f t="shared" si="25"/>
        <v>189.38349101963934</v>
      </c>
      <c r="GD22" s="59">
        <f t="shared" si="26"/>
        <v>482.71682435297265</v>
      </c>
      <c r="GE22" s="59">
        <f ca="1">AVERAGE(OFFSET($GD$3,0,0,'Données projet'!$E$17+1,1))-AVERAGE(OFFSET($H$3,0,0,'Données projet'!$E$17+1,1))</f>
        <v>347.54503437087288</v>
      </c>
      <c r="GF22" s="59">
        <f t="shared" si="50"/>
        <v>340.05673244455954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134</v>
      </c>
      <c r="L23" s="12">
        <f>VLOOKUP(A23,'Données projet'!$A$35:$I$55,9,0)</f>
        <v>17.600000000000001</v>
      </c>
      <c r="M23" s="12">
        <f t="array" ref="M23">INDEX(L:L,MIN(IF(ISNUMBER(L23:L219),ROW(L23:L219),"")))</f>
        <v>17.600000000000001</v>
      </c>
      <c r="N23" s="13">
        <f>IF('Données projet'!$A$36&gt;35,N22+M23-V22,IF(A23&lt;'Données projet'!$A$36,$K$205^A23,IF(A23='Données projet'!$A$36,'Données projet'!$B$36,N22+M23-V22)))</f>
        <v>134</v>
      </c>
      <c r="O23" s="13">
        <f>N23*VLOOKUP('Données projet'!$B$9,Paramètres!$A$1:$I$89,3,0)*VLOOKUP('Données projet'!$B$9,Paramètres!$A$1:$I$89,5,0)</f>
        <v>62.711999999999996</v>
      </c>
      <c r="P23" s="13">
        <f t="shared" si="33"/>
        <v>17.85217356216183</v>
      </c>
      <c r="Q23" s="20">
        <f t="shared" si="2"/>
        <v>140.31593562076515</v>
      </c>
      <c r="R23" s="59">
        <f t="shared" si="0"/>
        <v>433.64926895409849</v>
      </c>
      <c r="S23" s="59">
        <f ca="1">AVERAGE(OFFSET($R$3,0,0,'Données projet'!$E$9+1,1))-AVERAGE(OFFSET($H$3,0,0,'Données projet'!$E$9+1,1))</f>
        <v>342.49944586217674</v>
      </c>
      <c r="T23" s="59">
        <f t="shared" si="34"/>
        <v>282.29766600872563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2.6494235762119298</v>
      </c>
      <c r="AC23" s="22">
        <f t="shared" si="3"/>
        <v>2.6494235762119298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303</v>
      </c>
      <c r="AG23" s="12">
        <f>VLOOKUP(A23,'Données projet'!$A$61:$I$81,9,0)</f>
        <v>28.2</v>
      </c>
      <c r="AH23" s="12">
        <f t="array" ref="AH23">INDEX(AG:AG,MIN(IF(ISNUMBER(AG23:AG219),ROW(AG23:AG219),"")))</f>
        <v>28.2</v>
      </c>
      <c r="AI23" s="13">
        <f>IF('Données projet'!$A$62&gt;35,AI22+AH23-AQ22,IF(A23&lt;'Données projet'!$A$62,$AF$205^A23,IF(A23='Données projet'!$A$62,'Données projet'!$B$62,AI22+AH23-AQ22)))</f>
        <v>302.99999999999994</v>
      </c>
      <c r="AJ23" s="13">
        <f>AI23*VLOOKUP('Données projet'!$B$10,Paramètres!$A$1:$I$89,3,0)*VLOOKUP('Données projet'!$B$10,Paramètres!$A$1:$I$89,5,0)</f>
        <v>169.37699999999995</v>
      </c>
      <c r="AK23" s="13">
        <f t="shared" si="35"/>
        <v>42.950462509094685</v>
      </c>
      <c r="AL23" s="20">
        <f t="shared" si="4"/>
        <v>369.80366387000646</v>
      </c>
      <c r="AM23" s="59">
        <f t="shared" si="5"/>
        <v>663.13699720333977</v>
      </c>
      <c r="AN23" s="59">
        <f ca="1">AVERAGE(OFFSET($AM$3,0,0,'Données projet'!$E$10+1,1))-AVERAGE(OFFSET($H$3,0,0,'Données projet'!$E$10+1,1))</f>
        <v>490.96084572840579</v>
      </c>
      <c r="AO23" s="59">
        <f t="shared" si="36"/>
        <v>597.91658789908263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27.215467735643657</v>
      </c>
      <c r="AX23" s="21">
        <f t="shared" si="6"/>
        <v>27.215467735643657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57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57.000000000000007</v>
      </c>
      <c r="BE23" s="13">
        <f>BD23*VLOOKUP('Données projet'!$B$11,Paramètres!$A$1:$I$89,3,0)*VLOOKUP('Données projet'!$B$11,Paramètres!$A$1:$I$89,5,0)</f>
        <v>45.34920000000001</v>
      </c>
      <c r="BF23" s="13">
        <f t="shared" si="37"/>
        <v>13.405931317559235</v>
      </c>
      <c r="BG23" s="20">
        <f t="shared" si="7"/>
        <v>102.33185371141569</v>
      </c>
      <c r="BH23" s="59">
        <f t="shared" si="8"/>
        <v>395.66518704474902</v>
      </c>
      <c r="BI23" s="59">
        <f ca="1">AVERAGE(OFFSET($BH$3,0,0,'Données projet'!$E$11+1,1))-AVERAGE(OFFSET($H$3,0,0,'Données projet'!$E$11+1,1))</f>
        <v>167.80254365106839</v>
      </c>
      <c r="BJ23" s="59">
        <f t="shared" si="38"/>
        <v>167.42302164950172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21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96</v>
      </c>
      <c r="BW23" s="12">
        <f>VLOOKUP(A23,'Données projet'!$A$113:$I$133,9,0)</f>
        <v>4.8</v>
      </c>
      <c r="BX23" s="12">
        <f t="array" ref="BX23">INDEX(BW:BW,MIN(IF(ISNUMBER(BW23:BW219),ROW(BW23:BW219),"")))</f>
        <v>4.8</v>
      </c>
      <c r="BY23" s="12">
        <f>IF('Données projet'!$A$114&gt;35,BY22+BX23-CG22,IF(A23&lt;'Données projet'!$A$114,$BV$205^A23,IF(A23='Données projet'!$A$114,'Données projet'!$B$114,BY22+BX23-CG22)))</f>
        <v>96</v>
      </c>
      <c r="BZ23" s="13">
        <f>BY23*VLOOKUP('Données projet'!$B$12,Paramètres!$A$1:$I$89,3,0)*VLOOKUP('Données projet'!$B$12,Paramètres!$A$1:$I$89,5,0)</f>
        <v>47.424000000000007</v>
      </c>
      <c r="CA23" s="13">
        <f t="shared" si="39"/>
        <v>13.946462340725059</v>
      </c>
      <c r="CB23" s="20">
        <f t="shared" si="10"/>
        <v>106.88688857676283</v>
      </c>
      <c r="CC23" s="59">
        <f t="shared" si="11"/>
        <v>400.22022191009614</v>
      </c>
      <c r="CD23" s="59">
        <f ca="1">AVERAGE(OFFSET($CC$3,0,0,'Données projet'!$E$12+1,1))-AVERAGE(OFFSET($H$3,0,0,'Données projet'!$E$12+1,1))</f>
        <v>322.06606384496587</v>
      </c>
      <c r="CE23" s="59">
        <f t="shared" si="40"/>
        <v>267.71713177624713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19.216666666666669</v>
      </c>
      <c r="CT23" s="12">
        <f>IF('Données projet'!$A$140&gt;35,CT22+CS23-DB22,IF(A23&lt;'Données projet'!$A$140,$CQ$205^A23,IF(A23='Données projet'!$A$140,'Données projet'!$B$140,CT22+CS23-DB22)))</f>
        <v>177.13333333333335</v>
      </c>
      <c r="CU23" s="17">
        <f>CT23*VLOOKUP('Données projet'!$B$13,Paramètres!$A$1:$I$89,3,0)*VLOOKUP('Données projet'!$B$13,Paramètres!$A$1:$I$89,5,0)</f>
        <v>110.5312</v>
      </c>
      <c r="CV23" s="13">
        <f t="shared" si="41"/>
        <v>29.456104323655921</v>
      </c>
      <c r="CW23" s="20">
        <f t="shared" si="13"/>
        <v>243.81122169703403</v>
      </c>
      <c r="CX23" s="59">
        <f t="shared" si="14"/>
        <v>537.14455503036731</v>
      </c>
      <c r="CY23" s="59">
        <f ca="1">AVERAGE(OFFSET($CX$3,0,0,'Données projet'!$E$13+1,1))-AVERAGE(OFFSET($H$3,0,0,'Données projet'!$E$13+1,1))</f>
        <v>269.77739619445515</v>
      </c>
      <c r="CZ23" s="59">
        <f t="shared" si="42"/>
        <v>347.56964743629885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39.454451788859416</v>
      </c>
      <c r="DH23" s="21">
        <f>EXP(-LN(2)/2)*DH22+(1-EXP(-LN(2)/2))/(LN(2)/2)*DB23*DE23*VLOOKUP('Données projet'!$B$13,Paramètres!$A$1:$I$89,3,0)*0.475*44/12</f>
        <v>0.79482707286357934</v>
      </c>
      <c r="DI23" s="22">
        <f t="shared" si="15"/>
        <v>40.249278861722992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96</v>
      </c>
      <c r="DM23" s="12">
        <f>VLOOKUP(A23,'Données projet'!$A$165:$I$185,9,0)</f>
        <v>4.8</v>
      </c>
      <c r="DN23" s="12">
        <f t="array" ref="DN23">INDEX(DM:DM,MIN(IF(ISNUMBER(DM23:DM219),ROW(DM23:DM219),"")))</f>
        <v>4.8</v>
      </c>
      <c r="DO23" s="12">
        <f>IF('Données projet'!$A$166&gt;35,DO22+DN23-DW22,IF(A23&lt;'Données projet'!$A$166,$DL$205^A23,IF(A23='Données projet'!$A$166,'Données projet'!$B$166,DO22+DN23-DW22)))</f>
        <v>96</v>
      </c>
      <c r="DP23" s="17">
        <f>DO23*VLOOKUP('Données projet'!$B$14,Paramètres!$A$1:$I$89,3,0)*VLOOKUP('Données projet'!$B$14,Paramètres!$A$1:$I$89,5,0)</f>
        <v>46.175999999999995</v>
      </c>
      <c r="DQ23" s="13">
        <f t="shared" si="43"/>
        <v>13.621668778540489</v>
      </c>
      <c r="DR23" s="20">
        <f t="shared" si="16"/>
        <v>104.14760645595801</v>
      </c>
      <c r="DS23" s="59">
        <f t="shared" si="17"/>
        <v>397.48093978929131</v>
      </c>
      <c r="DT23" s="59">
        <f ca="1">AVERAGE(OFFSET($DS$3,0,0,'Données projet'!$E$14+1,1))-AVERAGE(OFFSET($H$3,0,0,'Données projet'!$E$14+1,1))</f>
        <v>312.64506496298173</v>
      </c>
      <c r="DU23" s="59">
        <f t="shared" si="44"/>
        <v>259.97532509897508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42</v>
      </c>
      <c r="EH23" s="12">
        <f>VLOOKUP(A23,'Données projet'!$A$191:$I$211,9,0)</f>
        <v>2.1</v>
      </c>
      <c r="EI23" s="12">
        <f t="array" ref="EI23">INDEX(EH:EH,MIN(IF(ISNUMBER(EH23:EH219),ROW(EH23:EH219),"")))</f>
        <v>2.1</v>
      </c>
      <c r="EJ23" s="12">
        <f>IF('Données projet'!$A$192&gt;35,EJ22+EI23-ER22,IF(A23&lt;'Données projet'!$A$192,$EG$205^A23,IF(A23='Données projet'!$A$192,'Données projet'!$B$192,EJ22+EI23-ER22)))</f>
        <v>42</v>
      </c>
      <c r="EK23" s="17">
        <f>EJ23*VLOOKUP('Données projet'!$B$15,Paramètres!$A$1:$I$89,3,0)*VLOOKUP('Données projet'!$B$15,Paramètres!$A$1:$I$89,5,0)</f>
        <v>38.001600000000003</v>
      </c>
      <c r="EL23" s="13">
        <f t="shared" si="45"/>
        <v>11.467401227090512</v>
      </c>
      <c r="EM23" s="20">
        <f t="shared" si="19"/>
        <v>86.158510470515978</v>
      </c>
      <c r="EN23" s="59">
        <f t="shared" si="20"/>
        <v>379.49184380384929</v>
      </c>
      <c r="EO23" s="59">
        <f ca="1">AVERAGE(OFFSET($EN$3,0,0,'Données projet'!$E$15+1,1))-AVERAGE(OFFSET($H$3,0,0,'Données projet'!$E$15+1,1))</f>
        <v>269.64423257646359</v>
      </c>
      <c r="EP23" s="59">
        <f t="shared" si="46"/>
        <v>161.0819079811821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117</v>
      </c>
      <c r="FC23" s="12">
        <f>VLOOKUP(A23,'Données projet'!$A$217:$I$237,9,0)</f>
        <v>5.85</v>
      </c>
      <c r="FD23" s="12">
        <f t="array" ref="FD23">INDEX(FC:FC,MIN(IF(ISNUMBER(FC23:FC219),ROW(FC23:FC219),"")))</f>
        <v>5.85</v>
      </c>
      <c r="FE23" s="12">
        <f>IF('Données projet'!$A$218&gt;35,FE22+FD23-FM22,IF(A23&lt;'Données projet'!$A$218,$FB$205^A23,IF(A23='Données projet'!$A$218,'Données projet'!$B$218,FE22+FD23-FM22)))</f>
        <v>117</v>
      </c>
      <c r="FF23" s="17">
        <f>FE23*VLOOKUP('Données projet'!$B$16,Paramètres!$A$1:$I$89,3,0)*VLOOKUP('Données projet'!$B$16,Paramètres!$A$1:$I$89,5,0)</f>
        <v>91.26</v>
      </c>
      <c r="FG23" s="13">
        <f t="shared" si="47"/>
        <v>24.868860330902777</v>
      </c>
      <c r="FH23" s="20">
        <f t="shared" si="22"/>
        <v>202.25776507632233</v>
      </c>
      <c r="FI23" s="59">
        <f t="shared" si="23"/>
        <v>495.59109840965561</v>
      </c>
      <c r="FJ23" s="59">
        <f ca="1">AVERAGE(OFFSET($FI$3,0,0,'Données projet'!$E$16+1,1))-AVERAGE(OFFSET($H$3,0,0,'Données projet'!$E$16+1,1))</f>
        <v>283.77864672734273</v>
      </c>
      <c r="FK23" s="59">
        <f t="shared" si="48"/>
        <v>270.94620935643866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27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102</v>
      </c>
      <c r="FX23" s="12">
        <f>VLOOKUP(A23,'Données projet'!$A$243:$I$263,9,0)</f>
        <v>13.8</v>
      </c>
      <c r="FY23" s="12">
        <f t="array" ref="FY23">INDEX(FX:FX,MIN(IF(ISNUMBER(FX23:FX219),ROW(FX23:FX219),"")))</f>
        <v>13.8</v>
      </c>
      <c r="FZ23" s="12">
        <f>IF('Données projet'!$A$244&gt;35,FZ22+FY23-GH22,IF(A23&lt;'Données projet'!$A$244,$FW$205^A23,IF(A23='Données projet'!$A$244,'Données projet'!$B$244,FZ22+FY23-GH22)))</f>
        <v>101.99999999999999</v>
      </c>
      <c r="GA23" s="17">
        <f>FZ23*VLOOKUP('Données projet'!$B$17,Paramètres!$A$1:$I$89,3,0)*VLOOKUP('Données projet'!$B$17,Paramètres!$A$1:$I$89,5,0)</f>
        <v>98.654399999999981</v>
      </c>
      <c r="GB23" s="13">
        <f t="shared" si="49"/>
        <v>26.641174586135573</v>
      </c>
      <c r="GC23" s="20">
        <f t="shared" si="25"/>
        <v>218.22312573751944</v>
      </c>
      <c r="GD23" s="59">
        <f t="shared" si="26"/>
        <v>511.55645907085272</v>
      </c>
      <c r="GE23" s="59">
        <f ca="1">AVERAGE(OFFSET($GD$3,0,0,'Données projet'!$E$17+1,1))-AVERAGE(OFFSET($H$3,0,0,'Données projet'!$E$17+1,1))</f>
        <v>347.54503437087288</v>
      </c>
      <c r="GF23" s="59">
        <f t="shared" si="50"/>
        <v>340.05673244455954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35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22.8</v>
      </c>
      <c r="N24" s="13">
        <f>IF('Données projet'!$A$36&gt;35,N23+M24-V23,IF(A24&lt;'Données projet'!$A$36,$K$205^A24,IF(A24='Données projet'!$A$36,'Données projet'!$B$36,N23+M24-V23)))</f>
        <v>151.80000000000001</v>
      </c>
      <c r="O24" s="13">
        <f>N24*VLOOKUP('Données projet'!$B$9,Paramètres!$A$1:$I$89,3,0)*VLOOKUP('Données projet'!$B$9,Paramètres!$A$1:$I$89,5,0)</f>
        <v>71.042400000000001</v>
      </c>
      <c r="P24" s="13">
        <f t="shared" si="33"/>
        <v>19.932099110622822</v>
      </c>
      <c r="Q24" s="20">
        <f t="shared" si="2"/>
        <v>158.44725261766806</v>
      </c>
      <c r="R24" s="59">
        <f t="shared" si="0"/>
        <v>451.7805859510014</v>
      </c>
      <c r="S24" s="59">
        <f ca="1">AVERAGE(OFFSET($R$3,0,0,'Données projet'!$E$9+1,1))-AVERAGE(OFFSET($H$3,0,0,'Données projet'!$E$9+1,1))</f>
        <v>342.49944586217674</v>
      </c>
      <c r="T24" s="59">
        <f t="shared" si="34"/>
        <v>282.29766600872563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1.8734253769749694</v>
      </c>
      <c r="AC24" s="22">
        <f t="shared" si="3"/>
        <v>1.8734253769749694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31.8</v>
      </c>
      <c r="AI24" s="13">
        <f>IF('Données projet'!$A$62&gt;35,AI23+AH24-AQ23,IF(A24&lt;'Données projet'!$A$62,$AF$205^A24,IF(A24='Données projet'!$A$62,'Données projet'!$B$62,AI23+AH24-AQ23)))</f>
        <v>291.79999999999995</v>
      </c>
      <c r="AJ24" s="13">
        <f>AI24*VLOOKUP('Données projet'!$B$10,Paramètres!$A$1:$I$89,3,0)*VLOOKUP('Données projet'!$B$10,Paramètres!$A$1:$I$89,5,0)</f>
        <v>163.11619999999996</v>
      </c>
      <c r="AK24" s="13">
        <f t="shared" si="35"/>
        <v>41.544592017733109</v>
      </c>
      <c r="AL24" s="20">
        <f t="shared" si="4"/>
        <v>356.4508794308851</v>
      </c>
      <c r="AM24" s="59">
        <f t="shared" si="5"/>
        <v>649.78421276421841</v>
      </c>
      <c r="AN24" s="59">
        <f ca="1">AVERAGE(OFFSET($AM$3,0,0,'Données projet'!$E$10+1,1))-AVERAGE(OFFSET($H$3,0,0,'Données projet'!$E$10+1,1))</f>
        <v>490.96084572840579</v>
      </c>
      <c r="AO24" s="59">
        <f t="shared" si="36"/>
        <v>597.91658789908263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19.244241789037325</v>
      </c>
      <c r="AX24" s="21">
        <f t="shared" si="6"/>
        <v>19.244241789037325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</v>
      </c>
      <c r="BD24" s="12">
        <f>IF('Données projet'!$A$88&gt;35,BD23+BC24-BL23,IF(A24&lt;'Données projet'!$A$88,$BA$205^A24,IF(A24='Données projet'!$A$88,'Données projet'!$B$88,BD23+BC24-BL23)))</f>
        <v>46</v>
      </c>
      <c r="BE24" s="13">
        <f>BD24*VLOOKUP('Données projet'!$B$11,Paramètres!$A$1:$I$89,3,0)*VLOOKUP('Données projet'!$B$11,Paramètres!$A$1:$I$89,5,0)</f>
        <v>36.5976</v>
      </c>
      <c r="BF24" s="13">
        <f t="shared" si="37"/>
        <v>11.092227993821965</v>
      </c>
      <c r="BG24" s="20">
        <f t="shared" si="7"/>
        <v>83.059783755906594</v>
      </c>
      <c r="BH24" s="59">
        <f t="shared" si="8"/>
        <v>376.39311708923992</v>
      </c>
      <c r="BI24" s="59">
        <f ca="1">AVERAGE(OFFSET($BH$3,0,0,'Données projet'!$E$11+1,1))-AVERAGE(OFFSET($H$3,0,0,'Données projet'!$E$11+1,1))</f>
        <v>167.80254365106839</v>
      </c>
      <c r="BJ24" s="59">
        <f t="shared" si="38"/>
        <v>167.42302164950172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21.8</v>
      </c>
      <c r="BY24" s="12">
        <f>IF('Données projet'!$A$114&gt;35,BY23+BX24-CG23,IF(A24&lt;'Données projet'!$A$114,$BV$205^A24,IF(A24='Données projet'!$A$114,'Données projet'!$B$114,BY23+BX24-CG23)))</f>
        <v>117.8</v>
      </c>
      <c r="BZ24" s="13">
        <f>BY24*VLOOKUP('Données projet'!$B$12,Paramètres!$A$1:$I$89,3,0)*VLOOKUP('Données projet'!$B$12,Paramètres!$A$1:$I$89,5,0)</f>
        <v>58.193200000000004</v>
      </c>
      <c r="CA24" s="13">
        <f t="shared" si="39"/>
        <v>16.710643553244463</v>
      </c>
      <c r="CB24" s="20">
        <f t="shared" si="10"/>
        <v>130.45752752190077</v>
      </c>
      <c r="CC24" s="59">
        <f t="shared" si="11"/>
        <v>423.79086085523409</v>
      </c>
      <c r="CD24" s="59">
        <f ca="1">AVERAGE(OFFSET($CC$3,0,0,'Données projet'!$E$12+1,1))-AVERAGE(OFFSET($H$3,0,0,'Données projet'!$E$12+1,1))</f>
        <v>322.06606384496587</v>
      </c>
      <c r="CE24" s="59">
        <f t="shared" si="40"/>
        <v>267.71713177624713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19.216666666666669</v>
      </c>
      <c r="CT24" s="12">
        <f>IF('Données projet'!$A$140&gt;35,CT23+CS24-DB23,IF(A24&lt;'Données projet'!$A$140,$CQ$205^A24,IF(A24='Données projet'!$A$140,'Données projet'!$B$140,CT23+CS24-DB23)))</f>
        <v>196.35000000000002</v>
      </c>
      <c r="CU24" s="17">
        <f>CT24*VLOOKUP('Données projet'!$B$13,Paramètres!$A$1:$I$89,3,0)*VLOOKUP('Données projet'!$B$13,Paramètres!$A$1:$I$89,5,0)</f>
        <v>122.5224</v>
      </c>
      <c r="CV24" s="13">
        <f t="shared" si="41"/>
        <v>32.26259352430629</v>
      </c>
      <c r="CW24" s="20">
        <f t="shared" si="13"/>
        <v>269.58386372150011</v>
      </c>
      <c r="CX24" s="59">
        <f t="shared" si="14"/>
        <v>562.91719705483342</v>
      </c>
      <c r="CY24" s="59">
        <f ca="1">AVERAGE(OFFSET($CX$3,0,0,'Données projet'!$E$13+1,1))-AVERAGE(OFFSET($H$3,0,0,'Données projet'!$E$13+1,1))</f>
        <v>269.77739619445515</v>
      </c>
      <c r="CZ24" s="59">
        <f t="shared" si="42"/>
        <v>347.56964743629885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38.375567729873609</v>
      </c>
      <c r="DH24" s="21">
        <f>EXP(-LN(2)/2)*DH23+(1-EXP(-LN(2)/2))/(LN(2)/2)*DB24*DE24*VLOOKUP('Données projet'!$B$13,Paramètres!$A$1:$I$89,3,0)*0.475*44/12</f>
        <v>0.56202761309249105</v>
      </c>
      <c r="DI24" s="22">
        <f t="shared" si="15"/>
        <v>38.937595342966098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21.8</v>
      </c>
      <c r="DO24" s="12">
        <f>IF('Données projet'!$A$166&gt;35,DO23+DN24-DW23,IF(A24&lt;'Données projet'!$A$166,$DL$205^A24,IF(A24='Données projet'!$A$166,'Données projet'!$B$166,DO23+DN24-DW23)))</f>
        <v>117.8</v>
      </c>
      <c r="DP24" s="17">
        <f>DO24*VLOOKUP('Données projet'!$B$14,Paramètres!$A$1:$I$89,3,0)*VLOOKUP('Données projet'!$B$14,Paramètres!$A$1:$I$89,5,0)</f>
        <v>56.661799999999999</v>
      </c>
      <c r="DQ24" s="13">
        <f t="shared" si="43"/>
        <v>16.321476084573483</v>
      </c>
      <c r="DR24" s="20">
        <f t="shared" si="16"/>
        <v>127.11253918063214</v>
      </c>
      <c r="DS24" s="59">
        <f t="shared" si="17"/>
        <v>420.44587251396547</v>
      </c>
      <c r="DT24" s="59">
        <f ca="1">AVERAGE(OFFSET($DS$3,0,0,'Données projet'!$E$14+1,1))-AVERAGE(OFFSET($H$3,0,0,'Données projet'!$E$14+1,1))</f>
        <v>312.64506496298173</v>
      </c>
      <c r="DU24" s="59">
        <f t="shared" si="44"/>
        <v>259.97532509897508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5.6</v>
      </c>
      <c r="EJ24" s="12">
        <f>IF('Données projet'!$A$192&gt;35,EJ23+EI24-ER23,IF(A24&lt;'Données projet'!$A$192,$EG$205^A24,IF(A24='Données projet'!$A$192,'Données projet'!$B$192,EJ23+EI24-ER23)))</f>
        <v>47.6</v>
      </c>
      <c r="EK24" s="17">
        <f>EJ24*VLOOKUP('Données projet'!$B$15,Paramètres!$A$1:$I$89,3,0)*VLOOKUP('Données projet'!$B$15,Paramètres!$A$1:$I$89,5,0)</f>
        <v>43.068480000000001</v>
      </c>
      <c r="EL24" s="13">
        <f t="shared" si="45"/>
        <v>12.808416415102187</v>
      </c>
      <c r="EM24" s="20">
        <f t="shared" si="19"/>
        <v>97.318927922969635</v>
      </c>
      <c r="EN24" s="59">
        <f t="shared" si="20"/>
        <v>390.65226125630295</v>
      </c>
      <c r="EO24" s="59">
        <f ca="1">AVERAGE(OFFSET($EN$3,0,0,'Données projet'!$E$15+1,1))-AVERAGE(OFFSET($H$3,0,0,'Données projet'!$E$15+1,1))</f>
        <v>269.64423257646359</v>
      </c>
      <c r="EP24" s="59">
        <f t="shared" si="46"/>
        <v>161.0819079811821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10</v>
      </c>
      <c r="FE24" s="12">
        <f>IF('Données projet'!$A$218&gt;35,FE23+FD24-FM23,IF(A24&lt;'Données projet'!$A$218,$FB$205^A24,IF(A24='Données projet'!$A$218,'Données projet'!$B$218,FE23+FD24-FM23)))</f>
        <v>100</v>
      </c>
      <c r="FF24" s="17">
        <f>FE24*VLOOKUP('Données projet'!$B$16,Paramètres!$A$1:$I$89,3,0)*VLOOKUP('Données projet'!$B$16,Paramètres!$A$1:$I$89,5,0)</f>
        <v>78</v>
      </c>
      <c r="FG24" s="13">
        <f t="shared" si="47"/>
        <v>21.647455512768612</v>
      </c>
      <c r="FH24" s="20">
        <f t="shared" si="22"/>
        <v>173.55265168473866</v>
      </c>
      <c r="FI24" s="59">
        <f t="shared" si="23"/>
        <v>466.88598501807201</v>
      </c>
      <c r="FJ24" s="59">
        <f ca="1">AVERAGE(OFFSET($FI$3,0,0,'Données projet'!$E$16+1,1))-AVERAGE(OFFSET($H$3,0,0,'Données projet'!$E$16+1,1))</f>
        <v>283.77864672734273</v>
      </c>
      <c r="FK24" s="59">
        <f t="shared" si="48"/>
        <v>270.94620935643866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14.8</v>
      </c>
      <c r="FZ24" s="12">
        <f>IF('Données projet'!$A$244&gt;35,FZ23+FY24-GH23,IF(A24&lt;'Données projet'!$A$244,$FW$205^A24,IF(A24='Données projet'!$A$244,'Données projet'!$B$244,FZ23+FY24-GH23)))</f>
        <v>81.799999999999983</v>
      </c>
      <c r="GA24" s="17">
        <f>FZ24*VLOOKUP('Données projet'!$B$17,Paramètres!$A$1:$I$89,3,0)*VLOOKUP('Données projet'!$B$17,Paramètres!$A$1:$I$89,5,0)</f>
        <v>79.116959999999978</v>
      </c>
      <c r="GB24" s="13">
        <f t="shared" si="49"/>
        <v>21.921136983197027</v>
      </c>
      <c r="GC24" s="20">
        <f t="shared" si="25"/>
        <v>175.97468557906811</v>
      </c>
      <c r="GD24" s="59">
        <f t="shared" si="26"/>
        <v>469.30801891240139</v>
      </c>
      <c r="GE24" s="59">
        <f ca="1">AVERAGE(OFFSET($GD$3,0,0,'Données projet'!$E$17+1,1))-AVERAGE(OFFSET($H$3,0,0,'Données projet'!$E$17+1,1))</f>
        <v>347.54503437087288</v>
      </c>
      <c r="GF24" s="59">
        <f t="shared" si="50"/>
        <v>340.05673244455954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22.8</v>
      </c>
      <c r="N25" s="13">
        <f>IF('Données projet'!$A$36&gt;35,N24+M25-V24,IF(A25&lt;'Données projet'!$A$36,$K$205^A25,IF(A25='Données projet'!$A$36,'Données projet'!$B$36,N24+M25-V24)))</f>
        <v>174.60000000000002</v>
      </c>
      <c r="O25" s="13">
        <f>N25*VLOOKUP('Données projet'!$B$9,Paramètres!$A$1:$I$89,3,0)*VLOOKUP('Données projet'!$B$9,Paramètres!$A$1:$I$89,5,0)</f>
        <v>81.712800000000016</v>
      </c>
      <c r="P25" s="13">
        <f t="shared" si="33"/>
        <v>22.55545490774292</v>
      </c>
      <c r="Q25" s="20">
        <f t="shared" si="2"/>
        <v>181.60054396431894</v>
      </c>
      <c r="R25" s="59">
        <f t="shared" si="0"/>
        <v>474.93387729765226</v>
      </c>
      <c r="S25" s="59">
        <f ca="1">AVERAGE(OFFSET($R$3,0,0,'Données projet'!$E$9+1,1))-AVERAGE(OFFSET($H$3,0,0,'Données projet'!$E$9+1,1))</f>
        <v>342.49944586217674</v>
      </c>
      <c r="T25" s="59">
        <f t="shared" si="34"/>
        <v>282.29766600872563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1.3247117881059651</v>
      </c>
      <c r="AC25" s="22">
        <f t="shared" si="3"/>
        <v>1.3247117881059651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31.8</v>
      </c>
      <c r="AI25" s="13">
        <f>IF('Données projet'!$A$62&gt;35,AI24+AH25-AQ24,IF(A25&lt;'Données projet'!$A$62,$AF$205^A25,IF(A25='Données projet'!$A$62,'Données projet'!$B$62,AI24+AH25-AQ24)))</f>
        <v>323.59999999999997</v>
      </c>
      <c r="AJ25" s="13">
        <f>AI25*VLOOKUP('Données projet'!$B$10,Paramètres!$A$1:$I$89,3,0)*VLOOKUP('Données projet'!$B$10,Paramètres!$A$1:$I$89,5,0)</f>
        <v>180.89240000000001</v>
      </c>
      <c r="AK25" s="13">
        <f t="shared" si="35"/>
        <v>45.520671542487669</v>
      </c>
      <c r="AL25" s="20">
        <f t="shared" si="4"/>
        <v>394.33609960316602</v>
      </c>
      <c r="AM25" s="59">
        <f t="shared" si="5"/>
        <v>687.66943293649933</v>
      </c>
      <c r="AN25" s="59">
        <f ca="1">AVERAGE(OFFSET($AM$3,0,0,'Données projet'!$E$10+1,1))-AVERAGE(OFFSET($H$3,0,0,'Données projet'!$E$10+1,1))</f>
        <v>490.96084572840579</v>
      </c>
      <c r="AO25" s="59">
        <f t="shared" si="36"/>
        <v>597.91658789908263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13.60773386782183</v>
      </c>
      <c r="AX25" s="21">
        <f t="shared" si="6"/>
        <v>13.60773386782183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</v>
      </c>
      <c r="BD25" s="12">
        <f>IF('Données projet'!$A$88&gt;35,BD24+BC25-BL24,IF(A25&lt;'Données projet'!$A$88,$BA$205^A25,IF(A25='Données projet'!$A$88,'Données projet'!$B$88,BD24+BC25-BL24)))</f>
        <v>56</v>
      </c>
      <c r="BE25" s="13">
        <f>BD25*VLOOKUP('Données projet'!$B$11,Paramètres!$A$1:$I$89,3,0)*VLOOKUP('Données projet'!$B$11,Paramètres!$A$1:$I$89,5,0)</f>
        <v>44.553600000000003</v>
      </c>
      <c r="BF25" s="13">
        <f t="shared" si="37"/>
        <v>13.197902274122358</v>
      </c>
      <c r="BG25" s="20">
        <f t="shared" si="7"/>
        <v>100.5838664607631</v>
      </c>
      <c r="BH25" s="59">
        <f t="shared" si="8"/>
        <v>393.9171997940964</v>
      </c>
      <c r="BI25" s="59">
        <f ca="1">AVERAGE(OFFSET($BH$3,0,0,'Données projet'!$E$11+1,1))-AVERAGE(OFFSET($H$3,0,0,'Données projet'!$E$11+1,1))</f>
        <v>167.80254365106839</v>
      </c>
      <c r="BJ25" s="59">
        <f t="shared" si="38"/>
        <v>167.42302164950172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21.8</v>
      </c>
      <c r="BY25" s="12">
        <f>IF('Données projet'!$A$114&gt;35,BY24+BX25-CG24,IF(A25&lt;'Données projet'!$A$114,$BV$205^A25,IF(A25='Données projet'!$A$114,'Données projet'!$B$114,BY24+BX25-CG24)))</f>
        <v>139.6</v>
      </c>
      <c r="BZ25" s="13">
        <f>BY25*VLOOKUP('Données projet'!$B$12,Paramètres!$A$1:$I$89,3,0)*VLOOKUP('Données projet'!$B$12,Paramètres!$A$1:$I$89,5,0)</f>
        <v>68.962400000000002</v>
      </c>
      <c r="CA25" s="13">
        <f t="shared" si="39"/>
        <v>19.415561394182195</v>
      </c>
      <c r="CB25" s="20">
        <f t="shared" si="10"/>
        <v>153.92494942820065</v>
      </c>
      <c r="CC25" s="59">
        <f t="shared" si="11"/>
        <v>447.25828276153396</v>
      </c>
      <c r="CD25" s="59">
        <f ca="1">AVERAGE(OFFSET($CC$3,0,0,'Données projet'!$E$12+1,1))-AVERAGE(OFFSET($H$3,0,0,'Données projet'!$E$12+1,1))</f>
        <v>322.06606384496587</v>
      </c>
      <c r="CE25" s="59">
        <f t="shared" si="40"/>
        <v>267.71713177624713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19.216666666666669</v>
      </c>
      <c r="CT25" s="12">
        <f>IF('Données projet'!$A$140&gt;35,CT24+CS25-DB24,IF(A25&lt;'Données projet'!$A$140,$CQ$205^A25,IF(A25='Données projet'!$A$140,'Données projet'!$B$140,CT24+CS25-DB24)))</f>
        <v>215.56666666666669</v>
      </c>
      <c r="CU25" s="17">
        <f>CT25*VLOOKUP('Données projet'!$B$13,Paramètres!$A$1:$I$89,3,0)*VLOOKUP('Données projet'!$B$13,Paramètres!$A$1:$I$89,5,0)</f>
        <v>134.51360000000003</v>
      </c>
      <c r="CV25" s="13">
        <f t="shared" si="41"/>
        <v>35.037238995886284</v>
      </c>
      <c r="CW25" s="20">
        <f t="shared" si="13"/>
        <v>295.30104458450194</v>
      </c>
      <c r="CX25" s="59">
        <f t="shared" si="14"/>
        <v>588.63437791783531</v>
      </c>
      <c r="CY25" s="59">
        <f ca="1">AVERAGE(OFFSET($CX$3,0,0,'Données projet'!$E$13+1,1))-AVERAGE(OFFSET($H$3,0,0,'Données projet'!$E$13+1,1))</f>
        <v>269.77739619445515</v>
      </c>
      <c r="CZ25" s="59">
        <f t="shared" si="42"/>
        <v>347.56964743629885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37.326185812216814</v>
      </c>
      <c r="DH25" s="21">
        <f>EXP(-LN(2)/2)*DH24+(1-EXP(-LN(2)/2))/(LN(2)/2)*DB25*DE25*VLOOKUP('Données projet'!$B$13,Paramètres!$A$1:$I$89,3,0)*0.475*44/12</f>
        <v>0.39741353643178967</v>
      </c>
      <c r="DI25" s="22">
        <f t="shared" si="15"/>
        <v>37.723599348648605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21.8</v>
      </c>
      <c r="DO25" s="12">
        <f>IF('Données projet'!$A$166&gt;35,DO24+DN25-DW24,IF(A25&lt;'Données projet'!$A$166,$DL$205^A25,IF(A25='Données projet'!$A$166,'Données projet'!$B$166,DO24+DN25-DW24)))</f>
        <v>139.6</v>
      </c>
      <c r="DP25" s="17">
        <f>DO25*VLOOKUP('Données projet'!$B$14,Paramètres!$A$1:$I$89,3,0)*VLOOKUP('Données projet'!$B$14,Paramètres!$A$1:$I$89,5,0)</f>
        <v>67.147599999999997</v>
      </c>
      <c r="DQ25" s="13">
        <f t="shared" si="43"/>
        <v>18.963400179892353</v>
      </c>
      <c r="DR25" s="20">
        <f t="shared" si="16"/>
        <v>149.97665864664586</v>
      </c>
      <c r="DS25" s="59">
        <f t="shared" si="17"/>
        <v>443.30999197997915</v>
      </c>
      <c r="DT25" s="59">
        <f ca="1">AVERAGE(OFFSET($DS$3,0,0,'Données projet'!$E$14+1,1))-AVERAGE(OFFSET($H$3,0,0,'Données projet'!$E$14+1,1))</f>
        <v>312.64506496298173</v>
      </c>
      <c r="DU25" s="59">
        <f t="shared" si="44"/>
        <v>259.97532509897508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5.6</v>
      </c>
      <c r="EJ25" s="12">
        <f>IF('Données projet'!$A$192&gt;35,EJ24+EI25-ER24,IF(A25&lt;'Données projet'!$A$192,$EG$205^A25,IF(A25='Données projet'!$A$192,'Données projet'!$B$192,EJ24+EI25-ER24)))</f>
        <v>53.2</v>
      </c>
      <c r="EK25" s="17">
        <f>EJ25*VLOOKUP('Données projet'!$B$15,Paramètres!$A$1:$I$89,3,0)*VLOOKUP('Données projet'!$B$15,Paramètres!$A$1:$I$89,5,0)</f>
        <v>48.135359999999999</v>
      </c>
      <c r="EL25" s="13">
        <f t="shared" si="45"/>
        <v>14.131148275361113</v>
      </c>
      <c r="EM25" s="20">
        <f t="shared" si="19"/>
        <v>108.4475019129206</v>
      </c>
      <c r="EN25" s="59">
        <f t="shared" si="20"/>
        <v>401.7808352462539</v>
      </c>
      <c r="EO25" s="59">
        <f ca="1">AVERAGE(OFFSET($EN$3,0,0,'Données projet'!$E$15+1,1))-AVERAGE(OFFSET($H$3,0,0,'Données projet'!$E$15+1,1))</f>
        <v>269.64423257646359</v>
      </c>
      <c r="EP25" s="59">
        <f t="shared" si="46"/>
        <v>161.0819079811821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10</v>
      </c>
      <c r="FE25" s="12">
        <f>IF('Données projet'!$A$218&gt;35,FE24+FD25-FM24,IF(A25&lt;'Données projet'!$A$218,$FB$205^A25,IF(A25='Données projet'!$A$218,'Données projet'!$B$218,FE24+FD25-FM24)))</f>
        <v>110</v>
      </c>
      <c r="FF25" s="17">
        <f>FE25*VLOOKUP('Données projet'!$B$16,Paramètres!$A$1:$I$89,3,0)*VLOOKUP('Données projet'!$B$16,Paramètres!$A$1:$I$89,5,0)</f>
        <v>85.8</v>
      </c>
      <c r="FG25" s="13">
        <f t="shared" si="47"/>
        <v>23.549485995669766</v>
      </c>
      <c r="FH25" s="20">
        <f t="shared" si="22"/>
        <v>190.45035477579151</v>
      </c>
      <c r="FI25" s="59">
        <f t="shared" si="23"/>
        <v>483.7836881091248</v>
      </c>
      <c r="FJ25" s="59">
        <f ca="1">AVERAGE(OFFSET($FI$3,0,0,'Données projet'!$E$16+1,1))-AVERAGE(OFFSET($H$3,0,0,'Données projet'!$E$16+1,1))</f>
        <v>283.77864672734273</v>
      </c>
      <c r="FK25" s="59">
        <f t="shared" si="48"/>
        <v>270.94620935643866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14.8</v>
      </c>
      <c r="FZ25" s="12">
        <f>IF('Données projet'!$A$244&gt;35,FZ24+FY25-GH24,IF(A25&lt;'Données projet'!$A$244,$FW$205^A25,IF(A25='Données projet'!$A$244,'Données projet'!$B$244,FZ24+FY25-GH24)))</f>
        <v>96.59999999999998</v>
      </c>
      <c r="GA25" s="17">
        <f>FZ25*VLOOKUP('Données projet'!$B$17,Paramètres!$A$1:$I$89,3,0)*VLOOKUP('Données projet'!$B$17,Paramètres!$A$1:$I$89,5,0)</f>
        <v>93.431519999999992</v>
      </c>
      <c r="GB25" s="13">
        <f t="shared" si="49"/>
        <v>25.391014045496377</v>
      </c>
      <c r="GC25" s="20">
        <f t="shared" si="25"/>
        <v>206.94924679590613</v>
      </c>
      <c r="GD25" s="59">
        <f t="shared" si="26"/>
        <v>500.28258012923948</v>
      </c>
      <c r="GE25" s="59">
        <f ca="1">AVERAGE(OFFSET($GD$3,0,0,'Données projet'!$E$17+1,1))-AVERAGE(OFFSET($H$3,0,0,'Données projet'!$E$17+1,1))</f>
        <v>347.54503437087288</v>
      </c>
      <c r="GF25" s="59">
        <f t="shared" si="50"/>
        <v>340.05673244455954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22.8</v>
      </c>
      <c r="N26" s="13">
        <f>IF('Données projet'!$A$36&gt;35,N25+M26-V25,IF(A26&lt;'Données projet'!$A$36,$K$205^A26,IF(A26='Données projet'!$A$36,'Données projet'!$B$36,N25+M26-V25)))</f>
        <v>197.40000000000003</v>
      </c>
      <c r="O26" s="13">
        <f>N26*VLOOKUP('Données projet'!$B$9,Paramètres!$A$1:$I$89,3,0)*VLOOKUP('Données projet'!$B$9,Paramètres!$A$1:$I$89,5,0)</f>
        <v>92.383200000000016</v>
      </c>
      <c r="P26" s="13">
        <f t="shared" si="33"/>
        <v>25.13911825557507</v>
      </c>
      <c r="Q26" s="20">
        <f t="shared" si="2"/>
        <v>204.68470429512661</v>
      </c>
      <c r="R26" s="59">
        <f t="shared" si="0"/>
        <v>498.01803762845992</v>
      </c>
      <c r="S26" s="59">
        <f ca="1">AVERAGE(OFFSET($R$3,0,0,'Données projet'!$E$9+1,1))-AVERAGE(OFFSET($H$3,0,0,'Données projet'!$E$9+1,1))</f>
        <v>342.49944586217674</v>
      </c>
      <c r="T26" s="59">
        <f t="shared" si="34"/>
        <v>282.29766600872563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0.9367126884874849</v>
      </c>
      <c r="AC26" s="22">
        <f t="shared" si="3"/>
        <v>0.9367126884874849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31.8</v>
      </c>
      <c r="AI26" s="13">
        <f>IF('Données projet'!$A$62&gt;35,AI25+AH26-AQ25,IF(A26&lt;'Données projet'!$A$62,$AF$205^A26,IF(A26='Données projet'!$A$62,'Données projet'!$B$62,AI25+AH26-AQ25)))</f>
        <v>355.4</v>
      </c>
      <c r="AJ26" s="13">
        <f>AI26*VLOOKUP('Données projet'!$B$10,Paramètres!$A$1:$I$89,3,0)*VLOOKUP('Données projet'!$B$10,Paramètres!$A$1:$I$89,5,0)</f>
        <v>198.66859999999997</v>
      </c>
      <c r="AK26" s="13">
        <f t="shared" si="35"/>
        <v>49.451452656287465</v>
      </c>
      <c r="AL26" s="20">
        <f t="shared" si="4"/>
        <v>432.14242504303394</v>
      </c>
      <c r="AM26" s="59">
        <f t="shared" si="5"/>
        <v>725.47575837636725</v>
      </c>
      <c r="AN26" s="59">
        <f ca="1">AVERAGE(OFFSET($AM$3,0,0,'Données projet'!$E$10+1,1))-AVERAGE(OFFSET($H$3,0,0,'Données projet'!$E$10+1,1))</f>
        <v>490.96084572840579</v>
      </c>
      <c r="AO26" s="59">
        <f t="shared" si="36"/>
        <v>597.91658789908263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9.6221208945186643</v>
      </c>
      <c r="AX26" s="21">
        <f t="shared" si="6"/>
        <v>9.6221208945186643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</v>
      </c>
      <c r="BD26" s="12">
        <f>IF('Données projet'!$A$88&gt;35,BD25+BC26-BL25,IF(A26&lt;'Données projet'!$A$88,$BA$205^A26,IF(A26='Données projet'!$A$88,'Données projet'!$B$88,BD25+BC26-BL25)))</f>
        <v>66</v>
      </c>
      <c r="BE26" s="13">
        <f>BD26*VLOOKUP('Données projet'!$B$11,Paramètres!$A$1:$I$89,3,0)*VLOOKUP('Données projet'!$B$11,Paramètres!$A$1:$I$89,5,0)</f>
        <v>52.509600000000006</v>
      </c>
      <c r="BF26" s="13">
        <f t="shared" si="37"/>
        <v>15.260016001659478</v>
      </c>
      <c r="BG26" s="20">
        <f t="shared" si="7"/>
        <v>118.03208120289027</v>
      </c>
      <c r="BH26" s="59">
        <f t="shared" si="8"/>
        <v>411.36541453622357</v>
      </c>
      <c r="BI26" s="59">
        <f ca="1">AVERAGE(OFFSET($BH$3,0,0,'Données projet'!$E$11+1,1))-AVERAGE(OFFSET($H$3,0,0,'Données projet'!$E$11+1,1))</f>
        <v>167.80254365106839</v>
      </c>
      <c r="BJ26" s="59">
        <f t="shared" si="38"/>
        <v>167.42302164950172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21.8</v>
      </c>
      <c r="BY26" s="12">
        <f>IF('Données projet'!$A$114&gt;35,BY25+BX26-CG25,IF(A26&lt;'Données projet'!$A$114,$BV$205^A26,IF(A26='Données projet'!$A$114,'Données projet'!$B$114,BY25+BX26-CG25)))</f>
        <v>161.4</v>
      </c>
      <c r="BZ26" s="13">
        <f>BY26*VLOOKUP('Données projet'!$B$12,Paramètres!$A$1:$I$89,3,0)*VLOOKUP('Données projet'!$B$12,Paramètres!$A$1:$I$89,5,0)</f>
        <v>79.7316</v>
      </c>
      <c r="CA26" s="13">
        <f t="shared" si="39"/>
        <v>22.071546103261827</v>
      </c>
      <c r="CB26" s="20">
        <f t="shared" si="10"/>
        <v>177.30714612984767</v>
      </c>
      <c r="CC26" s="59">
        <f t="shared" si="11"/>
        <v>470.64047946318101</v>
      </c>
      <c r="CD26" s="59">
        <f ca="1">AVERAGE(OFFSET($CC$3,0,0,'Données projet'!$E$12+1,1))-AVERAGE(OFFSET($H$3,0,0,'Données projet'!$E$12+1,1))</f>
        <v>322.06606384496587</v>
      </c>
      <c r="CE26" s="59">
        <f t="shared" si="40"/>
        <v>267.71713177624713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19.216666666666669</v>
      </c>
      <c r="CT26" s="12">
        <f>IF('Données projet'!$A$140&gt;35,CT25+CS26-DB25,IF(A26&lt;'Données projet'!$A$140,$CQ$205^A26,IF(A26='Données projet'!$A$140,'Données projet'!$B$140,CT25+CS26-DB25)))</f>
        <v>234.78333333333336</v>
      </c>
      <c r="CU26" s="17">
        <f>CT26*VLOOKUP('Données projet'!$B$13,Paramètres!$A$1:$I$89,3,0)*VLOOKUP('Données projet'!$B$13,Paramètres!$A$1:$I$89,5,0)</f>
        <v>146.50480000000002</v>
      </c>
      <c r="CV26" s="13">
        <f t="shared" si="41"/>
        <v>37.783202245862846</v>
      </c>
      <c r="CW26" s="20">
        <f t="shared" si="13"/>
        <v>320.9682705782111</v>
      </c>
      <c r="CX26" s="59">
        <f t="shared" si="14"/>
        <v>614.30160391154436</v>
      </c>
      <c r="CY26" s="59">
        <f ca="1">AVERAGE(OFFSET($CX$3,0,0,'Données projet'!$E$13+1,1))-AVERAGE(OFFSET($H$3,0,0,'Données projet'!$E$13+1,1))</f>
        <v>269.77739619445515</v>
      </c>
      <c r="CZ26" s="59">
        <f t="shared" si="42"/>
        <v>347.56964743629885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36.305499298282946</v>
      </c>
      <c r="DH26" s="21">
        <f>EXP(-LN(2)/2)*DH25+(1-EXP(-LN(2)/2))/(LN(2)/2)*DB26*DE26*VLOOKUP('Données projet'!$B$13,Paramètres!$A$1:$I$89,3,0)*0.475*44/12</f>
        <v>0.28101380654624553</v>
      </c>
      <c r="DI26" s="22">
        <f t="shared" si="15"/>
        <v>36.586513104829194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21.8</v>
      </c>
      <c r="DO26" s="12">
        <f>IF('Données projet'!$A$166&gt;35,DO25+DN26-DW25,IF(A26&lt;'Données projet'!$A$166,$DL$205^A26,IF(A26='Données projet'!$A$166,'Données projet'!$B$166,DO25+DN26-DW25)))</f>
        <v>161.4</v>
      </c>
      <c r="DP26" s="17">
        <f>DO26*VLOOKUP('Données projet'!$B$14,Paramètres!$A$1:$I$89,3,0)*VLOOKUP('Données projet'!$B$14,Paramètres!$A$1:$I$89,5,0)</f>
        <v>77.633400000000009</v>
      </c>
      <c r="DQ26" s="13">
        <f t="shared" si="43"/>
        <v>21.557530727415145</v>
      </c>
      <c r="DR26" s="20">
        <f t="shared" si="16"/>
        <v>172.75753768358138</v>
      </c>
      <c r="DS26" s="59">
        <f t="shared" si="17"/>
        <v>466.09087101691466</v>
      </c>
      <c r="DT26" s="59">
        <f ca="1">AVERAGE(OFFSET($DS$3,0,0,'Données projet'!$E$14+1,1))-AVERAGE(OFFSET($H$3,0,0,'Données projet'!$E$14+1,1))</f>
        <v>312.64506496298173</v>
      </c>
      <c r="DU26" s="59">
        <f t="shared" si="44"/>
        <v>259.97532509897508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5.6</v>
      </c>
      <c r="EJ26" s="12">
        <f>IF('Données projet'!$A$192&gt;35,EJ25+EI26-ER25,IF(A26&lt;'Données projet'!$A$192,$EG$205^A26,IF(A26='Données projet'!$A$192,'Données projet'!$B$192,EJ25+EI26-ER25)))</f>
        <v>58.800000000000004</v>
      </c>
      <c r="EK26" s="17">
        <f>EJ26*VLOOKUP('Données projet'!$B$15,Paramètres!$A$1:$I$89,3,0)*VLOOKUP('Données projet'!$B$15,Paramètres!$A$1:$I$89,5,0)</f>
        <v>53.202240000000003</v>
      </c>
      <c r="EL26" s="13">
        <f t="shared" si="45"/>
        <v>15.437740642425908</v>
      </c>
      <c r="EM26" s="20">
        <f t="shared" si="19"/>
        <v>119.54796628555846</v>
      </c>
      <c r="EN26" s="59">
        <f t="shared" si="20"/>
        <v>412.88129961889177</v>
      </c>
      <c r="EO26" s="59">
        <f ca="1">AVERAGE(OFFSET($EN$3,0,0,'Données projet'!$E$15+1,1))-AVERAGE(OFFSET($H$3,0,0,'Données projet'!$E$15+1,1))</f>
        <v>269.64423257646359</v>
      </c>
      <c r="EP26" s="59">
        <f t="shared" si="46"/>
        <v>161.0819079811821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10</v>
      </c>
      <c r="FE26" s="12">
        <f>IF('Données projet'!$A$218&gt;35,FE25+FD26-FM25,IF(A26&lt;'Données projet'!$A$218,$FB$205^A26,IF(A26='Données projet'!$A$218,'Données projet'!$B$218,FE25+FD26-FM25)))</f>
        <v>120</v>
      </c>
      <c r="FF26" s="17">
        <f>FE26*VLOOKUP('Données projet'!$B$16,Paramètres!$A$1:$I$89,3,0)*VLOOKUP('Données projet'!$B$16,Paramètres!$A$1:$I$89,5,0)</f>
        <v>93.600000000000009</v>
      </c>
      <c r="FG26" s="13">
        <f t="shared" si="47"/>
        <v>25.431466524572937</v>
      </c>
      <c r="FH26" s="20">
        <f t="shared" si="22"/>
        <v>207.31313753029789</v>
      </c>
      <c r="FI26" s="59">
        <f t="shared" si="23"/>
        <v>500.64647086363118</v>
      </c>
      <c r="FJ26" s="59">
        <f ca="1">AVERAGE(OFFSET($FI$3,0,0,'Données projet'!$E$16+1,1))-AVERAGE(OFFSET($H$3,0,0,'Données projet'!$E$16+1,1))</f>
        <v>283.77864672734273</v>
      </c>
      <c r="FK26" s="59">
        <f t="shared" si="48"/>
        <v>270.94620935643866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14.8</v>
      </c>
      <c r="FZ26" s="12">
        <f>IF('Données projet'!$A$244&gt;35,FZ25+FY26-GH25,IF(A26&lt;'Données projet'!$A$244,$FW$205^A26,IF(A26='Données projet'!$A$244,'Données projet'!$B$244,FZ25+FY26-GH25)))</f>
        <v>111.39999999999998</v>
      </c>
      <c r="GA26" s="17">
        <f>FZ26*VLOOKUP('Données projet'!$B$17,Paramètres!$A$1:$I$89,3,0)*VLOOKUP('Données projet'!$B$17,Paramètres!$A$1:$I$89,5,0)</f>
        <v>107.74607999999998</v>
      </c>
      <c r="GB26" s="13">
        <f t="shared" si="49"/>
        <v>28.799305277051602</v>
      </c>
      <c r="GC26" s="20">
        <f t="shared" si="25"/>
        <v>237.81654602419815</v>
      </c>
      <c r="GD26" s="59">
        <f t="shared" si="26"/>
        <v>531.14987935753152</v>
      </c>
      <c r="GE26" s="59">
        <f ca="1">AVERAGE(OFFSET($GD$3,0,0,'Données projet'!$E$17+1,1))-AVERAGE(OFFSET($H$3,0,0,'Données projet'!$E$17+1,1))</f>
        <v>347.54503437087288</v>
      </c>
      <c r="GF26" s="59">
        <f t="shared" si="50"/>
        <v>340.05673244455954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22.8</v>
      </c>
      <c r="N27" s="13">
        <f>IF('Données projet'!$A$36&gt;35,N26+M27-V26,IF(A27&lt;'Données projet'!$A$36,$K$205^A27,IF(A27='Données projet'!$A$36,'Données projet'!$B$36,N26+M27-V26)))</f>
        <v>220.20000000000005</v>
      </c>
      <c r="O27" s="13">
        <f>N27*VLOOKUP('Données projet'!$B$9,Paramètres!$A$1:$I$89,3,0)*VLOOKUP('Données projet'!$B$9,Paramètres!$A$1:$I$89,5,0)</f>
        <v>103.05360000000003</v>
      </c>
      <c r="P27" s="13">
        <f t="shared" si="33"/>
        <v>27.68819722821187</v>
      </c>
      <c r="Q27" s="20">
        <f t="shared" si="2"/>
        <v>227.70863017246904</v>
      </c>
      <c r="R27" s="59">
        <f t="shared" si="0"/>
        <v>521.04196350580241</v>
      </c>
      <c r="S27" s="59">
        <f ca="1">AVERAGE(OFFSET($R$3,0,0,'Données projet'!$E$9+1,1))-AVERAGE(OFFSET($H$3,0,0,'Données projet'!$E$9+1,1))</f>
        <v>342.49944586217674</v>
      </c>
      <c r="T27" s="59">
        <f t="shared" si="34"/>
        <v>282.29766600872563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0.66235589405298267</v>
      </c>
      <c r="AC27" s="22">
        <f t="shared" si="3"/>
        <v>0.66235589405298267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31.8</v>
      </c>
      <c r="AI27" s="13">
        <f>IF('Données projet'!$A$62&gt;35,AI26+AH27-AQ26,IF(A27&lt;'Données projet'!$A$62,$AF$205^A27,IF(A27='Données projet'!$A$62,'Données projet'!$B$62,AI26+AH27-AQ26)))</f>
        <v>387.2</v>
      </c>
      <c r="AJ27" s="13">
        <f>AI27*VLOOKUP('Données projet'!$B$10,Paramètres!$A$1:$I$89,3,0)*VLOOKUP('Données projet'!$B$10,Paramètres!$A$1:$I$89,5,0)</f>
        <v>216.44479999999999</v>
      </c>
      <c r="AK27" s="13">
        <f t="shared" si="35"/>
        <v>53.341449419561528</v>
      </c>
      <c r="AL27" s="20">
        <f t="shared" si="4"/>
        <v>469.87771773906962</v>
      </c>
      <c r="AM27" s="59">
        <f t="shared" si="5"/>
        <v>763.21105107240294</v>
      </c>
      <c r="AN27" s="59">
        <f ca="1">AVERAGE(OFFSET($AM$3,0,0,'Données projet'!$E$10+1,1))-AVERAGE(OFFSET($H$3,0,0,'Données projet'!$E$10+1,1))</f>
        <v>490.96084572840579</v>
      </c>
      <c r="AO27" s="59">
        <f t="shared" si="36"/>
        <v>597.91658789908263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6.8038669339109168</v>
      </c>
      <c r="AX27" s="21">
        <f t="shared" si="6"/>
        <v>6.8038669339109168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</v>
      </c>
      <c r="BD27" s="12">
        <f>IF('Données projet'!$A$88&gt;35,BD26+BC27-BL26,IF(A27&lt;'Données projet'!$A$88,$BA$205^A27,IF(A27='Données projet'!$A$88,'Données projet'!$B$88,BD26+BC27-BL26)))</f>
        <v>76</v>
      </c>
      <c r="BE27" s="13">
        <f>BD27*VLOOKUP('Données projet'!$B$11,Paramètres!$A$1:$I$89,3,0)*VLOOKUP('Données projet'!$B$11,Paramètres!$A$1:$I$89,5,0)</f>
        <v>60.465600000000002</v>
      </c>
      <c r="BF27" s="13">
        <f t="shared" si="37"/>
        <v>17.28593428824821</v>
      </c>
      <c r="BG27" s="20">
        <f t="shared" si="7"/>
        <v>135.41725555203229</v>
      </c>
      <c r="BH27" s="59">
        <f t="shared" si="8"/>
        <v>428.75058888536557</v>
      </c>
      <c r="BI27" s="59">
        <f ca="1">AVERAGE(OFFSET($BH$3,0,0,'Données projet'!$E$11+1,1))-AVERAGE(OFFSET($H$3,0,0,'Données projet'!$E$11+1,1))</f>
        <v>167.80254365106839</v>
      </c>
      <c r="BJ27" s="59">
        <f t="shared" si="38"/>
        <v>167.42302164950172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21.8</v>
      </c>
      <c r="BY27" s="12">
        <f>IF('Données projet'!$A$114&gt;35,BY26+BX27-CG26,IF(A27&lt;'Données projet'!$A$114,$BV$205^A27,IF(A27='Données projet'!$A$114,'Données projet'!$B$114,BY26+BX27-CG26)))</f>
        <v>183.20000000000002</v>
      </c>
      <c r="BZ27" s="13">
        <f>BY27*VLOOKUP('Données projet'!$B$12,Paramètres!$A$1:$I$89,3,0)*VLOOKUP('Données projet'!$B$12,Paramètres!$A$1:$I$89,5,0)</f>
        <v>90.500800000000027</v>
      </c>
      <c r="CA27" s="13">
        <f t="shared" si="39"/>
        <v>24.685966860454236</v>
      </c>
      <c r="CB27" s="20">
        <f t="shared" si="10"/>
        <v>200.61695228195785</v>
      </c>
      <c r="CC27" s="59">
        <f t="shared" si="11"/>
        <v>493.95028561529114</v>
      </c>
      <c r="CD27" s="59">
        <f ca="1">AVERAGE(OFFSET($CC$3,0,0,'Données projet'!$E$12+1,1))-AVERAGE(OFFSET($H$3,0,0,'Données projet'!$E$12+1,1))</f>
        <v>322.06606384496587</v>
      </c>
      <c r="CE27" s="59">
        <f t="shared" si="40"/>
        <v>267.71713177624713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>
        <f>VLOOKUP(A27,'Données projet'!$A$139:$I$159,2,0)</f>
        <v>254</v>
      </c>
      <c r="CR27" s="12">
        <f>VLOOKUP(A27,'Données projet'!$A$139:$I$159,9,0)</f>
        <v>19.216666666666669</v>
      </c>
      <c r="CS27" s="12">
        <f t="array" ref="CS27">INDEX(CR:CR,MIN(IF(ISNUMBER(CR27:CR223),ROW(CR27:CR223),"")))</f>
        <v>19.216666666666669</v>
      </c>
      <c r="CT27" s="12">
        <f>IF('Données projet'!$A$140&gt;35,CT26+CS27-DB26,IF(A27&lt;'Données projet'!$A$140,$CQ$205^A27,IF(A27='Données projet'!$A$140,'Données projet'!$B$140,CT26+CS27-DB26)))</f>
        <v>254.00000000000003</v>
      </c>
      <c r="CU27" s="17">
        <f>CT27*VLOOKUP('Données projet'!$B$13,Paramètres!$A$1:$I$89,3,0)*VLOOKUP('Données projet'!$B$13,Paramètres!$A$1:$I$89,5,0)</f>
        <v>158.49600000000004</v>
      </c>
      <c r="CV27" s="13">
        <f t="shared" si="41"/>
        <v>40.503097769376929</v>
      </c>
      <c r="CW27" s="20">
        <f t="shared" si="13"/>
        <v>346.59009528166484</v>
      </c>
      <c r="CX27" s="59">
        <f t="shared" si="14"/>
        <v>639.9234286149981</v>
      </c>
      <c r="CY27" s="59">
        <f ca="1">AVERAGE(OFFSET($CX$3,0,0,'Données projet'!$E$13+1,1))-AVERAGE(OFFSET($H$3,0,0,'Données projet'!$E$13+1,1))</f>
        <v>269.77739619445515</v>
      </c>
      <c r="CZ27" s="59">
        <f t="shared" si="42"/>
        <v>347.56964743629885</v>
      </c>
      <c r="DA27" s="15">
        <f>IF(ISNA(VLOOKUP(A27,'Données projet'!$A$139:$I$159,3,0)),0,VLOOKUP(A27,'Données projet'!$A$139:$I$159,3,0))</f>
        <v>3</v>
      </c>
      <c r="DB27" s="15">
        <f>IF(ISNA(VLOOKUP(A27,'Données projet'!$A$139:$I$159,4,0)),0,VLOOKUP(A27,'Données projet'!$A$139:$I$159,4,0))</f>
        <v>73.7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0.6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71.77286303125355</v>
      </c>
      <c r="DH27" s="21">
        <f>EXP(-LN(2)/2)*DH26+(1-EXP(-LN(2)/2))/(LN(2)/2)*DB27*DE27*VLOOKUP('Données projet'!$B$13,Paramètres!$A$1:$I$89,3,0)*0.475*44/12</f>
        <v>0.19870676821589484</v>
      </c>
      <c r="DI27" s="22">
        <f t="shared" si="15"/>
        <v>71.971569799469449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21.8</v>
      </c>
      <c r="DO27" s="12">
        <f>IF('Données projet'!$A$166&gt;35,DO26+DN27-DW26,IF(A27&lt;'Données projet'!$A$166,$DL$205^A27,IF(A27='Données projet'!$A$166,'Données projet'!$B$166,DO26+DN27-DW26)))</f>
        <v>183.20000000000002</v>
      </c>
      <c r="DP27" s="17">
        <f>DO27*VLOOKUP('Données projet'!$B$14,Paramètres!$A$1:$I$89,3,0)*VLOOKUP('Données projet'!$B$14,Paramètres!$A$1:$I$89,5,0)</f>
        <v>88.119200000000006</v>
      </c>
      <c r="DQ27" s="13">
        <f t="shared" si="43"/>
        <v>24.111065289238994</v>
      </c>
      <c r="DR27" s="20">
        <f t="shared" si="16"/>
        <v>195.46771204542458</v>
      </c>
      <c r="DS27" s="59">
        <f t="shared" si="17"/>
        <v>488.80104537875786</v>
      </c>
      <c r="DT27" s="59">
        <f ca="1">AVERAGE(OFFSET($DS$3,0,0,'Données projet'!$E$14+1,1))-AVERAGE(OFFSET($H$3,0,0,'Données projet'!$E$14+1,1))</f>
        <v>312.64506496298173</v>
      </c>
      <c r="DU27" s="59">
        <f t="shared" si="44"/>
        <v>259.97532509897508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5.6</v>
      </c>
      <c r="EJ27" s="12">
        <f>IF('Données projet'!$A$192&gt;35,EJ26+EI27-ER26,IF(A27&lt;'Données projet'!$A$192,$EG$205^A27,IF(A27='Données projet'!$A$192,'Données projet'!$B$192,EJ26+EI27-ER26)))</f>
        <v>64.400000000000006</v>
      </c>
      <c r="EK27" s="17">
        <f>EJ27*VLOOKUP('Données projet'!$B$15,Paramètres!$A$1:$I$89,3,0)*VLOOKUP('Données projet'!$B$15,Paramètres!$A$1:$I$89,5,0)</f>
        <v>58.269120000000008</v>
      </c>
      <c r="EL27" s="13">
        <f t="shared" si="45"/>
        <v>16.729905486873804</v>
      </c>
      <c r="EM27" s="20">
        <f t="shared" si="19"/>
        <v>130.62330272297189</v>
      </c>
      <c r="EN27" s="59">
        <f t="shared" si="20"/>
        <v>423.95663605630523</v>
      </c>
      <c r="EO27" s="59">
        <f ca="1">AVERAGE(OFFSET($EN$3,0,0,'Données projet'!$E$15+1,1))-AVERAGE(OFFSET($H$3,0,0,'Données projet'!$E$15+1,1))</f>
        <v>269.64423257646359</v>
      </c>
      <c r="EP27" s="59">
        <f t="shared" si="46"/>
        <v>161.0819079811821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10</v>
      </c>
      <c r="FE27" s="12">
        <f>IF('Données projet'!$A$218&gt;35,FE26+FD27-FM26,IF(A27&lt;'Données projet'!$A$218,$FB$205^A27,IF(A27='Données projet'!$A$218,'Données projet'!$B$218,FE26+FD27-FM26)))</f>
        <v>130</v>
      </c>
      <c r="FF27" s="17">
        <f>FE27*VLOOKUP('Données projet'!$B$16,Paramètres!$A$1:$I$89,3,0)*VLOOKUP('Données projet'!$B$16,Paramètres!$A$1:$I$89,5,0)</f>
        <v>101.4</v>
      </c>
      <c r="FG27" s="13">
        <f t="shared" si="47"/>
        <v>27.295257887453797</v>
      </c>
      <c r="FH27" s="20">
        <f t="shared" si="22"/>
        <v>224.14424082064872</v>
      </c>
      <c r="FI27" s="59">
        <f t="shared" si="23"/>
        <v>517.477574153982</v>
      </c>
      <c r="FJ27" s="59">
        <f ca="1">AVERAGE(OFFSET($FI$3,0,0,'Données projet'!$E$16+1,1))-AVERAGE(OFFSET($H$3,0,0,'Données projet'!$E$16+1,1))</f>
        <v>283.77864672734273</v>
      </c>
      <c r="FK27" s="59">
        <f t="shared" si="48"/>
        <v>270.94620935643866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14.8</v>
      </c>
      <c r="FZ27" s="12">
        <f>IF('Données projet'!$A$244&gt;35,FZ26+FY27-GH26,IF(A27&lt;'Données projet'!$A$244,$FW$205^A27,IF(A27='Données projet'!$A$244,'Données projet'!$B$244,FZ26+FY27-GH26)))</f>
        <v>126.19999999999997</v>
      </c>
      <c r="GA27" s="17">
        <f>FZ27*VLOOKUP('Données projet'!$B$17,Paramètres!$A$1:$I$89,3,0)*VLOOKUP('Données projet'!$B$17,Paramètres!$A$1:$I$89,5,0)</f>
        <v>122.06063999999998</v>
      </c>
      <c r="GB27" s="13">
        <f t="shared" si="49"/>
        <v>32.155132449328661</v>
      </c>
      <c r="GC27" s="20">
        <f t="shared" si="25"/>
        <v>268.59247034924738</v>
      </c>
      <c r="GD27" s="59">
        <f t="shared" si="26"/>
        <v>561.92580368258064</v>
      </c>
      <c r="GE27" s="59">
        <f ca="1">AVERAGE(OFFSET($GD$3,0,0,'Données projet'!$E$17+1,1))-AVERAGE(OFFSET($H$3,0,0,'Données projet'!$E$17+1,1))</f>
        <v>347.54503437087288</v>
      </c>
      <c r="GF27" s="59">
        <f t="shared" si="50"/>
        <v>340.05673244455954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243</v>
      </c>
      <c r="L28" s="12">
        <f>VLOOKUP(A28,'Données projet'!$A$35:$I$55,9,0)</f>
        <v>22.8</v>
      </c>
      <c r="M28" s="12">
        <f t="array" ref="M28">INDEX(L:L,MIN(IF(ISNUMBER(L28:L224),ROW(L28:L224),"")))</f>
        <v>22.8</v>
      </c>
      <c r="N28" s="13">
        <f>IF('Données projet'!$A$36&gt;35,N27+M28-V27,IF(A28&lt;'Données projet'!$A$36,$K$205^A28,IF(A28='Données projet'!$A$36,'Données projet'!$B$36,N27+M28-V27)))</f>
        <v>243.00000000000006</v>
      </c>
      <c r="O28" s="13">
        <f>N28*VLOOKUP('Données projet'!$B$9,Paramètres!$A$1:$I$89,3,0)*VLOOKUP('Données projet'!$B$9,Paramètres!$A$1:$I$89,5,0)</f>
        <v>113.72400000000003</v>
      </c>
      <c r="P28" s="13">
        <f t="shared" si="33"/>
        <v>30.206680638130518</v>
      </c>
      <c r="Q28" s="20">
        <f t="shared" si="2"/>
        <v>250.67926877807736</v>
      </c>
      <c r="R28" s="59">
        <f t="shared" si="0"/>
        <v>544.01260211141062</v>
      </c>
      <c r="S28" s="59">
        <f ca="1">AVERAGE(OFFSET($R$3,0,0,'Données projet'!$E$9+1,1))-AVERAGE(OFFSET($H$3,0,0,'Données projet'!$E$9+1,1))</f>
        <v>342.49944586217674</v>
      </c>
      <c r="T28" s="59">
        <f t="shared" si="34"/>
        <v>282.29766600872563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63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21.427134233132822</v>
      </c>
      <c r="AB28" s="21">
        <f>EXP(-LN(2)/2)*AB27+(1-EXP(-LN(2)/2))/(LN(2)/2)*V28*Y28*VLOOKUP('Données projet'!$B$9,Paramètres!$A$1:$I$89,3,0)*0.475*44/12</f>
        <v>0.46835634424374251</v>
      </c>
      <c r="AC28" s="22">
        <f t="shared" si="3"/>
        <v>21.895490577376563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419</v>
      </c>
      <c r="AG28" s="12">
        <f>VLOOKUP(A28,'Données projet'!$A$61:$I$81,9,0)</f>
        <v>31.8</v>
      </c>
      <c r="AH28" s="12">
        <f t="array" ref="AH28">INDEX(AG:AG,MIN(IF(ISNUMBER(AG28:AG224),ROW(AG28:AG224),"")))</f>
        <v>31.8</v>
      </c>
      <c r="AI28" s="13">
        <f>IF('Données projet'!$A$62&gt;35,AI27+AH28-AQ27,IF(A28&lt;'Données projet'!$A$62,$AF$205^A28,IF(A28='Données projet'!$A$62,'Données projet'!$B$62,AI27+AH28-AQ27)))</f>
        <v>419</v>
      </c>
      <c r="AJ28" s="13">
        <f>AI28*VLOOKUP('Données projet'!$B$10,Paramètres!$A$1:$I$89,3,0)*VLOOKUP('Données projet'!$B$10,Paramètres!$A$1:$I$89,5,0)</f>
        <v>234.221</v>
      </c>
      <c r="AK28" s="13">
        <f t="shared" si="35"/>
        <v>57.194392182630075</v>
      </c>
      <c r="AL28" s="20">
        <f t="shared" si="4"/>
        <v>507.54847471808063</v>
      </c>
      <c r="AM28" s="59">
        <f t="shared" si="5"/>
        <v>800.88180805141394</v>
      </c>
      <c r="AN28" s="59">
        <f ca="1">AVERAGE(OFFSET($AM$3,0,0,'Données projet'!$E$10+1,1))-AVERAGE(OFFSET($H$3,0,0,'Données projet'!$E$10+1,1))</f>
        <v>490.96084572840579</v>
      </c>
      <c r="AO28" s="59">
        <f t="shared" si="36"/>
        <v>597.91658789908263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0.55000000000000004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24.374782328696071</v>
      </c>
      <c r="AW28" s="21">
        <f>EXP(-LN(2)/2)*AW27+(1-EXP(-LN(2)/2))/(LN(2)/2)*AQ28*AT28*VLOOKUP('Données projet'!$B$10,Paramètres!$A$1:$I$89,3,0)*0.475*44/12</f>
        <v>4.811060447259333</v>
      </c>
      <c r="AX28" s="21">
        <f t="shared" si="6"/>
        <v>29.185842775955404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86</v>
      </c>
      <c r="BB28" s="12">
        <f>VLOOKUP(A28,'Données projet'!$A$87:$I$107,9,0)</f>
        <v>10</v>
      </c>
      <c r="BC28" s="12">
        <f t="array" ref="BC28">INDEX(BB:BB,MIN(IF(ISNUMBER(BB28:BB224),ROW(BB28:BB224),"")))</f>
        <v>10</v>
      </c>
      <c r="BD28" s="12">
        <f>IF('Données projet'!$A$88&gt;35,BD27+BC28-BL27,IF(A28&lt;'Données projet'!$A$88,$BA$205^A28,IF(A28='Données projet'!$A$88,'Données projet'!$B$88,BD27+BC28-BL27)))</f>
        <v>86</v>
      </c>
      <c r="BE28" s="13">
        <f>BD28*VLOOKUP('Données projet'!$B$11,Paramètres!$A$1:$I$89,3,0)*VLOOKUP('Données projet'!$B$11,Paramètres!$A$1:$I$89,5,0)</f>
        <v>68.421599999999998</v>
      </c>
      <c r="BF28" s="13">
        <f t="shared" si="37"/>
        <v>19.280966457164443</v>
      </c>
      <c r="BG28" s="20">
        <f t="shared" si="7"/>
        <v>152.74863657956141</v>
      </c>
      <c r="BH28" s="59">
        <f t="shared" si="8"/>
        <v>446.08196991289469</v>
      </c>
      <c r="BI28" s="59">
        <f ca="1">AVERAGE(OFFSET($BH$3,0,0,'Données projet'!$E$11+1,1))-AVERAGE(OFFSET($H$3,0,0,'Données projet'!$E$11+1,1))</f>
        <v>167.80254365106839</v>
      </c>
      <c r="BJ28" s="59">
        <f t="shared" si="38"/>
        <v>167.42302164950172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21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205</v>
      </c>
      <c r="BW28" s="12">
        <f>VLOOKUP(A28,'Données projet'!$A$113:$I$133,9,0)</f>
        <v>21.8</v>
      </c>
      <c r="BX28" s="12">
        <f t="array" ref="BX28">INDEX(BW:BW,MIN(IF(ISNUMBER(BW28:BW224),ROW(BW28:BW224),"")))</f>
        <v>21.8</v>
      </c>
      <c r="BY28" s="12">
        <f>IF('Données projet'!$A$114&gt;35,BY27+BX28-CG27,IF(A28&lt;'Données projet'!$A$114,$BV$205^A28,IF(A28='Données projet'!$A$114,'Données projet'!$B$114,BY27+BX28-CG27)))</f>
        <v>205.00000000000003</v>
      </c>
      <c r="BZ28" s="13">
        <f>BY28*VLOOKUP('Données projet'!$B$12,Paramètres!$A$1:$I$89,3,0)*VLOOKUP('Données projet'!$B$12,Paramètres!$A$1:$I$89,5,0)</f>
        <v>101.27000000000001</v>
      </c>
      <c r="CA28" s="13">
        <f t="shared" si="39"/>
        <v>27.264334951160137</v>
      </c>
      <c r="CB28" s="20">
        <f t="shared" si="10"/>
        <v>223.86396670660386</v>
      </c>
      <c r="CC28" s="59">
        <f t="shared" si="11"/>
        <v>517.1973000399372</v>
      </c>
      <c r="CD28" s="59">
        <f ca="1">AVERAGE(OFFSET($CC$3,0,0,'Données projet'!$E$12+1,1))-AVERAGE(OFFSET($H$3,0,0,'Données projet'!$E$12+1,1))</f>
        <v>322.06606384496587</v>
      </c>
      <c r="CE28" s="59">
        <f t="shared" si="40"/>
        <v>267.71713177624713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40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1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22.37291019912297</v>
      </c>
      <c r="CN28" s="22">
        <f t="shared" si="12"/>
        <v>22.37291019912297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16.616666666666664</v>
      </c>
      <c r="CT28" s="12">
        <f>IF('Données projet'!$A$140&gt;35,CT27+CS28-DB27,IF(A28&lt;'Données projet'!$A$140,$CQ$205^A28,IF(A28='Données projet'!$A$140,'Données projet'!$B$140,CT27+CS28-DB27)))</f>
        <v>196.91666666666669</v>
      </c>
      <c r="CU28" s="17">
        <f>CT28*VLOOKUP('Données projet'!$B$13,Paramètres!$A$1:$I$89,3,0)*VLOOKUP('Données projet'!$B$13,Paramètres!$A$1:$I$89,5,0)</f>
        <v>122.87600000000002</v>
      </c>
      <c r="CV28" s="13">
        <f t="shared" si="41"/>
        <v>32.344851661523322</v>
      </c>
      <c r="CW28" s="20">
        <f t="shared" si="13"/>
        <v>270.34298331048649</v>
      </c>
      <c r="CX28" s="59">
        <f t="shared" si="14"/>
        <v>563.67631664381975</v>
      </c>
      <c r="CY28" s="59">
        <f ca="1">AVERAGE(OFFSET($CX$3,0,0,'Données projet'!$E$13+1,1))-AVERAGE(OFFSET($H$3,0,0,'Données projet'!$E$13+1,1))</f>
        <v>269.77739619445515</v>
      </c>
      <c r="CZ28" s="59">
        <f t="shared" si="42"/>
        <v>347.56964743629885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69.81023031729309</v>
      </c>
      <c r="DH28" s="21">
        <f>EXP(-LN(2)/2)*DH27+(1-EXP(-LN(2)/2))/(LN(2)/2)*DB28*DE28*VLOOKUP('Données projet'!$B$13,Paramètres!$A$1:$I$89,3,0)*0.475*44/12</f>
        <v>0.14050690327312276</v>
      </c>
      <c r="DI28" s="22">
        <f t="shared" si="15"/>
        <v>69.950737220566211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205</v>
      </c>
      <c r="DM28" s="12">
        <f>VLOOKUP(A28,'Données projet'!$A$165:$I$185,9,0)</f>
        <v>21.8</v>
      </c>
      <c r="DN28" s="12">
        <f t="array" ref="DN28">INDEX(DM:DM,MIN(IF(ISNUMBER(DM28:DM224),ROW(DM28:DM224),"")))</f>
        <v>21.8</v>
      </c>
      <c r="DO28" s="12">
        <f>IF('Données projet'!$A$166&gt;35,DO27+DN28-DW27,IF(A28&lt;'Données projet'!$A$166,$DL$205^A28,IF(A28='Données projet'!$A$166,'Données projet'!$B$166,DO27+DN28-DW27)))</f>
        <v>205.00000000000003</v>
      </c>
      <c r="DP28" s="17">
        <f>DO28*VLOOKUP('Données projet'!$B$14,Paramètres!$A$1:$I$89,3,0)*VLOOKUP('Données projet'!$B$14,Paramètres!$A$1:$I$89,5,0)</f>
        <v>98.605000000000018</v>
      </c>
      <c r="DQ28" s="13">
        <f t="shared" si="43"/>
        <v>26.629386800651595</v>
      </c>
      <c r="DR28" s="20">
        <f t="shared" si="16"/>
        <v>218.11655701113489</v>
      </c>
      <c r="DS28" s="59">
        <f t="shared" si="17"/>
        <v>511.4498903444682</v>
      </c>
      <c r="DT28" s="59">
        <f ca="1">AVERAGE(OFFSET($DS$3,0,0,'Données projet'!$E$14+1,1))-AVERAGE(OFFSET($H$3,0,0,'Données projet'!$E$14+1,1))</f>
        <v>312.64506496298173</v>
      </c>
      <c r="DU28" s="59">
        <f t="shared" si="44"/>
        <v>259.97532509897508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40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1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21.784149404409202</v>
      </c>
      <c r="ED28" s="22">
        <f t="shared" si="18"/>
        <v>21.784149404409202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70</v>
      </c>
      <c r="EH28" s="12">
        <f>VLOOKUP(A28,'Données projet'!$A$191:$I$211,9,0)</f>
        <v>5.6</v>
      </c>
      <c r="EI28" s="12">
        <f t="array" ref="EI28">INDEX(EH:EH,MIN(IF(ISNUMBER(EH28:EH224),ROW(EH28:EH224),"")))</f>
        <v>5.6</v>
      </c>
      <c r="EJ28" s="12">
        <f>IF('Données projet'!$A$192&gt;35,EJ27+EI28-ER27,IF(A28&lt;'Données projet'!$A$192,$EG$205^A28,IF(A28='Données projet'!$A$192,'Données projet'!$B$192,EJ27+EI28-ER27)))</f>
        <v>70</v>
      </c>
      <c r="EK28" s="17">
        <f>EJ28*VLOOKUP('Données projet'!$B$15,Paramètres!$A$1:$I$89,3,0)*VLOOKUP('Données projet'!$B$15,Paramètres!$A$1:$I$89,5,0)</f>
        <v>63.335999999999991</v>
      </c>
      <c r="EL28" s="13">
        <f t="shared" si="45"/>
        <v>18.009040022946227</v>
      </c>
      <c r="EM28" s="20">
        <f t="shared" si="19"/>
        <v>141.67594470663133</v>
      </c>
      <c r="EN28" s="59">
        <f t="shared" si="20"/>
        <v>435.00927803996467</v>
      </c>
      <c r="EO28" s="59">
        <f ca="1">AVERAGE(OFFSET($EN$3,0,0,'Données projet'!$E$15+1,1))-AVERAGE(OFFSET($H$3,0,0,'Données projet'!$E$15+1,1))</f>
        <v>269.64423257646359</v>
      </c>
      <c r="EP28" s="59">
        <f t="shared" si="46"/>
        <v>161.0819079811821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140</v>
      </c>
      <c r="FC28" s="12">
        <f>VLOOKUP(A28,'Données projet'!$A$217:$I$237,9,0)</f>
        <v>10</v>
      </c>
      <c r="FD28" s="12">
        <f t="array" ref="FD28">INDEX(FC:FC,MIN(IF(ISNUMBER(FC28:FC224),ROW(FC28:FC224),"")))</f>
        <v>10</v>
      </c>
      <c r="FE28" s="12">
        <f>IF('Données projet'!$A$218&gt;35,FE27+FD28-FM27,IF(A28&lt;'Données projet'!$A$218,$FB$205^A28,IF(A28='Données projet'!$A$218,'Données projet'!$B$218,FE27+FD28-FM27)))</f>
        <v>140</v>
      </c>
      <c r="FF28" s="17">
        <f>FE28*VLOOKUP('Données projet'!$B$16,Paramètres!$A$1:$I$89,3,0)*VLOOKUP('Données projet'!$B$16,Paramètres!$A$1:$I$89,5,0)</f>
        <v>109.2</v>
      </c>
      <c r="FG28" s="13">
        <f t="shared" si="47"/>
        <v>29.142418334948612</v>
      </c>
      <c r="FH28" s="20">
        <f t="shared" si="22"/>
        <v>240.94637860003544</v>
      </c>
      <c r="FI28" s="59">
        <f t="shared" si="23"/>
        <v>534.27971193336873</v>
      </c>
      <c r="FJ28" s="59">
        <f ca="1">AVERAGE(OFFSET($FI$3,0,0,'Données projet'!$E$16+1,1))-AVERAGE(OFFSET($H$3,0,0,'Données projet'!$E$16+1,1))</f>
        <v>283.77864672734273</v>
      </c>
      <c r="FK28" s="59">
        <f t="shared" si="48"/>
        <v>270.94620935643866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16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>
        <f>VLOOKUP(A28,'Données projet'!$A$243:$I$263,2,0)</f>
        <v>141</v>
      </c>
      <c r="FX28" s="12">
        <f>VLOOKUP(A28,'Données projet'!$A$243:$I$263,9,0)</f>
        <v>14.8</v>
      </c>
      <c r="FY28" s="12">
        <f t="array" ref="FY28">INDEX(FX:FX,MIN(IF(ISNUMBER(FX28:FX224),ROW(FX28:FX224),"")))</f>
        <v>14.8</v>
      </c>
      <c r="FZ28" s="12">
        <f>IF('Données projet'!$A$244&gt;35,FZ27+FY28-GH27,IF(A28&lt;'Données projet'!$A$244,$FW$205^A28,IF(A28='Données projet'!$A$244,'Données projet'!$B$244,FZ27+FY28-GH27)))</f>
        <v>140.99999999999997</v>
      </c>
      <c r="GA28" s="17">
        <f>FZ28*VLOOKUP('Données projet'!$B$17,Paramètres!$A$1:$I$89,3,0)*VLOOKUP('Données projet'!$B$17,Paramètres!$A$1:$I$89,5,0)</f>
        <v>136.37519999999998</v>
      </c>
      <c r="GB28" s="13">
        <f t="shared" si="49"/>
        <v>35.465351191683979</v>
      </c>
      <c r="GC28" s="20">
        <f t="shared" si="25"/>
        <v>299.28895999218292</v>
      </c>
      <c r="GD28" s="59">
        <f t="shared" si="26"/>
        <v>592.62229332551624</v>
      </c>
      <c r="GE28" s="59">
        <f ca="1">AVERAGE(OFFSET($GD$3,0,0,'Données projet'!$E$17+1,1))-AVERAGE(OFFSET($H$3,0,0,'Données projet'!$E$17+1,1))</f>
        <v>347.54503437087288</v>
      </c>
      <c r="GF28" s="59">
        <f t="shared" si="50"/>
        <v>340.05673244455954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35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25.6</v>
      </c>
      <c r="N29" s="13">
        <f>IF('Données projet'!$A$36&gt;35,N28+M29-V28,IF(A29&lt;'Données projet'!$A$36,$K$205^A29,IF(A29='Données projet'!$A$36,'Données projet'!$B$36,N28+M29-V28)))</f>
        <v>205.60000000000008</v>
      </c>
      <c r="O29" s="13">
        <f>N29*VLOOKUP('Données projet'!$B$9,Paramètres!$A$1:$I$89,3,0)*VLOOKUP('Données projet'!$B$9,Paramètres!$A$1:$I$89,5,0)</f>
        <v>96.220800000000025</v>
      </c>
      <c r="P29" s="13">
        <f t="shared" si="33"/>
        <v>26.059646543833548</v>
      </c>
      <c r="Q29" s="20">
        <f t="shared" si="2"/>
        <v>212.97177773051013</v>
      </c>
      <c r="R29" s="59">
        <f t="shared" si="0"/>
        <v>506.30511106384347</v>
      </c>
      <c r="S29" s="59">
        <f ca="1">AVERAGE(OFFSET($R$3,0,0,'Données projet'!$E$9+1,1))-AVERAGE(OFFSET($H$3,0,0,'Données projet'!$E$9+1,1))</f>
        <v>342.49944586217674</v>
      </c>
      <c r="T29" s="59">
        <f t="shared" si="34"/>
        <v>282.29766600872563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20.841208120723788</v>
      </c>
      <c r="AB29" s="21">
        <f>EXP(-LN(2)/2)*AB28+(1-EXP(-LN(2)/2))/(LN(2)/2)*V29*Y29*VLOOKUP('Données projet'!$B$9,Paramètres!$A$1:$I$89,3,0)*0.475*44/12</f>
        <v>0.33117794702649139</v>
      </c>
      <c r="AC29" s="22">
        <f t="shared" si="3"/>
        <v>21.172386067750281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33</v>
      </c>
      <c r="AI29" s="13">
        <f>IF('Données projet'!$A$62&gt;35,AI28+AH29-AQ28,IF(A29&lt;'Données projet'!$A$62,$AF$205^A29,IF(A29='Données projet'!$A$62,'Données projet'!$B$62,AI28+AH29-AQ28)))</f>
        <v>392</v>
      </c>
      <c r="AJ29" s="13">
        <f>AI29*VLOOKUP('Données projet'!$B$10,Paramètres!$A$1:$I$89,3,0)*VLOOKUP('Données projet'!$B$10,Paramètres!$A$1:$I$89,5,0)</f>
        <v>219.12800000000001</v>
      </c>
      <c r="AK29" s="13">
        <f t="shared" si="35"/>
        <v>53.925317044064428</v>
      </c>
      <c r="AL29" s="20">
        <f t="shared" si="4"/>
        <v>475.56786051841215</v>
      </c>
      <c r="AM29" s="59">
        <f t="shared" si="5"/>
        <v>768.90119385174546</v>
      </c>
      <c r="AN29" s="59">
        <f ca="1">AVERAGE(OFFSET($AM$3,0,0,'Données projet'!$E$10+1,1))-AVERAGE(OFFSET($H$3,0,0,'Données projet'!$E$10+1,1))</f>
        <v>490.96084572840579</v>
      </c>
      <c r="AO29" s="59">
        <f t="shared" si="36"/>
        <v>597.91658789908263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23.708252624103782</v>
      </c>
      <c r="AW29" s="21">
        <f>EXP(-LN(2)/2)*AW28+(1-EXP(-LN(2)/2))/(LN(2)/2)*AQ29*AT29*VLOOKUP('Données projet'!$B$10,Paramètres!$A$1:$I$89,3,0)*0.475*44/12</f>
        <v>3.4019334669554588</v>
      </c>
      <c r="AX29" s="21">
        <f t="shared" si="6"/>
        <v>27.110186091059241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74.8</v>
      </c>
      <c r="BE29" s="13">
        <f>BD29*VLOOKUP('Données projet'!$B$11,Paramètres!$A$1:$I$89,3,0)*VLOOKUP('Données projet'!$B$11,Paramètres!$A$1:$I$89,5,0)</f>
        <v>59.510879999999993</v>
      </c>
      <c r="BF29" s="13">
        <f t="shared" si="37"/>
        <v>17.044545279241799</v>
      </c>
      <c r="BG29" s="20">
        <f t="shared" si="7"/>
        <v>133.33403236134612</v>
      </c>
      <c r="BH29" s="59">
        <f t="shared" si="8"/>
        <v>426.66736569467946</v>
      </c>
      <c r="BI29" s="59">
        <f ca="1">AVERAGE(OFFSET($BH$3,0,0,'Données projet'!$E$11+1,1))-AVERAGE(OFFSET($H$3,0,0,'Données projet'!$E$11+1,1))</f>
        <v>167.80254365106839</v>
      </c>
      <c r="BJ29" s="59">
        <f t="shared" si="38"/>
        <v>167.42302164950172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22.6</v>
      </c>
      <c r="BY29" s="12">
        <f>IF('Données projet'!$A$114&gt;35,BY28+BX29-CG28,IF(A29&lt;'Données projet'!$A$114,$BV$205^A29,IF(A29='Données projet'!$A$114,'Données projet'!$B$114,BY28+BX29-CG28)))</f>
        <v>187.60000000000002</v>
      </c>
      <c r="BZ29" s="13">
        <f>BY29*VLOOKUP('Données projet'!$B$12,Paramètres!$A$1:$I$89,3,0)*VLOOKUP('Données projet'!$B$12,Paramètres!$A$1:$I$89,5,0)</f>
        <v>92.67440000000002</v>
      </c>
      <c r="CA29" s="13">
        <f t="shared" si="39"/>
        <v>25.209122525606347</v>
      </c>
      <c r="CB29" s="20">
        <f t="shared" si="10"/>
        <v>205.31380173209774</v>
      </c>
      <c r="CC29" s="59">
        <f t="shared" si="11"/>
        <v>498.64713506543103</v>
      </c>
      <c r="CD29" s="59">
        <f ca="1">AVERAGE(OFFSET($CC$3,0,0,'Données projet'!$E$12+1,1))-AVERAGE(OFFSET($H$3,0,0,'Données projet'!$E$12+1,1))</f>
        <v>322.06606384496587</v>
      </c>
      <c r="CE29" s="59">
        <f t="shared" si="40"/>
        <v>267.71713177624713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15.820036516677524</v>
      </c>
      <c r="CN29" s="22">
        <f t="shared" si="12"/>
        <v>15.820036516677524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16.616666666666664</v>
      </c>
      <c r="CT29" s="12">
        <f>IF('Données projet'!$A$140&gt;35,CT28+CS29-DB28,IF(A29&lt;'Données projet'!$A$140,$CQ$205^A29,IF(A29='Données projet'!$A$140,'Données projet'!$B$140,CT28+CS29-DB28)))</f>
        <v>213.53333333333336</v>
      </c>
      <c r="CU29" s="17">
        <f>CT29*VLOOKUP('Données projet'!$B$13,Paramètres!$A$1:$I$89,3,0)*VLOOKUP('Données projet'!$B$13,Paramètres!$A$1:$I$89,5,0)</f>
        <v>133.24480000000003</v>
      </c>
      <c r="CV29" s="13">
        <f t="shared" si="41"/>
        <v>34.745058146398875</v>
      </c>
      <c r="CW29" s="20">
        <f t="shared" si="13"/>
        <v>292.58233627164475</v>
      </c>
      <c r="CX29" s="59">
        <f t="shared" si="14"/>
        <v>585.91566960497812</v>
      </c>
      <c r="CY29" s="59">
        <f ca="1">AVERAGE(OFFSET($CX$3,0,0,'Données projet'!$E$13+1,1))-AVERAGE(OFFSET($H$3,0,0,'Données projet'!$E$13+1,1))</f>
        <v>269.77739619445515</v>
      </c>
      <c r="CZ29" s="59">
        <f t="shared" si="42"/>
        <v>347.56964743629885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67.901265898106246</v>
      </c>
      <c r="DH29" s="21">
        <f>EXP(-LN(2)/2)*DH28+(1-EXP(-LN(2)/2))/(LN(2)/2)*DB29*DE29*VLOOKUP('Données projet'!$B$13,Paramètres!$A$1:$I$89,3,0)*0.475*44/12</f>
        <v>9.9353384107947418E-2</v>
      </c>
      <c r="DI29" s="22">
        <f t="shared" si="15"/>
        <v>68.000619282214188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22.6</v>
      </c>
      <c r="DO29" s="12">
        <f>IF('Données projet'!$A$166&gt;35,DO28+DN29-DW28,IF(A29&lt;'Données projet'!$A$166,$DL$205^A29,IF(A29='Données projet'!$A$166,'Données projet'!$B$166,DO28+DN29-DW28)))</f>
        <v>187.60000000000002</v>
      </c>
      <c r="DP29" s="17">
        <f>DO29*VLOOKUP('Données projet'!$B$14,Paramètres!$A$1:$I$89,3,0)*VLOOKUP('Données projet'!$B$14,Paramètres!$A$1:$I$89,5,0)</f>
        <v>90.235600000000005</v>
      </c>
      <c r="DQ29" s="13">
        <f t="shared" si="43"/>
        <v>24.622037392143501</v>
      </c>
      <c r="DR29" s="20">
        <f t="shared" si="16"/>
        <v>200.04371845798326</v>
      </c>
      <c r="DS29" s="59">
        <f t="shared" si="17"/>
        <v>493.3770517913166</v>
      </c>
      <c r="DT29" s="59">
        <f ca="1">AVERAGE(OFFSET($DS$3,0,0,'Données projet'!$E$14+1,1))-AVERAGE(OFFSET($H$3,0,0,'Données projet'!$E$14+1,1))</f>
        <v>312.64506496298173</v>
      </c>
      <c r="DU29" s="59">
        <f t="shared" si="44"/>
        <v>259.97532509897508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15.403719766238638</v>
      </c>
      <c r="ED29" s="22">
        <f t="shared" si="18"/>
        <v>15.403719766238638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</v>
      </c>
      <c r="EJ29" s="12">
        <f>IF('Données projet'!$A$192&gt;35,EJ28+EI29-ER28,IF(A29&lt;'Données projet'!$A$192,$EG$205^A29,IF(A29='Données projet'!$A$192,'Données projet'!$B$192,EJ28+EI29-ER28)))</f>
        <v>69</v>
      </c>
      <c r="EK29" s="17">
        <f>EJ29*VLOOKUP('Données projet'!$B$15,Paramètres!$A$1:$I$89,3,0)*VLOOKUP('Données projet'!$B$15,Paramètres!$A$1:$I$89,5,0)</f>
        <v>62.431199999999997</v>
      </c>
      <c r="EL29" s="13">
        <f t="shared" si="45"/>
        <v>17.781524466058684</v>
      </c>
      <c r="EM29" s="20">
        <f t="shared" si="19"/>
        <v>139.70382844505221</v>
      </c>
      <c r="EN29" s="59">
        <f t="shared" si="20"/>
        <v>433.03716177838555</v>
      </c>
      <c r="EO29" s="59">
        <f ca="1">AVERAGE(OFFSET($EN$3,0,0,'Données projet'!$E$15+1,1))-AVERAGE(OFFSET($H$3,0,0,'Données projet'!$E$15+1,1))</f>
        <v>269.64423257646359</v>
      </c>
      <c r="EP29" s="59">
        <f t="shared" si="46"/>
        <v>161.0819079811821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10.8</v>
      </c>
      <c r="FE29" s="12">
        <f>IF('Données projet'!$A$218&gt;35,FE28+FD29-FM28,IF(A29&lt;'Données projet'!$A$218,$FB$205^A29,IF(A29='Données projet'!$A$218,'Données projet'!$B$218,FE28+FD29-FM28)))</f>
        <v>134.80000000000001</v>
      </c>
      <c r="FF29" s="17">
        <f>FE29*VLOOKUP('Données projet'!$B$16,Paramètres!$A$1:$I$89,3,0)*VLOOKUP('Données projet'!$B$16,Paramètres!$A$1:$I$89,5,0)</f>
        <v>105.14400000000001</v>
      </c>
      <c r="FG29" s="13">
        <f t="shared" si="47"/>
        <v>28.183884120602002</v>
      </c>
      <c r="FH29" s="20">
        <f t="shared" si="22"/>
        <v>232.21273151004846</v>
      </c>
      <c r="FI29" s="59">
        <f t="shared" si="23"/>
        <v>525.54606484338183</v>
      </c>
      <c r="FJ29" s="59">
        <f ca="1">AVERAGE(OFFSET($FI$3,0,0,'Données projet'!$E$16+1,1))-AVERAGE(OFFSET($H$3,0,0,'Données projet'!$E$16+1,1))</f>
        <v>283.77864672734273</v>
      </c>
      <c r="FK29" s="59">
        <f t="shared" si="48"/>
        <v>270.94620935643866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14.2</v>
      </c>
      <c r="FZ29" s="12">
        <f>IF('Données projet'!$A$244&gt;35,FZ28+FY29-GH28,IF(A29&lt;'Données projet'!$A$244,$FW$205^A29,IF(A29='Données projet'!$A$244,'Données projet'!$B$244,FZ28+FY29-GH28)))</f>
        <v>120.19999999999996</v>
      </c>
      <c r="GA29" s="17">
        <f>FZ29*VLOOKUP('Données projet'!$B$17,Paramètres!$A$1:$I$89,3,0)*VLOOKUP('Données projet'!$B$17,Paramètres!$A$1:$I$89,5,0)</f>
        <v>116.25743999999996</v>
      </c>
      <c r="GB29" s="13">
        <f t="shared" si="49"/>
        <v>30.800505515381992</v>
      </c>
      <c r="GC29" s="20">
        <f t="shared" si="25"/>
        <v>256.1259217726236</v>
      </c>
      <c r="GD29" s="59">
        <f t="shared" si="26"/>
        <v>549.45925510595691</v>
      </c>
      <c r="GE29" s="59">
        <f ca="1">AVERAGE(OFFSET($GD$3,0,0,'Données projet'!$E$17+1,1))-AVERAGE(OFFSET($H$3,0,0,'Données projet'!$E$17+1,1))</f>
        <v>347.54503437087288</v>
      </c>
      <c r="GF29" s="59">
        <f t="shared" si="50"/>
        <v>340.05673244455954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25.6</v>
      </c>
      <c r="N30" s="13">
        <f>IF('Données projet'!$A$36&gt;35,N29+M30-V29,IF(A30&lt;'Données projet'!$A$36,$K$205^A30,IF(A30='Données projet'!$A$36,'Données projet'!$B$36,N29+M30-V29)))</f>
        <v>231.20000000000007</v>
      </c>
      <c r="O30" s="13">
        <f>N30*VLOOKUP('Données projet'!$B$9,Paramètres!$A$1:$I$89,3,0)*VLOOKUP('Données projet'!$B$9,Paramètres!$A$1:$I$89,5,0)</f>
        <v>108.20160000000004</v>
      </c>
      <c r="P30" s="13">
        <f t="shared" si="33"/>
        <v>28.906861857161285</v>
      </c>
      <c r="Q30" s="20">
        <f t="shared" si="2"/>
        <v>238.79723773455598</v>
      </c>
      <c r="R30" s="59">
        <f t="shared" si="0"/>
        <v>532.13057106788926</v>
      </c>
      <c r="S30" s="59">
        <f ca="1">AVERAGE(OFFSET($R$3,0,0,'Données projet'!$E$9+1,1))-AVERAGE(OFFSET($H$3,0,0,'Données projet'!$E$9+1,1))</f>
        <v>342.49944586217674</v>
      </c>
      <c r="T30" s="59">
        <f t="shared" si="34"/>
        <v>282.29766600872563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20.271304188671095</v>
      </c>
      <c r="AB30" s="21">
        <f>EXP(-LN(2)/2)*AB29+(1-EXP(-LN(2)/2))/(LN(2)/2)*V30*Y30*VLOOKUP('Données projet'!$B$9,Paramètres!$A$1:$I$89,3,0)*0.475*44/12</f>
        <v>0.23417817212187128</v>
      </c>
      <c r="AC30" s="22">
        <f t="shared" si="3"/>
        <v>20.505482360792968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33</v>
      </c>
      <c r="AI30" s="13">
        <f>IF('Données projet'!$A$62&gt;35,AI29+AH30-AQ29,IF(A30&lt;'Données projet'!$A$62,$AF$205^A30,IF(A30='Données projet'!$A$62,'Données projet'!$B$62,AI29+AH30-AQ29)))</f>
        <v>425</v>
      </c>
      <c r="AJ30" s="13">
        <f>AI30*VLOOKUP('Données projet'!$B$10,Paramètres!$A$1:$I$89,3,0)*VLOOKUP('Données projet'!$B$10,Paramètres!$A$1:$I$89,5,0)</f>
        <v>237.57500000000002</v>
      </c>
      <c r="AK30" s="13">
        <f t="shared" si="35"/>
        <v>57.917471937261162</v>
      </c>
      <c r="AL30" s="20">
        <f t="shared" si="4"/>
        <v>514.64938862406325</v>
      </c>
      <c r="AM30" s="59">
        <f t="shared" si="5"/>
        <v>807.98272195739651</v>
      </c>
      <c r="AN30" s="59">
        <f ca="1">AVERAGE(OFFSET($AM$3,0,0,'Données projet'!$E$10+1,1))-AVERAGE(OFFSET($H$3,0,0,'Données projet'!$E$10+1,1))</f>
        <v>490.96084572840579</v>
      </c>
      <c r="AO30" s="59">
        <f t="shared" si="36"/>
        <v>597.91658789908263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23.059949209334846</v>
      </c>
      <c r="AW30" s="21">
        <f>EXP(-LN(2)/2)*AW29+(1-EXP(-LN(2)/2))/(LN(2)/2)*AQ30*AT30*VLOOKUP('Données projet'!$B$10,Paramètres!$A$1:$I$89,3,0)*0.475*44/12</f>
        <v>2.405530223629667</v>
      </c>
      <c r="AX30" s="21">
        <f t="shared" si="6"/>
        <v>25.465479432964514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84.6</v>
      </c>
      <c r="BE30" s="13">
        <f>BD30*VLOOKUP('Données projet'!$B$11,Paramètres!$A$1:$I$89,3,0)*VLOOKUP('Données projet'!$B$11,Paramètres!$A$1:$I$89,5,0)</f>
        <v>67.307760000000002</v>
      </c>
      <c r="BF30" s="13">
        <f t="shared" si="37"/>
        <v>19.003361078332173</v>
      </c>
      <c r="BG30" s="20">
        <f t="shared" si="7"/>
        <v>150.32520254476188</v>
      </c>
      <c r="BH30" s="59">
        <f t="shared" si="8"/>
        <v>443.65853587809522</v>
      </c>
      <c r="BI30" s="59">
        <f ca="1">AVERAGE(OFFSET($BH$3,0,0,'Données projet'!$E$11+1,1))-AVERAGE(OFFSET($H$3,0,0,'Données projet'!$E$11+1,1))</f>
        <v>167.80254365106839</v>
      </c>
      <c r="BJ30" s="59">
        <f t="shared" si="38"/>
        <v>167.42302164950172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22.6</v>
      </c>
      <c r="BY30" s="12">
        <f>IF('Données projet'!$A$114&gt;35,BY29+BX30-CG29,IF(A30&lt;'Données projet'!$A$114,$BV$205^A30,IF(A30='Données projet'!$A$114,'Données projet'!$B$114,BY29+BX30-CG29)))</f>
        <v>210.20000000000002</v>
      </c>
      <c r="BZ30" s="13">
        <f>BY30*VLOOKUP('Données projet'!$B$12,Paramètres!$A$1:$I$89,3,0)*VLOOKUP('Données projet'!$B$12,Paramètres!$A$1:$I$89,5,0)</f>
        <v>103.83880000000001</v>
      </c>
      <c r="CA30" s="13">
        <f t="shared" si="39"/>
        <v>27.874524071287325</v>
      </c>
      <c r="CB30" s="20">
        <f t="shared" si="10"/>
        <v>229.40070609082542</v>
      </c>
      <c r="CC30" s="59">
        <f t="shared" si="11"/>
        <v>522.73403942415871</v>
      </c>
      <c r="CD30" s="59">
        <f ca="1">AVERAGE(OFFSET($CC$3,0,0,'Données projet'!$E$12+1,1))-AVERAGE(OFFSET($H$3,0,0,'Données projet'!$E$12+1,1))</f>
        <v>322.06606384496587</v>
      </c>
      <c r="CE30" s="59">
        <f t="shared" si="40"/>
        <v>267.71713177624713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11.186455099561487</v>
      </c>
      <c r="CN30" s="22">
        <f t="shared" si="12"/>
        <v>11.186455099561487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16.616666666666664</v>
      </c>
      <c r="CT30" s="12">
        <f>IF('Données projet'!$A$140&gt;35,CT29+CS30-DB29,IF(A30&lt;'Données projet'!$A$140,$CQ$205^A30,IF(A30='Données projet'!$A$140,'Données projet'!$B$140,CT29+CS30-DB29)))</f>
        <v>230.15000000000003</v>
      </c>
      <c r="CU30" s="17">
        <f>CT30*VLOOKUP('Données projet'!$B$13,Paramètres!$A$1:$I$89,3,0)*VLOOKUP('Données projet'!$B$13,Paramètres!$A$1:$I$89,5,0)</f>
        <v>143.61360000000002</v>
      </c>
      <c r="CV30" s="13">
        <f t="shared" si="41"/>
        <v>37.123598716010569</v>
      </c>
      <c r="CW30" s="20">
        <f t="shared" si="13"/>
        <v>314.78395443038511</v>
      </c>
      <c r="CX30" s="59">
        <f t="shared" si="14"/>
        <v>608.11728776371842</v>
      </c>
      <c r="CY30" s="59">
        <f ca="1">AVERAGE(OFFSET($CX$3,0,0,'Données projet'!$E$13+1,1))-AVERAGE(OFFSET($H$3,0,0,'Données projet'!$E$13+1,1))</f>
        <v>269.77739619445515</v>
      </c>
      <c r="CZ30" s="59">
        <f t="shared" si="42"/>
        <v>347.56964743629885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66.044502211350149</v>
      </c>
      <c r="DH30" s="21">
        <f>EXP(-LN(2)/2)*DH29+(1-EXP(-LN(2)/2))/(LN(2)/2)*DB30*DE30*VLOOKUP('Données projet'!$B$13,Paramètres!$A$1:$I$89,3,0)*0.475*44/12</f>
        <v>7.0253451636561381E-2</v>
      </c>
      <c r="DI30" s="22">
        <f t="shared" si="15"/>
        <v>66.11475566298671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22.6</v>
      </c>
      <c r="DO30" s="12">
        <f>IF('Données projet'!$A$166&gt;35,DO29+DN30-DW29,IF(A30&lt;'Données projet'!$A$166,$DL$205^A30,IF(A30='Données projet'!$A$166,'Données projet'!$B$166,DO29+DN30-DW29)))</f>
        <v>210.20000000000002</v>
      </c>
      <c r="DP30" s="17">
        <f>DO30*VLOOKUP('Données projet'!$B$14,Paramètres!$A$1:$I$89,3,0)*VLOOKUP('Données projet'!$B$14,Paramètres!$A$1:$I$89,5,0)</f>
        <v>101.1062</v>
      </c>
      <c r="DQ30" s="13">
        <f t="shared" si="43"/>
        <v>27.225365471340744</v>
      </c>
      <c r="DR30" s="20">
        <f t="shared" si="16"/>
        <v>223.51080986258512</v>
      </c>
      <c r="DS30" s="59">
        <f t="shared" si="17"/>
        <v>516.84414319591838</v>
      </c>
      <c r="DT30" s="59">
        <f ca="1">AVERAGE(OFFSET($DS$3,0,0,'Données projet'!$E$14+1,1))-AVERAGE(OFFSET($H$3,0,0,'Données projet'!$E$14+1,1))</f>
        <v>312.64506496298173</v>
      </c>
      <c r="DU30" s="59">
        <f t="shared" si="44"/>
        <v>259.97532509897508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10.892074702204601</v>
      </c>
      <c r="ED30" s="22">
        <f t="shared" si="18"/>
        <v>10.892074702204601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</v>
      </c>
      <c r="EJ30" s="12">
        <f>IF('Données projet'!$A$192&gt;35,EJ29+EI30-ER29,IF(A30&lt;'Données projet'!$A$192,$EG$205^A30,IF(A30='Données projet'!$A$192,'Données projet'!$B$192,EJ29+EI30-ER29)))</f>
        <v>76</v>
      </c>
      <c r="EK30" s="17">
        <f>EJ30*VLOOKUP('Données projet'!$B$15,Paramètres!$A$1:$I$89,3,0)*VLOOKUP('Données projet'!$B$15,Paramètres!$A$1:$I$89,5,0)</f>
        <v>68.764799999999994</v>
      </c>
      <c r="EL30" s="13">
        <f t="shared" si="45"/>
        <v>19.366396769521369</v>
      </c>
      <c r="EM30" s="20">
        <f t="shared" si="19"/>
        <v>153.49516770691636</v>
      </c>
      <c r="EN30" s="59">
        <f t="shared" si="20"/>
        <v>446.82850104024965</v>
      </c>
      <c r="EO30" s="59">
        <f ca="1">AVERAGE(OFFSET($EN$3,0,0,'Données projet'!$E$15+1,1))-AVERAGE(OFFSET($H$3,0,0,'Données projet'!$E$15+1,1))</f>
        <v>269.64423257646359</v>
      </c>
      <c r="EP30" s="59">
        <f t="shared" si="46"/>
        <v>161.0819079811821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10.8</v>
      </c>
      <c r="FE30" s="12">
        <f>IF('Données projet'!$A$218&gt;35,FE29+FD30-FM29,IF(A30&lt;'Données projet'!$A$218,$FB$205^A30,IF(A30='Données projet'!$A$218,'Données projet'!$B$218,FE29+FD30-FM29)))</f>
        <v>145.60000000000002</v>
      </c>
      <c r="FF30" s="17">
        <f>FE30*VLOOKUP('Données projet'!$B$16,Paramètres!$A$1:$I$89,3,0)*VLOOKUP('Données projet'!$B$16,Paramètres!$A$1:$I$89,5,0)</f>
        <v>113.56800000000003</v>
      </c>
      <c r="FG30" s="13">
        <f t="shared" si="47"/>
        <v>30.17006506205821</v>
      </c>
      <c r="FH30" s="20">
        <f t="shared" si="22"/>
        <v>250.34379664975143</v>
      </c>
      <c r="FI30" s="59">
        <f t="shared" si="23"/>
        <v>543.6771299830848</v>
      </c>
      <c r="FJ30" s="59">
        <f ca="1">AVERAGE(OFFSET($FI$3,0,0,'Données projet'!$E$16+1,1))-AVERAGE(OFFSET($H$3,0,0,'Données projet'!$E$16+1,1))</f>
        <v>283.77864672734273</v>
      </c>
      <c r="FK30" s="59">
        <f t="shared" si="48"/>
        <v>270.94620935643866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14.2</v>
      </c>
      <c r="FZ30" s="12">
        <f>IF('Données projet'!$A$244&gt;35,FZ29+FY30-GH29,IF(A30&lt;'Données projet'!$A$244,$FW$205^A30,IF(A30='Données projet'!$A$244,'Données projet'!$B$244,FZ29+FY30-GH29)))</f>
        <v>134.39999999999995</v>
      </c>
      <c r="GA30" s="17">
        <f>FZ30*VLOOKUP('Données projet'!$B$17,Paramètres!$A$1:$I$89,3,0)*VLOOKUP('Données projet'!$B$17,Paramètres!$A$1:$I$89,5,0)</f>
        <v>129.99167999999997</v>
      </c>
      <c r="GB30" s="13">
        <f t="shared" si="49"/>
        <v>33.994436817469854</v>
      </c>
      <c r="GC30" s="20">
        <f t="shared" si="25"/>
        <v>285.60915345709321</v>
      </c>
      <c r="GD30" s="59">
        <f t="shared" si="26"/>
        <v>578.94248679042653</v>
      </c>
      <c r="GE30" s="59">
        <f ca="1">AVERAGE(OFFSET($GD$3,0,0,'Données projet'!$E$17+1,1))-AVERAGE(OFFSET($H$3,0,0,'Données projet'!$E$17+1,1))</f>
        <v>347.54503437087288</v>
      </c>
      <c r="GF30" s="59">
        <f t="shared" si="50"/>
        <v>340.05673244455954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25.6</v>
      </c>
      <c r="N31" s="13">
        <f>IF('Données projet'!$A$36&gt;35,N30+M31-V30,IF(A31&lt;'Données projet'!$A$36,$K$205^A31,IF(A31='Données projet'!$A$36,'Données projet'!$B$36,N30+M31-V30)))</f>
        <v>256.80000000000007</v>
      </c>
      <c r="O31" s="13">
        <f>N31*VLOOKUP('Données projet'!$B$9,Paramètres!$A$1:$I$89,3,0)*VLOOKUP('Données projet'!$B$9,Paramètres!$A$1:$I$89,5,0)</f>
        <v>120.18240000000003</v>
      </c>
      <c r="P31" s="13">
        <f t="shared" si="33"/>
        <v>31.717537337483854</v>
      </c>
      <c r="Q31" s="20">
        <f t="shared" si="2"/>
        <v>264.55905752945108</v>
      </c>
      <c r="R31" s="59">
        <f t="shared" si="0"/>
        <v>557.8923908627844</v>
      </c>
      <c r="S31" s="59">
        <f ca="1">AVERAGE(OFFSET($R$3,0,0,'Données projet'!$E$9+1,1))-AVERAGE(OFFSET($H$3,0,0,'Données projet'!$E$9+1,1))</f>
        <v>342.49944586217674</v>
      </c>
      <c r="T31" s="59">
        <f t="shared" si="34"/>
        <v>282.29766600872563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19.716984309610329</v>
      </c>
      <c r="AB31" s="21">
        <f>EXP(-LN(2)/2)*AB30+(1-EXP(-LN(2)/2))/(LN(2)/2)*V31*Y31*VLOOKUP('Données projet'!$B$9,Paramètres!$A$1:$I$89,3,0)*0.475*44/12</f>
        <v>0.16558897351324572</v>
      </c>
      <c r="AC31" s="22">
        <f t="shared" si="3"/>
        <v>19.882573283123573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33</v>
      </c>
      <c r="AI31" s="13">
        <f>IF('Données projet'!$A$62&gt;35,AI30+AH31-AQ30,IF(A31&lt;'Données projet'!$A$62,$AF$205^A31,IF(A31='Données projet'!$A$62,'Données projet'!$B$62,AI30+AH31-AQ30)))</f>
        <v>458</v>
      </c>
      <c r="AJ31" s="13">
        <f>AI31*VLOOKUP('Données projet'!$B$10,Paramètres!$A$1:$I$89,3,0)*VLOOKUP('Données projet'!$B$10,Paramètres!$A$1:$I$89,5,0)</f>
        <v>256.02199999999999</v>
      </c>
      <c r="AK31" s="13">
        <f t="shared" si="35"/>
        <v>61.873669712051253</v>
      </c>
      <c r="AL31" s="20">
        <f t="shared" si="4"/>
        <v>553.66829141515586</v>
      </c>
      <c r="AM31" s="59">
        <f t="shared" si="5"/>
        <v>847.00162474848912</v>
      </c>
      <c r="AN31" s="59">
        <f ca="1">AVERAGE(OFFSET($AM$3,0,0,'Données projet'!$E$10+1,1))-AVERAGE(OFFSET($H$3,0,0,'Données projet'!$E$10+1,1))</f>
        <v>490.96084572840579</v>
      </c>
      <c r="AO31" s="59">
        <f t="shared" si="36"/>
        <v>597.91658789908263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22.429373685535559</v>
      </c>
      <c r="AW31" s="21">
        <f>EXP(-LN(2)/2)*AW30+(1-EXP(-LN(2)/2))/(LN(2)/2)*AQ31*AT31*VLOOKUP('Données projet'!$B$10,Paramètres!$A$1:$I$89,3,0)*0.475*44/12</f>
        <v>1.7009667334777299</v>
      </c>
      <c r="AX31" s="21">
        <f t="shared" si="6"/>
        <v>24.13034041901329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94.399999999999991</v>
      </c>
      <c r="BE31" s="13">
        <f>BD31*VLOOKUP('Données projet'!$B$11,Paramètres!$A$1:$I$89,3,0)*VLOOKUP('Données projet'!$B$11,Paramètres!$A$1:$I$89,5,0)</f>
        <v>75.104640000000003</v>
      </c>
      <c r="BF31" s="13">
        <f t="shared" si="37"/>
        <v>20.935880066615336</v>
      </c>
      <c r="BG31" s="20">
        <f t="shared" si="7"/>
        <v>167.27057244935506</v>
      </c>
      <c r="BH31" s="59">
        <f t="shared" si="8"/>
        <v>460.60390578268834</v>
      </c>
      <c r="BI31" s="59">
        <f ca="1">AVERAGE(OFFSET($BH$3,0,0,'Données projet'!$E$11+1,1))-AVERAGE(OFFSET($H$3,0,0,'Données projet'!$E$11+1,1))</f>
        <v>167.80254365106839</v>
      </c>
      <c r="BJ31" s="59">
        <f t="shared" si="38"/>
        <v>167.42302164950172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22.6</v>
      </c>
      <c r="BY31" s="12">
        <f>IF('Données projet'!$A$114&gt;35,BY30+BX31-CG30,IF(A31&lt;'Données projet'!$A$114,$BV$205^A31,IF(A31='Données projet'!$A$114,'Données projet'!$B$114,BY30+BX31-CG30)))</f>
        <v>232.8</v>
      </c>
      <c r="BZ31" s="13">
        <f>BY31*VLOOKUP('Données projet'!$B$12,Paramètres!$A$1:$I$89,3,0)*VLOOKUP('Données projet'!$B$12,Paramètres!$A$1:$I$89,5,0)</f>
        <v>115.00320000000001</v>
      </c>
      <c r="CA31" s="13">
        <f t="shared" si="39"/>
        <v>30.506708657497718</v>
      </c>
      <c r="CB31" s="20">
        <f t="shared" si="10"/>
        <v>253.4297575784752</v>
      </c>
      <c r="CC31" s="59">
        <f t="shared" si="11"/>
        <v>546.76309091180849</v>
      </c>
      <c r="CD31" s="59">
        <f ca="1">AVERAGE(OFFSET($CC$3,0,0,'Données projet'!$E$12+1,1))-AVERAGE(OFFSET($H$3,0,0,'Données projet'!$E$12+1,1))</f>
        <v>322.06606384496587</v>
      </c>
      <c r="CE31" s="59">
        <f t="shared" si="40"/>
        <v>267.71713177624713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7.9100182583387637</v>
      </c>
      <c r="CN31" s="22">
        <f t="shared" si="12"/>
        <v>7.9100182583387637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16.616666666666664</v>
      </c>
      <c r="CT31" s="12">
        <f>IF('Données projet'!$A$140&gt;35,CT30+CS31-DB30,IF(A31&lt;'Données projet'!$A$140,$CQ$205^A31,IF(A31='Données projet'!$A$140,'Données projet'!$B$140,CT30+CS31-DB30)))</f>
        <v>246.76666666666671</v>
      </c>
      <c r="CU31" s="17">
        <f>CT31*VLOOKUP('Données projet'!$B$13,Paramètres!$A$1:$I$89,3,0)*VLOOKUP('Données projet'!$B$13,Paramètres!$A$1:$I$89,5,0)</f>
        <v>153.98240000000004</v>
      </c>
      <c r="CV31" s="13">
        <f t="shared" si="41"/>
        <v>39.482215533662355</v>
      </c>
      <c r="CW31" s="20">
        <f t="shared" si="13"/>
        <v>336.95087205446197</v>
      </c>
      <c r="CX31" s="59">
        <f t="shared" si="14"/>
        <v>630.28420538779528</v>
      </c>
      <c r="CY31" s="59">
        <f ca="1">AVERAGE(OFFSET($CX$3,0,0,'Données projet'!$E$13+1,1))-AVERAGE(OFFSET($H$3,0,0,'Données projet'!$E$13+1,1))</f>
        <v>269.77739619445515</v>
      </c>
      <c r="CZ31" s="59">
        <f t="shared" si="42"/>
        <v>347.56964743629885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64.238511825251351</v>
      </c>
      <c r="DH31" s="21">
        <f>EXP(-LN(2)/2)*DH30+(1-EXP(-LN(2)/2))/(LN(2)/2)*DB31*DE31*VLOOKUP('Données projet'!$B$13,Paramètres!$A$1:$I$89,3,0)*0.475*44/12</f>
        <v>4.9676692053973709E-2</v>
      </c>
      <c r="DI31" s="22">
        <f t="shared" si="15"/>
        <v>64.288188517305329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22.6</v>
      </c>
      <c r="DO31" s="12">
        <f>IF('Données projet'!$A$166&gt;35,DO30+DN31-DW30,IF(A31&lt;'Données projet'!$A$166,$DL$205^A31,IF(A31='Données projet'!$A$166,'Données projet'!$B$166,DO30+DN31-DW30)))</f>
        <v>232.8</v>
      </c>
      <c r="DP31" s="17">
        <f>DO31*VLOOKUP('Données projet'!$B$14,Paramètres!$A$1:$I$89,3,0)*VLOOKUP('Données projet'!$B$14,Paramètres!$A$1:$I$89,5,0)</f>
        <v>111.97680000000001</v>
      </c>
      <c r="DQ31" s="13">
        <f t="shared" si="43"/>
        <v>29.796250167500443</v>
      </c>
      <c r="DR31" s="20">
        <f t="shared" si="16"/>
        <v>246.92139570839663</v>
      </c>
      <c r="DS31" s="59">
        <f t="shared" si="17"/>
        <v>540.25472904172989</v>
      </c>
      <c r="DT31" s="59">
        <f ca="1">AVERAGE(OFFSET($DS$3,0,0,'Données projet'!$E$14+1,1))-AVERAGE(OFFSET($H$3,0,0,'Données projet'!$E$14+1,1))</f>
        <v>312.64506496298173</v>
      </c>
      <c r="DU31" s="59">
        <f t="shared" si="44"/>
        <v>259.97532509897508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7.7018598831193188</v>
      </c>
      <c r="ED31" s="22">
        <f t="shared" si="18"/>
        <v>7.7018598831193188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</v>
      </c>
      <c r="EJ31" s="12">
        <f>IF('Données projet'!$A$192&gt;35,EJ30+EI31-ER30,IF(A31&lt;'Données projet'!$A$192,$EG$205^A31,IF(A31='Données projet'!$A$192,'Données projet'!$B$192,EJ30+EI31-ER30)))</f>
        <v>83</v>
      </c>
      <c r="EK31" s="17">
        <f>EJ31*VLOOKUP('Données projet'!$B$15,Paramètres!$A$1:$I$89,3,0)*VLOOKUP('Données projet'!$B$15,Paramètres!$A$1:$I$89,5,0)</f>
        <v>75.098399999999998</v>
      </c>
      <c r="EL31" s="13">
        <f t="shared" si="45"/>
        <v>20.934343091450742</v>
      </c>
      <c r="EM31" s="20">
        <f t="shared" si="19"/>
        <v>167.25702755094335</v>
      </c>
      <c r="EN31" s="59">
        <f t="shared" si="20"/>
        <v>460.59036088427666</v>
      </c>
      <c r="EO31" s="59">
        <f ca="1">AVERAGE(OFFSET($EN$3,0,0,'Données projet'!$E$15+1,1))-AVERAGE(OFFSET($H$3,0,0,'Données projet'!$E$15+1,1))</f>
        <v>269.64423257646359</v>
      </c>
      <c r="EP31" s="59">
        <f t="shared" si="46"/>
        <v>161.0819079811821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10.8</v>
      </c>
      <c r="FE31" s="12">
        <f>IF('Données projet'!$A$218&gt;35,FE30+FD31-FM30,IF(A31&lt;'Données projet'!$A$218,$FB$205^A31,IF(A31='Données projet'!$A$218,'Données projet'!$B$218,FE30+FD31-FM30)))</f>
        <v>156.40000000000003</v>
      </c>
      <c r="FF31" s="17">
        <f>FE31*VLOOKUP('Données projet'!$B$16,Paramètres!$A$1:$I$89,3,0)*VLOOKUP('Données projet'!$B$16,Paramètres!$A$1:$I$89,5,0)</f>
        <v>121.99200000000003</v>
      </c>
      <c r="FG31" s="13">
        <f t="shared" si="47"/>
        <v>32.139154469866327</v>
      </c>
      <c r="FH31" s="20">
        <f t="shared" si="22"/>
        <v>268.44509403501723</v>
      </c>
      <c r="FI31" s="59">
        <f t="shared" si="23"/>
        <v>561.77842736835055</v>
      </c>
      <c r="FJ31" s="59">
        <f ca="1">AVERAGE(OFFSET($FI$3,0,0,'Données projet'!$E$16+1,1))-AVERAGE(OFFSET($H$3,0,0,'Données projet'!$E$16+1,1))</f>
        <v>283.77864672734273</v>
      </c>
      <c r="FK31" s="59">
        <f t="shared" si="48"/>
        <v>270.94620935643866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14.2</v>
      </c>
      <c r="FZ31" s="12">
        <f>IF('Données projet'!$A$244&gt;35,FZ30+FY31-GH30,IF(A31&lt;'Données projet'!$A$244,$FW$205^A31,IF(A31='Données projet'!$A$244,'Données projet'!$B$244,FZ30+FY31-GH30)))</f>
        <v>148.59999999999994</v>
      </c>
      <c r="GA31" s="17">
        <f>FZ31*VLOOKUP('Données projet'!$B$17,Paramètres!$A$1:$I$89,3,0)*VLOOKUP('Données projet'!$B$17,Paramètres!$A$1:$I$89,5,0)</f>
        <v>143.72591999999995</v>
      </c>
      <c r="GB31" s="13">
        <f t="shared" si="49"/>
        <v>37.149252269987983</v>
      </c>
      <c r="GC31" s="20">
        <f t="shared" si="25"/>
        <v>315.02425837022901</v>
      </c>
      <c r="GD31" s="59">
        <f t="shared" si="26"/>
        <v>608.35759170356232</v>
      </c>
      <c r="GE31" s="59">
        <f ca="1">AVERAGE(OFFSET($GD$3,0,0,'Données projet'!$E$17+1,1))-AVERAGE(OFFSET($H$3,0,0,'Données projet'!$E$17+1,1))</f>
        <v>347.54503437087288</v>
      </c>
      <c r="GF31" s="59">
        <f t="shared" si="50"/>
        <v>340.05673244455954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25.6</v>
      </c>
      <c r="N32" s="13">
        <f>IF('Données projet'!$A$36&gt;35,N31+M32-V31,IF(A32&lt;'Données projet'!$A$36,$K$205^A32,IF(A32='Données projet'!$A$36,'Données projet'!$B$36,N31+M32-V31)))</f>
        <v>282.40000000000009</v>
      </c>
      <c r="O32" s="13">
        <f>N32*VLOOKUP('Données projet'!$B$9,Paramètres!$A$1:$I$89,3,0)*VLOOKUP('Données projet'!$B$9,Paramètres!$A$1:$I$89,5,0)</f>
        <v>132.16320000000005</v>
      </c>
      <c r="P32" s="13">
        <f t="shared" si="33"/>
        <v>34.495730230009791</v>
      </c>
      <c r="Q32" s="20">
        <f t="shared" si="2"/>
        <v>290.26430348393382</v>
      </c>
      <c r="R32" s="59">
        <f t="shared" si="0"/>
        <v>583.59763681726713</v>
      </c>
      <c r="S32" s="59">
        <f ca="1">AVERAGE(OFFSET($R$3,0,0,'Données projet'!$E$9+1,1))-AVERAGE(OFFSET($H$3,0,0,'Données projet'!$E$9+1,1))</f>
        <v>342.49944586217674</v>
      </c>
      <c r="T32" s="59">
        <f t="shared" si="34"/>
        <v>282.29766600872563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19.177822336792893</v>
      </c>
      <c r="AB32" s="21">
        <f>EXP(-LN(2)/2)*AB31+(1-EXP(-LN(2)/2))/(LN(2)/2)*V32*Y32*VLOOKUP('Données projet'!$B$9,Paramètres!$A$1:$I$89,3,0)*0.475*44/12</f>
        <v>0.11708908606093567</v>
      </c>
      <c r="AC32" s="22">
        <f t="shared" si="3"/>
        <v>19.294911422853829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33</v>
      </c>
      <c r="AI32" s="13">
        <f>IF('Données projet'!$A$62&gt;35,AI31+AH32-AQ31,IF(A32&lt;'Données projet'!$A$62,$AF$205^A32,IF(A32='Données projet'!$A$62,'Données projet'!$B$62,AI31+AH32-AQ31)))</f>
        <v>491</v>
      </c>
      <c r="AJ32" s="13">
        <f>AI32*VLOOKUP('Données projet'!$B$10,Paramètres!$A$1:$I$89,3,0)*VLOOKUP('Données projet'!$B$10,Paramètres!$A$1:$I$89,5,0)</f>
        <v>274.46899999999999</v>
      </c>
      <c r="AK32" s="13">
        <f t="shared" si="35"/>
        <v>65.796795812732981</v>
      </c>
      <c r="AL32" s="20">
        <f t="shared" si="4"/>
        <v>592.62959437384313</v>
      </c>
      <c r="AM32" s="59">
        <f t="shared" si="5"/>
        <v>885.9629277071765</v>
      </c>
      <c r="AN32" s="59">
        <f ca="1">AVERAGE(OFFSET($AM$3,0,0,'Données projet'!$E$10+1,1))-AVERAGE(OFFSET($H$3,0,0,'Données projet'!$E$10+1,1))</f>
        <v>490.96084572840579</v>
      </c>
      <c r="AO32" s="59">
        <f t="shared" si="36"/>
        <v>597.91658789908263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21.816041282595091</v>
      </c>
      <c r="AW32" s="21">
        <f>EXP(-LN(2)/2)*AW31+(1-EXP(-LN(2)/2))/(LN(2)/2)*AQ32*AT32*VLOOKUP('Données projet'!$B$10,Paramètres!$A$1:$I$89,3,0)*0.475*44/12</f>
        <v>1.2027651118148337</v>
      </c>
      <c r="AX32" s="21">
        <f t="shared" si="6"/>
        <v>23.018806394409925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104.19999999999999</v>
      </c>
      <c r="BE32" s="13">
        <f>BD32*VLOOKUP('Données projet'!$B$11,Paramètres!$A$1:$I$89,3,0)*VLOOKUP('Données projet'!$B$11,Paramètres!$A$1:$I$89,5,0)</f>
        <v>82.901519999999991</v>
      </c>
      <c r="BF32" s="13">
        <f t="shared" si="37"/>
        <v>22.845143166728683</v>
      </c>
      <c r="BG32" s="20">
        <f t="shared" si="7"/>
        <v>184.1754383487191</v>
      </c>
      <c r="BH32" s="59">
        <f t="shared" si="8"/>
        <v>477.50877168205238</v>
      </c>
      <c r="BI32" s="59">
        <f ca="1">AVERAGE(OFFSET($BH$3,0,0,'Données projet'!$E$11+1,1))-AVERAGE(OFFSET($H$3,0,0,'Données projet'!$E$11+1,1))</f>
        <v>167.80254365106839</v>
      </c>
      <c r="BJ32" s="59">
        <f t="shared" si="38"/>
        <v>167.42302164950172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22.6</v>
      </c>
      <c r="BY32" s="12">
        <f>IF('Données projet'!$A$114&gt;35,BY31+BX32-CG31,IF(A32&lt;'Données projet'!$A$114,$BV$205^A32,IF(A32='Données projet'!$A$114,'Données projet'!$B$114,BY31+BX32-CG31)))</f>
        <v>255.4</v>
      </c>
      <c r="BZ32" s="13">
        <f>BY32*VLOOKUP('Données projet'!$B$12,Paramètres!$A$1:$I$89,3,0)*VLOOKUP('Données projet'!$B$12,Paramètres!$A$1:$I$89,5,0)</f>
        <v>126.16760000000001</v>
      </c>
      <c r="CA32" s="13">
        <f t="shared" si="39"/>
        <v>33.109267902389888</v>
      </c>
      <c r="CB32" s="20">
        <f t="shared" si="10"/>
        <v>277.40721159666236</v>
      </c>
      <c r="CC32" s="59">
        <f t="shared" si="11"/>
        <v>570.74054492999562</v>
      </c>
      <c r="CD32" s="59">
        <f ca="1">AVERAGE(OFFSET($CC$3,0,0,'Données projet'!$E$12+1,1))-AVERAGE(OFFSET($H$3,0,0,'Données projet'!$E$12+1,1))</f>
        <v>322.06606384496587</v>
      </c>
      <c r="CE32" s="59">
        <f t="shared" si="40"/>
        <v>267.71713177624713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5.5932275497807442</v>
      </c>
      <c r="CN32" s="22">
        <f t="shared" si="12"/>
        <v>5.5932275497807442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16.616666666666664</v>
      </c>
      <c r="CT32" s="12">
        <f>IF('Données projet'!$A$140&gt;35,CT31+CS32-DB31,IF(A32&lt;'Données projet'!$A$140,$CQ$205^A32,IF(A32='Données projet'!$A$140,'Données projet'!$B$140,CT31+CS32-DB31)))</f>
        <v>263.38333333333338</v>
      </c>
      <c r="CU32" s="17">
        <f>CT32*VLOOKUP('Données projet'!$B$13,Paramètres!$A$1:$I$89,3,0)*VLOOKUP('Données projet'!$B$13,Paramètres!$A$1:$I$89,5,0)</f>
        <v>164.35120000000003</v>
      </c>
      <c r="CV32" s="13">
        <f t="shared" si="41"/>
        <v>41.822402860152515</v>
      </c>
      <c r="CW32" s="20">
        <f t="shared" si="13"/>
        <v>359.08569164809904</v>
      </c>
      <c r="CX32" s="59">
        <f t="shared" si="14"/>
        <v>652.41902498143236</v>
      </c>
      <c r="CY32" s="59">
        <f ca="1">AVERAGE(OFFSET($CX$3,0,0,'Données projet'!$E$13+1,1))-AVERAGE(OFFSET($H$3,0,0,'Données projet'!$E$13+1,1))</f>
        <v>269.77739619445515</v>
      </c>
      <c r="CZ32" s="59">
        <f t="shared" si="42"/>
        <v>347.56964743629885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62.481906341233334</v>
      </c>
      <c r="DH32" s="21">
        <f>EXP(-LN(2)/2)*DH31+(1-EXP(-LN(2)/2))/(LN(2)/2)*DB32*DE32*VLOOKUP('Données projet'!$B$13,Paramètres!$A$1:$I$89,3,0)*0.475*44/12</f>
        <v>3.5126725818280691E-2</v>
      </c>
      <c r="DI32" s="22">
        <f t="shared" si="15"/>
        <v>62.517033067051614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22.6</v>
      </c>
      <c r="DO32" s="12">
        <f>IF('Données projet'!$A$166&gt;35,DO31+DN32-DW31,IF(A32&lt;'Données projet'!$A$166,$DL$205^A32,IF(A32='Données projet'!$A$166,'Données projet'!$B$166,DO31+DN32-DW31)))</f>
        <v>255.4</v>
      </c>
      <c r="DP32" s="17">
        <f>DO32*VLOOKUP('Données projet'!$B$14,Paramètres!$A$1:$I$89,3,0)*VLOOKUP('Données projet'!$B$14,Paramètres!$A$1:$I$89,5,0)</f>
        <v>122.84740000000001</v>
      </c>
      <c r="DQ32" s="13">
        <f t="shared" si="43"/>
        <v>32.338199455021801</v>
      </c>
      <c r="DR32" s="20">
        <f t="shared" si="16"/>
        <v>270.28158571749628</v>
      </c>
      <c r="DS32" s="59">
        <f t="shared" si="17"/>
        <v>563.6149190508296</v>
      </c>
      <c r="DT32" s="59">
        <f ca="1">AVERAGE(OFFSET($DS$3,0,0,'Données projet'!$E$14+1,1))-AVERAGE(OFFSET($H$3,0,0,'Données projet'!$E$14+1,1))</f>
        <v>312.64506496298173</v>
      </c>
      <c r="DU32" s="59">
        <f t="shared" si="44"/>
        <v>259.97532509897508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5.4460373511023006</v>
      </c>
      <c r="ED32" s="22">
        <f t="shared" si="18"/>
        <v>5.4460373511023006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</v>
      </c>
      <c r="EJ32" s="12">
        <f>IF('Données projet'!$A$192&gt;35,EJ31+EI32-ER31,IF(A32&lt;'Données projet'!$A$192,$EG$205^A32,IF(A32='Données projet'!$A$192,'Données projet'!$B$192,EJ31+EI32-ER31)))</f>
        <v>90</v>
      </c>
      <c r="EK32" s="17">
        <f>EJ32*VLOOKUP('Données projet'!$B$15,Paramètres!$A$1:$I$89,3,0)*VLOOKUP('Données projet'!$B$15,Paramètres!$A$1:$I$89,5,0)</f>
        <v>81.432000000000002</v>
      </c>
      <c r="EL32" s="13">
        <f t="shared" si="45"/>
        <v>22.486953220240881</v>
      </c>
      <c r="EM32" s="20">
        <f t="shared" si="19"/>
        <v>180.99217685858619</v>
      </c>
      <c r="EN32" s="59">
        <f t="shared" si="20"/>
        <v>474.32551019191953</v>
      </c>
      <c r="EO32" s="59">
        <f ca="1">AVERAGE(OFFSET($EN$3,0,0,'Données projet'!$E$15+1,1))-AVERAGE(OFFSET($H$3,0,0,'Données projet'!$E$15+1,1))</f>
        <v>269.64423257646359</v>
      </c>
      <c r="EP32" s="59">
        <f t="shared" si="46"/>
        <v>161.0819079811821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10.8</v>
      </c>
      <c r="FE32" s="12">
        <f>IF('Données projet'!$A$218&gt;35,FE31+FD32-FM31,IF(A32&lt;'Données projet'!$A$218,$FB$205^A32,IF(A32='Données projet'!$A$218,'Données projet'!$B$218,FE31+FD32-FM31)))</f>
        <v>167.20000000000005</v>
      </c>
      <c r="FF32" s="17">
        <f>FE32*VLOOKUP('Données projet'!$B$16,Paramètres!$A$1:$I$89,3,0)*VLOOKUP('Données projet'!$B$16,Paramètres!$A$1:$I$89,5,0)</f>
        <v>130.41600000000005</v>
      </c>
      <c r="FG32" s="13">
        <f t="shared" si="47"/>
        <v>34.092466837179941</v>
      </c>
      <c r="FH32" s="20">
        <f t="shared" si="22"/>
        <v>286.51891307475512</v>
      </c>
      <c r="FI32" s="59">
        <f t="shared" si="23"/>
        <v>579.85224640808838</v>
      </c>
      <c r="FJ32" s="59">
        <f ca="1">AVERAGE(OFFSET($FI$3,0,0,'Données projet'!$E$16+1,1))-AVERAGE(OFFSET($H$3,0,0,'Données projet'!$E$16+1,1))</f>
        <v>283.77864672734273</v>
      </c>
      <c r="FK32" s="59">
        <f t="shared" si="48"/>
        <v>270.94620935643866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14.2</v>
      </c>
      <c r="FZ32" s="12">
        <f>IF('Données projet'!$A$244&gt;35,FZ31+FY32-GH31,IF(A32&lt;'Données projet'!$A$244,$FW$205^A32,IF(A32='Données projet'!$A$244,'Données projet'!$B$244,FZ31+FY32-GH31)))</f>
        <v>162.79999999999993</v>
      </c>
      <c r="GA32" s="17">
        <f>FZ32*VLOOKUP('Données projet'!$B$17,Paramètres!$A$1:$I$89,3,0)*VLOOKUP('Données projet'!$B$17,Paramètres!$A$1:$I$89,5,0)</f>
        <v>157.46015999999992</v>
      </c>
      <c r="GB32" s="13">
        <f t="shared" si="49"/>
        <v>40.269114998475459</v>
      </c>
      <c r="GC32" s="20">
        <f t="shared" si="25"/>
        <v>344.37848728901122</v>
      </c>
      <c r="GD32" s="59">
        <f t="shared" si="26"/>
        <v>637.71182062234448</v>
      </c>
      <c r="GE32" s="59">
        <f ca="1">AVERAGE(OFFSET($GD$3,0,0,'Données projet'!$E$17+1,1))-AVERAGE(OFFSET($H$3,0,0,'Données projet'!$E$17+1,1))</f>
        <v>347.54503437087288</v>
      </c>
      <c r="GF32" s="59">
        <f t="shared" si="50"/>
        <v>340.05673244455954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308</v>
      </c>
      <c r="L33" s="12">
        <f>VLOOKUP(A33,'Données projet'!$A$35:$I$55,9,0)</f>
        <v>25.6</v>
      </c>
      <c r="M33" s="12">
        <f t="array" ref="M33">INDEX(L:L,MIN(IF(ISNUMBER(L33:L229),ROW(L33:L229),"")))</f>
        <v>25.6</v>
      </c>
      <c r="N33" s="13">
        <f>IF('Données projet'!$A$36&gt;35,N32+M33-V32,IF(A33&lt;'Données projet'!$A$36,$K$205^A33,IF(A33='Données projet'!$A$36,'Données projet'!$B$36,N32+M33-V32)))</f>
        <v>308.00000000000011</v>
      </c>
      <c r="O33" s="13">
        <f>N33*VLOOKUP('Données projet'!$B$9,Paramètres!$A$1:$I$89,3,0)*VLOOKUP('Données projet'!$B$9,Paramètres!$A$1:$I$89,5,0)</f>
        <v>144.14400000000006</v>
      </c>
      <c r="P33" s="13">
        <f t="shared" si="33"/>
        <v>37.244720006976252</v>
      </c>
      <c r="Q33" s="20">
        <f t="shared" si="2"/>
        <v>315.91868734548376</v>
      </c>
      <c r="R33" s="59">
        <f t="shared" si="0"/>
        <v>609.25202067881708</v>
      </c>
      <c r="S33" s="59">
        <f ca="1">AVERAGE(OFFSET($R$3,0,0,'Données projet'!$E$9+1,1))-AVERAGE(OFFSET($H$3,0,0,'Données projet'!$E$9+1,1))</f>
        <v>342.49944586217674</v>
      </c>
      <c r="T33" s="59">
        <f t="shared" si="34"/>
        <v>282.29766600872563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63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40.080538009608269</v>
      </c>
      <c r="AB33" s="21">
        <f>EXP(-LN(2)/2)*AB32+(1-EXP(-LN(2)/2))/(LN(2)/2)*V33*Y33*VLOOKUP('Données projet'!$B$9,Paramètres!$A$1:$I$89,3,0)*0.475*44/12</f>
        <v>8.2794486756622876E-2</v>
      </c>
      <c r="AC33" s="22">
        <f t="shared" si="3"/>
        <v>40.163332496364895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524</v>
      </c>
      <c r="AG33" s="12">
        <f>VLOOKUP(A33,'Données projet'!$A$61:$I$81,9,0)</f>
        <v>33</v>
      </c>
      <c r="AH33" s="12">
        <f t="array" ref="AH33">INDEX(AG:AG,MIN(IF(ISNUMBER(AG33:AG229),ROW(AG33:AG229),"")))</f>
        <v>33</v>
      </c>
      <c r="AI33" s="13">
        <f>IF('Données projet'!$A$62&gt;35,AI32+AH33-AQ32,IF(A33&lt;'Données projet'!$A$62,$AF$205^A33,IF(A33='Données projet'!$A$62,'Données projet'!$B$62,AI32+AH33-AQ32)))</f>
        <v>524</v>
      </c>
      <c r="AJ33" s="13">
        <f>AI33*VLOOKUP('Données projet'!$B$10,Paramètres!$A$1:$I$89,3,0)*VLOOKUP('Données projet'!$B$10,Paramètres!$A$1:$I$89,5,0)</f>
        <v>292.916</v>
      </c>
      <c r="AK33" s="13">
        <f t="shared" si="35"/>
        <v>69.68932587703776</v>
      </c>
      <c r="AL33" s="20">
        <f t="shared" si="4"/>
        <v>631.53760923584082</v>
      </c>
      <c r="AM33" s="59">
        <f t="shared" si="5"/>
        <v>924.87094256917408</v>
      </c>
      <c r="AN33" s="59">
        <f ca="1">AVERAGE(OFFSET($AM$3,0,0,'Données projet'!$E$10+1,1))-AVERAGE(OFFSET($H$3,0,0,'Données projet'!$E$10+1,1))</f>
        <v>490.96084572840579</v>
      </c>
      <c r="AO33" s="59">
        <f t="shared" si="36"/>
        <v>597.91658789908263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90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57.781653979510878</v>
      </c>
      <c r="AW33" s="21">
        <f>EXP(-LN(2)/2)*AW32+(1-EXP(-LN(2)/2))/(LN(2)/2)*AQ33*AT33*VLOOKUP('Données projet'!$B$10,Paramètres!$A$1:$I$89,3,0)*0.475*44/12</f>
        <v>0.85048336673886504</v>
      </c>
      <c r="AX33" s="21">
        <f t="shared" si="6"/>
        <v>58.632137346249742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114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113.99999999999999</v>
      </c>
      <c r="BE33" s="13">
        <f>BD33*VLOOKUP('Données projet'!$B$11,Paramètres!$A$1:$I$89,3,0)*VLOOKUP('Données projet'!$B$11,Paramètres!$A$1:$I$89,5,0)</f>
        <v>90.698399999999992</v>
      </c>
      <c r="BF33" s="13">
        <f t="shared" si="37"/>
        <v>24.733586403594185</v>
      </c>
      <c r="BG33" s="20">
        <f t="shared" si="7"/>
        <v>201.04404298625983</v>
      </c>
      <c r="BH33" s="59">
        <f t="shared" si="8"/>
        <v>494.37737631959317</v>
      </c>
      <c r="BI33" s="59">
        <f ca="1">AVERAGE(OFFSET($BH$3,0,0,'Données projet'!$E$11+1,1))-AVERAGE(OFFSET($H$3,0,0,'Données projet'!$E$11+1,1))</f>
        <v>167.80254365106839</v>
      </c>
      <c r="BJ33" s="59">
        <f t="shared" si="38"/>
        <v>167.42302164950172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278</v>
      </c>
      <c r="BW33" s="12">
        <f>VLOOKUP(A33,'Données projet'!$A$113:$I$133,9,0)</f>
        <v>22.6</v>
      </c>
      <c r="BX33" s="12">
        <f t="array" ref="BX33">INDEX(BW:BW,MIN(IF(ISNUMBER(BW33:BW229),ROW(BW33:BW229),"")))</f>
        <v>22.6</v>
      </c>
      <c r="BY33" s="12">
        <f>IF('Données projet'!$A$114&gt;35,BY32+BX33-CG32,IF(A33&lt;'Données projet'!$A$114,$BV$205^A33,IF(A33='Données projet'!$A$114,'Données projet'!$B$114,BY32+BX33-CG32)))</f>
        <v>278</v>
      </c>
      <c r="BZ33" s="13">
        <f>BY33*VLOOKUP('Données projet'!$B$12,Paramètres!$A$1:$I$89,3,0)*VLOOKUP('Données projet'!$B$12,Paramètres!$A$1:$I$89,5,0)</f>
        <v>137.33199999999999</v>
      </c>
      <c r="CA33" s="13">
        <f t="shared" si="39"/>
        <v>35.685121404596366</v>
      </c>
      <c r="CB33" s="20">
        <f t="shared" si="10"/>
        <v>301.33815311300532</v>
      </c>
      <c r="CC33" s="59">
        <f t="shared" si="11"/>
        <v>594.67148644633858</v>
      </c>
      <c r="CD33" s="59">
        <f ca="1">AVERAGE(OFFSET($CC$3,0,0,'Données projet'!$E$12+1,1))-AVERAGE(OFFSET($H$3,0,0,'Données projet'!$E$12+1,1))</f>
        <v>322.06606384496587</v>
      </c>
      <c r="CE33" s="59">
        <f t="shared" si="40"/>
        <v>267.71713177624713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0.55000000000000004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20.104471626149316</v>
      </c>
      <c r="CM33" s="21">
        <f>EXP(-LN(2)/2)*CM32+(1-EXP(-LN(2)/2))/(LN(2)/2)*CG33*CJ33*VLOOKUP('Données projet'!$B$12,Paramètres!$A$1:$I$89,3,0)*0.475*44/12</f>
        <v>3.9550091291693823</v>
      </c>
      <c r="CN33" s="22">
        <f t="shared" si="12"/>
        <v>24.059480755318699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280</v>
      </c>
      <c r="CR33" s="12">
        <f>VLOOKUP(A33,'Données projet'!$A$139:$I$159,9,0)</f>
        <v>16.616666666666664</v>
      </c>
      <c r="CS33" s="12">
        <f t="array" ref="CS33">INDEX(CR:CR,MIN(IF(ISNUMBER(CR33:CR229),ROW(CR33:CR229),"")))</f>
        <v>16.616666666666664</v>
      </c>
      <c r="CT33" s="12">
        <f>IF('Données projet'!$A$140&gt;35,CT32+CS33-DB32,IF(A33&lt;'Données projet'!$A$140,$CQ$205^A33,IF(A33='Données projet'!$A$140,'Données projet'!$B$140,CT32+CS33-DB32)))</f>
        <v>280.00000000000006</v>
      </c>
      <c r="CU33" s="17">
        <f>CT33*VLOOKUP('Données projet'!$B$13,Paramètres!$A$1:$I$89,3,0)*VLOOKUP('Données projet'!$B$13,Paramètres!$A$1:$I$89,5,0)</f>
        <v>174.72000000000006</v>
      </c>
      <c r="CV33" s="13">
        <f t="shared" si="41"/>
        <v>44.145455754865246</v>
      </c>
      <c r="CW33" s="20">
        <f t="shared" si="13"/>
        <v>381.19066877305704</v>
      </c>
      <c r="CX33" s="59">
        <f t="shared" si="14"/>
        <v>674.5240021063903</v>
      </c>
      <c r="CY33" s="59">
        <f ca="1">AVERAGE(OFFSET($CX$3,0,0,'Données projet'!$E$13+1,1))-AVERAGE(OFFSET($H$3,0,0,'Données projet'!$E$13+1,1))</f>
        <v>269.77739619445515</v>
      </c>
      <c r="CZ33" s="59">
        <f t="shared" si="42"/>
        <v>347.56964743629885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62.6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0.6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91.742191961336417</v>
      </c>
      <c r="DH33" s="21">
        <f>EXP(-LN(2)/2)*DH32+(1-EXP(-LN(2)/2))/(LN(2)/2)*DB33*DE33*VLOOKUP('Données projet'!$B$13,Paramètres!$A$1:$I$89,3,0)*0.475*44/12</f>
        <v>2.4838346026986854E-2</v>
      </c>
      <c r="DI33" s="22">
        <f t="shared" si="15"/>
        <v>91.767030307363399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278</v>
      </c>
      <c r="DM33" s="12">
        <f>VLOOKUP(A33,'Données projet'!$A$165:$I$185,9,0)</f>
        <v>22.6</v>
      </c>
      <c r="DN33" s="12">
        <f t="array" ref="DN33">INDEX(DM:DM,MIN(IF(ISNUMBER(DM33:DM229),ROW(DM33:DM229),"")))</f>
        <v>22.6</v>
      </c>
      <c r="DO33" s="12">
        <f>IF('Données projet'!$A$166&gt;35,DO32+DN33-DW32,IF(A33&lt;'Données projet'!$A$166,$DL$205^A33,IF(A33='Données projet'!$A$166,'Données projet'!$B$166,DO32+DN33-DW32)))</f>
        <v>278</v>
      </c>
      <c r="DP33" s="17">
        <f>DO33*VLOOKUP('Données projet'!$B$14,Paramètres!$A$1:$I$89,3,0)*VLOOKUP('Données projet'!$B$14,Paramètres!$A$1:$I$89,5,0)</f>
        <v>133.71800000000002</v>
      </c>
      <c r="DQ33" s="13">
        <f t="shared" si="43"/>
        <v>34.854064939176951</v>
      </c>
      <c r="DR33" s="20">
        <f t="shared" si="16"/>
        <v>293.59634643573321</v>
      </c>
      <c r="DS33" s="59">
        <f t="shared" si="17"/>
        <v>586.92967976906652</v>
      </c>
      <c r="DT33" s="59">
        <f ca="1">AVERAGE(OFFSET($DS$3,0,0,'Données projet'!$E$14+1,1))-AVERAGE(OFFSET($H$3,0,0,'Données projet'!$E$14+1,1))</f>
        <v>312.64506496298173</v>
      </c>
      <c r="DU33" s="59">
        <f t="shared" si="44"/>
        <v>259.97532509897508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56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0.55000000000000004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19.57540658335591</v>
      </c>
      <c r="EC33" s="21">
        <f>EXP(-LN(2)/2)*EC32+(1-EXP(-LN(2)/2))/(LN(2)/2)*DW33*DZ33*VLOOKUP('Données projet'!$B$14,Paramètres!$A$1:$I$89,3,0)*0.475*44/12</f>
        <v>3.8509299415596594</v>
      </c>
      <c r="ED33" s="22">
        <f t="shared" si="18"/>
        <v>23.42633652491557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97</v>
      </c>
      <c r="EH33" s="12">
        <f>VLOOKUP(A33,'Données projet'!$A$191:$I$211,9,0)</f>
        <v>7</v>
      </c>
      <c r="EI33" s="12">
        <f t="array" ref="EI33">INDEX(EH:EH,MIN(IF(ISNUMBER(EH33:EH229),ROW(EH33:EH229),"")))</f>
        <v>7</v>
      </c>
      <c r="EJ33" s="12">
        <f>IF('Données projet'!$A$192&gt;35,EJ32+EI33-ER32,IF(A33&lt;'Données projet'!$A$192,$EG$205^A33,IF(A33='Données projet'!$A$192,'Données projet'!$B$192,EJ32+EI33-ER32)))</f>
        <v>97</v>
      </c>
      <c r="EK33" s="17">
        <f>EJ33*VLOOKUP('Données projet'!$B$15,Paramètres!$A$1:$I$89,3,0)*VLOOKUP('Données projet'!$B$15,Paramètres!$A$1:$I$89,5,0)</f>
        <v>87.765600000000006</v>
      </c>
      <c r="EL33" s="13">
        <f t="shared" si="45"/>
        <v>24.025555589247954</v>
      </c>
      <c r="EM33" s="20">
        <f t="shared" si="19"/>
        <v>194.7029293179402</v>
      </c>
      <c r="EN33" s="59">
        <f t="shared" si="20"/>
        <v>488.03626265127355</v>
      </c>
      <c r="EO33" s="59">
        <f ca="1">AVERAGE(OFFSET($EN$3,0,0,'Données projet'!$E$15+1,1))-AVERAGE(OFFSET($H$3,0,0,'Données projet'!$E$15+1,1))</f>
        <v>269.64423257646359</v>
      </c>
      <c r="EP33" s="59">
        <f t="shared" si="46"/>
        <v>161.0819079811821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21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178</v>
      </c>
      <c r="FC33" s="12">
        <f>VLOOKUP(A33,'Données projet'!$A$217:$I$237,9,0)</f>
        <v>10.8</v>
      </c>
      <c r="FD33" s="12">
        <f t="array" ref="FD33">INDEX(FC:FC,MIN(IF(ISNUMBER(FC33:FC229),ROW(FC33:FC229),"")))</f>
        <v>10.8</v>
      </c>
      <c r="FE33" s="12">
        <f>IF('Données projet'!$A$218&gt;35,FE32+FD33-FM32,IF(A33&lt;'Données projet'!$A$218,$FB$205^A33,IF(A33='Données projet'!$A$218,'Données projet'!$B$218,FE32+FD33-FM32)))</f>
        <v>178.00000000000006</v>
      </c>
      <c r="FF33" s="17">
        <f>FE33*VLOOKUP('Données projet'!$B$16,Paramètres!$A$1:$I$89,3,0)*VLOOKUP('Données projet'!$B$16,Paramètres!$A$1:$I$89,5,0)</f>
        <v>138.84000000000006</v>
      </c>
      <c r="FG33" s="13">
        <f t="shared" si="47"/>
        <v>36.031137240112955</v>
      </c>
      <c r="FH33" s="20">
        <f t="shared" si="22"/>
        <v>304.56723069319679</v>
      </c>
      <c r="FI33" s="59">
        <f t="shared" si="23"/>
        <v>597.90056402653011</v>
      </c>
      <c r="FJ33" s="59">
        <f ca="1">AVERAGE(OFFSET($FI$3,0,0,'Données projet'!$E$16+1,1))-AVERAGE(OFFSET($H$3,0,0,'Données projet'!$E$16+1,1))</f>
        <v>283.77864672734273</v>
      </c>
      <c r="FK33" s="59">
        <f t="shared" si="48"/>
        <v>270.94620935643866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23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177</v>
      </c>
      <c r="FX33" s="12">
        <f>VLOOKUP(A33,'Données projet'!$A$243:$I$263,9,0)</f>
        <v>14.2</v>
      </c>
      <c r="FY33" s="12">
        <f t="array" ref="FY33">INDEX(FX:FX,MIN(IF(ISNUMBER(FX33:FX229),ROW(FX33:FX229),"")))</f>
        <v>14.2</v>
      </c>
      <c r="FZ33" s="12">
        <f>IF('Données projet'!$A$244&gt;35,FZ32+FY33-GH32,IF(A33&lt;'Données projet'!$A$244,$FW$205^A33,IF(A33='Données projet'!$A$244,'Données projet'!$B$244,FZ32+FY33-GH32)))</f>
        <v>176.99999999999991</v>
      </c>
      <c r="GA33" s="17">
        <f>FZ33*VLOOKUP('Données projet'!$B$17,Paramètres!$A$1:$I$89,3,0)*VLOOKUP('Données projet'!$B$17,Paramètres!$A$1:$I$89,5,0)</f>
        <v>171.19439999999994</v>
      </c>
      <c r="GB33" s="13">
        <f t="shared" si="49"/>
        <v>43.35742035290977</v>
      </c>
      <c r="GC33" s="20">
        <f t="shared" si="25"/>
        <v>373.67775378131773</v>
      </c>
      <c r="GD33" s="59">
        <f t="shared" si="26"/>
        <v>667.01108711465099</v>
      </c>
      <c r="GE33" s="59">
        <f ca="1">AVERAGE(OFFSET($GD$3,0,0,'Données projet'!$E$17+1,1))-AVERAGE(OFFSET($H$3,0,0,'Données projet'!$E$17+1,1))</f>
        <v>347.54503437087288</v>
      </c>
      <c r="GF33" s="59">
        <f t="shared" si="50"/>
        <v>340.05673244455954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35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26.2</v>
      </c>
      <c r="N34" s="13">
        <f>IF('Données projet'!$A$36&gt;35,N33+M34-V33,IF(A34&lt;'Données projet'!$A$36,$K$205^A34,IF(A34='Données projet'!$A$36,'Données projet'!$B$36,N33+M34-V33)))</f>
        <v>271.2000000000001</v>
      </c>
      <c r="O34" s="13">
        <f>N34*VLOOKUP('Données projet'!$B$9,Paramètres!$A$1:$I$89,3,0)*VLOOKUP('Données projet'!$B$9,Paramètres!$A$1:$I$89,5,0)</f>
        <v>126.92160000000005</v>
      </c>
      <c r="P34" s="13">
        <f t="shared" si="33"/>
        <v>33.284042392731578</v>
      </c>
      <c r="Q34" s="20">
        <f t="shared" si="2"/>
        <v>279.0248271673409</v>
      </c>
      <c r="R34" s="59">
        <f t="shared" si="0"/>
        <v>572.35816050067422</v>
      </c>
      <c r="S34" s="59">
        <f ca="1">AVERAGE(OFFSET($R$3,0,0,'Données projet'!$E$9+1,1))-AVERAGE(OFFSET($H$3,0,0,'Données projet'!$E$9+1,1))</f>
        <v>342.49944586217674</v>
      </c>
      <c r="T34" s="59">
        <f t="shared" si="34"/>
        <v>282.29766600872563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38.984533589991642</v>
      </c>
      <c r="AB34" s="21">
        <f>EXP(-LN(2)/2)*AB33+(1-EXP(-LN(2)/2))/(LN(2)/2)*V34*Y34*VLOOKUP('Données projet'!$B$9,Paramètres!$A$1:$I$89,3,0)*0.475*44/12</f>
        <v>5.8544543030467841E-2</v>
      </c>
      <c r="AC34" s="22">
        <f t="shared" si="3"/>
        <v>39.043078133022107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28.4</v>
      </c>
      <c r="AI34" s="13">
        <f>IF('Données projet'!$A$62&gt;35,AI33+AH34-AQ33,IF(A34&lt;'Données projet'!$A$62,$AF$205^A34,IF(A34='Données projet'!$A$62,'Données projet'!$B$62,AI33+AH34-AQ33)))</f>
        <v>462.4</v>
      </c>
      <c r="AJ34" s="13">
        <f>AI34*VLOOKUP('Données projet'!$B$10,Paramètres!$A$1:$I$89,3,0)*VLOOKUP('Données projet'!$B$10,Paramètres!$A$1:$I$89,5,0)</f>
        <v>258.48160000000001</v>
      </c>
      <c r="AK34" s="13">
        <f t="shared" si="35"/>
        <v>62.398606187610767</v>
      </c>
      <c r="AL34" s="20">
        <f t="shared" si="4"/>
        <v>558.86635911008875</v>
      </c>
      <c r="AM34" s="59">
        <f t="shared" si="5"/>
        <v>852.19969244342201</v>
      </c>
      <c r="AN34" s="59">
        <f ca="1">AVERAGE(OFFSET($AM$3,0,0,'Données projet'!$E$10+1,1))-AVERAGE(OFFSET($H$3,0,0,'Données projet'!$E$10+1,1))</f>
        <v>490.96084572840579</v>
      </c>
      <c r="AO34" s="59">
        <f t="shared" si="36"/>
        <v>597.91658789908263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56.201611612836032</v>
      </c>
      <c r="AW34" s="21">
        <f>EXP(-LN(2)/2)*AW33+(1-EXP(-LN(2)/2))/(LN(2)/2)*AQ34*AT34*VLOOKUP('Données projet'!$B$10,Paramètres!$A$1:$I$89,3,0)*0.475*44/12</f>
        <v>0.60138255590741696</v>
      </c>
      <c r="AX34" s="21">
        <f t="shared" si="6"/>
        <v>56.802994168743446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8.6</v>
      </c>
      <c r="BD34" s="12">
        <f>IF('Données projet'!$A$88&gt;35,BD33+BC34-BL33,IF(A34&lt;'Données projet'!$A$88,$BA$205^A34,IF(A34='Données projet'!$A$88,'Données projet'!$B$88,BD33+BC34-BL33)))</f>
        <v>101.59999999999998</v>
      </c>
      <c r="BE34" s="13">
        <f>BD34*VLOOKUP('Données projet'!$B$11,Paramètres!$A$1:$I$89,3,0)*VLOOKUP('Données projet'!$B$11,Paramètres!$A$1:$I$89,5,0)</f>
        <v>80.832959999999986</v>
      </c>
      <c r="BF34" s="13">
        <f t="shared" si="37"/>
        <v>22.340724239136428</v>
      </c>
      <c r="BG34" s="20">
        <f t="shared" si="7"/>
        <v>179.69416671649591</v>
      </c>
      <c r="BH34" s="59">
        <f t="shared" si="8"/>
        <v>473.0275000498292</v>
      </c>
      <c r="BI34" s="59">
        <f ca="1">AVERAGE(OFFSET($BH$3,0,0,'Données projet'!$E$11+1,1))-AVERAGE(OFFSET($H$3,0,0,'Données projet'!$E$11+1,1))</f>
        <v>167.80254365106839</v>
      </c>
      <c r="BJ34" s="59">
        <f t="shared" si="38"/>
        <v>167.42302164950172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22.8</v>
      </c>
      <c r="BY34" s="12">
        <f>IF('Données projet'!$A$114&gt;35,BY33+BX34-CG33,IF(A34&lt;'Données projet'!$A$114,$BV$205^A34,IF(A34='Données projet'!$A$114,'Données projet'!$B$114,BY33+BX34-CG33)))</f>
        <v>244.8</v>
      </c>
      <c r="BZ34" s="13">
        <f>BY34*VLOOKUP('Données projet'!$B$12,Paramètres!$A$1:$I$89,3,0)*VLOOKUP('Données projet'!$B$12,Paramètres!$A$1:$I$89,5,0)</f>
        <v>120.9312</v>
      </c>
      <c r="CA34" s="13">
        <f t="shared" si="39"/>
        <v>31.892088595533622</v>
      </c>
      <c r="CB34" s="20">
        <f t="shared" si="10"/>
        <v>266.16722763722106</v>
      </c>
      <c r="CC34" s="59">
        <f t="shared" si="11"/>
        <v>559.50056097055437</v>
      </c>
      <c r="CD34" s="59">
        <f ca="1">AVERAGE(OFFSET($CC$3,0,0,'Données projet'!$E$12+1,1))-AVERAGE(OFFSET($H$3,0,0,'Données projet'!$E$12+1,1))</f>
        <v>322.06606384496587</v>
      </c>
      <c r="CE34" s="59">
        <f t="shared" si="40"/>
        <v>267.71713177624713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19.554713792284048</v>
      </c>
      <c r="CM34" s="21">
        <f>EXP(-LN(2)/2)*CM33+(1-EXP(-LN(2)/2))/(LN(2)/2)*CG34*CJ34*VLOOKUP('Données projet'!$B$12,Paramètres!$A$1:$I$89,3,0)*0.475*44/12</f>
        <v>2.7966137748903726</v>
      </c>
      <c r="CN34" s="22">
        <f t="shared" si="12"/>
        <v>22.351327567174419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14.6</v>
      </c>
      <c r="CT34" s="12">
        <f>IF('Données projet'!$A$140&gt;35,CT33+CS34-DB33,IF(A34&lt;'Données projet'!$A$140,$CQ$205^A34,IF(A34='Données projet'!$A$140,'Données projet'!$B$140,CT33+CS34-DB33)))</f>
        <v>232.00000000000009</v>
      </c>
      <c r="CU34" s="17">
        <f>CT34*VLOOKUP('Données projet'!$B$13,Paramètres!$A$1:$I$89,3,0)*VLOOKUP('Données projet'!$B$13,Paramètres!$A$1:$I$89,5,0)</f>
        <v>144.76800000000006</v>
      </c>
      <c r="CV34" s="13">
        <f t="shared" si="41"/>
        <v>37.387149255707826</v>
      </c>
      <c r="CW34" s="20">
        <f t="shared" si="13"/>
        <v>317.25355162035788</v>
      </c>
      <c r="CX34" s="59">
        <f t="shared" si="14"/>
        <v>610.5868849536912</v>
      </c>
      <c r="CY34" s="59">
        <f ca="1">AVERAGE(OFFSET($CX$3,0,0,'Données projet'!$E$13+1,1))-AVERAGE(OFFSET($H$3,0,0,'Données projet'!$E$13+1,1))</f>
        <v>269.77739619445515</v>
      </c>
      <c r="CZ34" s="59">
        <f t="shared" si="42"/>
        <v>347.56964743629885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89.233496897641473</v>
      </c>
      <c r="DH34" s="21">
        <f>EXP(-LN(2)/2)*DH33+(1-EXP(-LN(2)/2))/(LN(2)/2)*DB34*DE34*VLOOKUP('Données projet'!$B$13,Paramètres!$A$1:$I$89,3,0)*0.475*44/12</f>
        <v>1.7563362909140345E-2</v>
      </c>
      <c r="DI34" s="22">
        <f t="shared" si="15"/>
        <v>89.251060260550616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22.8</v>
      </c>
      <c r="DO34" s="12">
        <f>IF('Données projet'!$A$166&gt;35,DO33+DN34-DW33,IF(A34&lt;'Données projet'!$A$166,$DL$205^A34,IF(A34='Données projet'!$A$166,'Données projet'!$B$166,DO33+DN34-DW33)))</f>
        <v>244.8</v>
      </c>
      <c r="DP34" s="17">
        <f>DO34*VLOOKUP('Données projet'!$B$14,Paramètres!$A$1:$I$89,3,0)*VLOOKUP('Données projet'!$B$14,Paramètres!$A$1:$I$89,5,0)</f>
        <v>117.74880000000002</v>
      </c>
      <c r="DQ34" s="13">
        <f t="shared" si="43"/>
        <v>31.149366548366025</v>
      </c>
      <c r="DR34" s="20">
        <f t="shared" si="16"/>
        <v>259.33097340507084</v>
      </c>
      <c r="DS34" s="59">
        <f t="shared" si="17"/>
        <v>552.66430673840409</v>
      </c>
      <c r="DT34" s="59">
        <f ca="1">AVERAGE(OFFSET($DS$3,0,0,'Données projet'!$E$14+1,1))-AVERAGE(OFFSET($H$3,0,0,'Données projet'!$E$14+1,1))</f>
        <v>312.64506496298173</v>
      </c>
      <c r="DU34" s="59">
        <f t="shared" si="44"/>
        <v>259.97532509897508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19.040116060908151</v>
      </c>
      <c r="EC34" s="21">
        <f>EXP(-LN(2)/2)*EC33+(1-EXP(-LN(2)/2))/(LN(2)/2)*DW34*DZ34*VLOOKUP('Données projet'!$B$14,Paramètres!$A$1:$I$89,3,0)*0.475*44/12</f>
        <v>2.7230186755511503</v>
      </c>
      <c r="ED34" s="22">
        <f t="shared" si="18"/>
        <v>21.7631347364593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</v>
      </c>
      <c r="EJ34" s="12">
        <f>IF('Données projet'!$A$192&gt;35,EJ33+EI34-ER33,IF(A34&lt;'Données projet'!$A$192,$EG$205^A34,IF(A34='Données projet'!$A$192,'Données projet'!$B$192,EJ33+EI34-ER33)))</f>
        <v>84</v>
      </c>
      <c r="EK34" s="17">
        <f>EJ34*VLOOKUP('Données projet'!$B$15,Paramètres!$A$1:$I$89,3,0)*VLOOKUP('Données projet'!$B$15,Paramètres!$A$1:$I$89,5,0)</f>
        <v>76.003200000000007</v>
      </c>
      <c r="EL34" s="13">
        <f t="shared" si="45"/>
        <v>21.157049992000456</v>
      </c>
      <c r="EM34" s="20">
        <f t="shared" si="19"/>
        <v>169.22076873606747</v>
      </c>
      <c r="EN34" s="59">
        <f t="shared" si="20"/>
        <v>462.55410206940076</v>
      </c>
      <c r="EO34" s="59">
        <f ca="1">AVERAGE(OFFSET($EN$3,0,0,'Données projet'!$E$15+1,1))-AVERAGE(OFFSET($H$3,0,0,'Données projet'!$E$15+1,1))</f>
        <v>269.64423257646359</v>
      </c>
      <c r="EP34" s="59">
        <f t="shared" si="46"/>
        <v>161.0819079811821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11.6</v>
      </c>
      <c r="FE34" s="12">
        <f>IF('Données projet'!$A$218&gt;35,FE33+FD34-FM33,IF(A34&lt;'Données projet'!$A$218,$FB$205^A34,IF(A34='Données projet'!$A$218,'Données projet'!$B$218,FE33+FD34-FM33)))</f>
        <v>166.60000000000005</v>
      </c>
      <c r="FF34" s="17">
        <f>FE34*VLOOKUP('Données projet'!$B$16,Paramètres!$A$1:$I$89,3,0)*VLOOKUP('Données projet'!$B$16,Paramètres!$A$1:$I$89,5,0)</f>
        <v>129.94800000000004</v>
      </c>
      <c r="FG34" s="13">
        <f t="shared" si="47"/>
        <v>33.984343379340828</v>
      </c>
      <c r="FH34" s="20">
        <f t="shared" si="22"/>
        <v>285.51549805235203</v>
      </c>
      <c r="FI34" s="59">
        <f t="shared" si="23"/>
        <v>578.84883138568534</v>
      </c>
      <c r="FJ34" s="59">
        <f ca="1">AVERAGE(OFFSET($FI$3,0,0,'Données projet'!$E$16+1,1))-AVERAGE(OFFSET($H$3,0,0,'Données projet'!$E$16+1,1))</f>
        <v>283.77864672734273</v>
      </c>
      <c r="FK34" s="59">
        <f t="shared" si="48"/>
        <v>270.94620935643866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12.8</v>
      </c>
      <c r="FZ34" s="12">
        <f>IF('Données projet'!$A$244&gt;35,FZ33+FY34-GH33,IF(A34&lt;'Données projet'!$A$244,$FW$205^A34,IF(A34='Données projet'!$A$244,'Données projet'!$B$244,FZ33+FY34-GH33)))</f>
        <v>154.79999999999993</v>
      </c>
      <c r="GA34" s="17">
        <f>FZ34*VLOOKUP('Données projet'!$B$17,Paramètres!$A$1:$I$89,3,0)*VLOOKUP('Données projet'!$B$17,Paramètres!$A$1:$I$89,5,0)</f>
        <v>149.72255999999993</v>
      </c>
      <c r="GB34" s="13">
        <f t="shared" si="49"/>
        <v>38.515529593578471</v>
      </c>
      <c r="GC34" s="20">
        <f t="shared" si="25"/>
        <v>327.84800604214905</v>
      </c>
      <c r="GD34" s="59">
        <f t="shared" si="26"/>
        <v>621.18133937548237</v>
      </c>
      <c r="GE34" s="59">
        <f ca="1">AVERAGE(OFFSET($GD$3,0,0,'Données projet'!$E$17+1,1))-AVERAGE(OFFSET($H$3,0,0,'Données projet'!$E$17+1,1))</f>
        <v>347.54503437087288</v>
      </c>
      <c r="GF34" s="59">
        <f t="shared" si="50"/>
        <v>340.05673244455954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26.2</v>
      </c>
      <c r="N35" s="13">
        <f>IF('Données projet'!$A$36&gt;35,N34+M35-V34,IF(A35&lt;'Données projet'!$A$36,$K$205^A35,IF(A35='Données projet'!$A$36,'Données projet'!$B$36,N34+M35-V34)))</f>
        <v>297.40000000000009</v>
      </c>
      <c r="O35" s="13">
        <f>N35*VLOOKUP('Données projet'!$B$9,Paramètres!$A$1:$I$89,3,0)*VLOOKUP('Données projet'!$B$9,Paramètres!$A$1:$I$89,5,0)</f>
        <v>139.18320000000006</v>
      </c>
      <c r="P35" s="13">
        <f t="shared" si="33"/>
        <v>36.109824409784167</v>
      </c>
      <c r="Q35" s="20">
        <f t="shared" ref="Q35:Q66" si="53">(O35+P35)*0.475*44/12</f>
        <v>305.30201751370748</v>
      </c>
      <c r="R35" s="59">
        <f t="shared" si="0"/>
        <v>598.63535084704085</v>
      </c>
      <c r="S35" s="59">
        <f ca="1">AVERAGE(OFFSET($R$3,0,0,'Données projet'!$E$9+1,1))-AVERAGE(OFFSET($H$3,0,0,'Données projet'!$E$9+1,1))</f>
        <v>342.49944586217674</v>
      </c>
      <c r="T35" s="59">
        <f t="shared" si="34"/>
        <v>282.29766600872563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37.918499468865797</v>
      </c>
      <c r="AB35" s="21">
        <f>EXP(-LN(2)/2)*AB34+(1-EXP(-LN(2)/2))/(LN(2)/2)*V35*Y35*VLOOKUP('Données projet'!$B$9,Paramètres!$A$1:$I$89,3,0)*0.475*44/12</f>
        <v>4.1397243378311445E-2</v>
      </c>
      <c r="AC35" s="22">
        <f t="shared" si="3"/>
        <v>37.95989671224411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28.4</v>
      </c>
      <c r="AI35" s="13">
        <f>IF('Données projet'!$A$62&gt;35,AI34+AH35-AQ34,IF(A35&lt;'Données projet'!$A$62,$AF$205^A35,IF(A35='Données projet'!$A$62,'Données projet'!$B$62,AI34+AH35-AQ34)))</f>
        <v>490.79999999999995</v>
      </c>
      <c r="AJ35" s="13">
        <f>AI35*VLOOKUP('Données projet'!$B$10,Paramètres!$A$1:$I$89,3,0)*VLOOKUP('Données projet'!$B$10,Paramètres!$A$1:$I$89,5,0)</f>
        <v>274.35719999999998</v>
      </c>
      <c r="AK35" s="13">
        <f t="shared" si="35"/>
        <v>65.773113764972635</v>
      </c>
      <c r="AL35" s="20">
        <f t="shared" si="4"/>
        <v>592.39362980732722</v>
      </c>
      <c r="AM35" s="59">
        <f t="shared" si="5"/>
        <v>885.72696314066047</v>
      </c>
      <c r="AN35" s="59">
        <f ca="1">AVERAGE(OFFSET($AM$3,0,0,'Données projet'!$E$10+1,1))-AVERAGE(OFFSET($H$3,0,0,'Données projet'!$E$10+1,1))</f>
        <v>490.96084572840579</v>
      </c>
      <c r="AO35" s="59">
        <f t="shared" si="36"/>
        <v>597.91658789908263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54.66477558776873</v>
      </c>
      <c r="AW35" s="21">
        <f>EXP(-LN(2)/2)*AW34+(1-EXP(-LN(2)/2))/(LN(2)/2)*AQ35*AT35*VLOOKUP('Données projet'!$B$10,Paramètres!$A$1:$I$89,3,0)*0.475*44/12</f>
        <v>0.42524168336943258</v>
      </c>
      <c r="AX35" s="21">
        <f t="shared" si="6"/>
        <v>55.090017271138166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8.6</v>
      </c>
      <c r="BD35" s="12">
        <f>IF('Données projet'!$A$88&gt;35,BD34+BC35-BL34,IF(A35&lt;'Données projet'!$A$88,$BA$205^A35,IF(A35='Données projet'!$A$88,'Données projet'!$B$88,BD34+BC35-BL34)))</f>
        <v>110.19999999999997</v>
      </c>
      <c r="BE35" s="13">
        <f>BD35*VLOOKUP('Données projet'!$B$11,Paramètres!$A$1:$I$89,3,0)*VLOOKUP('Données projet'!$B$11,Paramètres!$A$1:$I$89,5,0)</f>
        <v>87.675119999999993</v>
      </c>
      <c r="BF35" s="13">
        <f t="shared" si="37"/>
        <v>24.003668728272238</v>
      </c>
      <c r="BG35" s="20">
        <f t="shared" si="7"/>
        <v>194.5072237017408</v>
      </c>
      <c r="BH35" s="59">
        <f t="shared" si="8"/>
        <v>487.84055703507408</v>
      </c>
      <c r="BI35" s="59">
        <f ca="1">AVERAGE(OFFSET($BH$3,0,0,'Données projet'!$E$11+1,1))-AVERAGE(OFFSET($H$3,0,0,'Données projet'!$E$11+1,1))</f>
        <v>167.80254365106839</v>
      </c>
      <c r="BJ35" s="59">
        <f t="shared" si="38"/>
        <v>167.42302164950172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22.8</v>
      </c>
      <c r="BY35" s="12">
        <f>IF('Données projet'!$A$114&gt;35,BY34+BX35-CG34,IF(A35&lt;'Données projet'!$A$114,$BV$205^A35,IF(A35='Données projet'!$A$114,'Données projet'!$B$114,BY34+BX35-CG34)))</f>
        <v>267.60000000000002</v>
      </c>
      <c r="BZ35" s="13">
        <f>BY35*VLOOKUP('Données projet'!$B$12,Paramètres!$A$1:$I$89,3,0)*VLOOKUP('Données projet'!$B$12,Paramètres!$A$1:$I$89,5,0)</f>
        <v>132.19440000000003</v>
      </c>
      <c r="CA35" s="13">
        <f t="shared" si="39"/>
        <v>34.502925699435174</v>
      </c>
      <c r="CB35" s="20">
        <f t="shared" si="10"/>
        <v>290.33117559318293</v>
      </c>
      <c r="CC35" s="59">
        <f t="shared" si="11"/>
        <v>583.66450892651619</v>
      </c>
      <c r="CD35" s="59">
        <f ca="1">AVERAGE(OFFSET($CC$3,0,0,'Données projet'!$E$12+1,1))-AVERAGE(OFFSET($H$3,0,0,'Données projet'!$E$12+1,1))</f>
        <v>322.06606384496587</v>
      </c>
      <c r="CE35" s="59">
        <f t="shared" si="40"/>
        <v>267.71713177624713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19.019989115296337</v>
      </c>
      <c r="CM35" s="21">
        <f>EXP(-LN(2)/2)*CM34+(1-EXP(-LN(2)/2))/(LN(2)/2)*CG35*CJ35*VLOOKUP('Données projet'!$B$12,Paramètres!$A$1:$I$89,3,0)*0.475*44/12</f>
        <v>1.9775045645846914</v>
      </c>
      <c r="CN35" s="22">
        <f t="shared" si="12"/>
        <v>20.997493679881028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14.6</v>
      </c>
      <c r="CT35" s="12">
        <f>IF('Données projet'!$A$140&gt;35,CT34+CS35-DB34,IF(A35&lt;'Données projet'!$A$140,$CQ$205^A35,IF(A35='Données projet'!$A$140,'Données projet'!$B$140,CT34+CS35-DB34)))</f>
        <v>246.60000000000008</v>
      </c>
      <c r="CU35" s="17">
        <f>CT35*VLOOKUP('Données projet'!$B$13,Paramètres!$A$1:$I$89,3,0)*VLOOKUP('Données projet'!$B$13,Paramètres!$A$1:$I$89,5,0)</f>
        <v>153.87840000000006</v>
      </c>
      <c r="CV35" s="13">
        <f t="shared" si="41"/>
        <v>39.458652209792398</v>
      </c>
      <c r="CW35" s="20">
        <f t="shared" si="13"/>
        <v>336.72869926538851</v>
      </c>
      <c r="CX35" s="59">
        <f t="shared" si="14"/>
        <v>630.06203259872177</v>
      </c>
      <c r="CY35" s="59">
        <f ca="1">AVERAGE(OFFSET($CX$3,0,0,'Données projet'!$E$13+1,1))-AVERAGE(OFFSET($H$3,0,0,'Données projet'!$E$13+1,1))</f>
        <v>269.77739619445515</v>
      </c>
      <c r="CZ35" s="59">
        <f t="shared" si="42"/>
        <v>347.56964743629885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86.793402232389809</v>
      </c>
      <c r="DH35" s="21">
        <f>EXP(-LN(2)/2)*DH34+(1-EXP(-LN(2)/2))/(LN(2)/2)*DB35*DE35*VLOOKUP('Données projet'!$B$13,Paramètres!$A$1:$I$89,3,0)*0.475*44/12</f>
        <v>1.2419173013493427E-2</v>
      </c>
      <c r="DI35" s="22">
        <f t="shared" si="15"/>
        <v>86.805821405403307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22.8</v>
      </c>
      <c r="DO35" s="12">
        <f>IF('Données projet'!$A$166&gt;35,DO34+DN35-DW34,IF(A35&lt;'Données projet'!$A$166,$DL$205^A35,IF(A35='Données projet'!$A$166,'Données projet'!$B$166,DO34+DN35-DW34)))</f>
        <v>267.60000000000002</v>
      </c>
      <c r="DP35" s="17">
        <f>DO35*VLOOKUP('Données projet'!$B$14,Paramètres!$A$1:$I$89,3,0)*VLOOKUP('Données projet'!$B$14,Paramètres!$A$1:$I$89,5,0)</f>
        <v>128.71559999999999</v>
      </c>
      <c r="DQ35" s="13">
        <f t="shared" si="43"/>
        <v>33.699400915161661</v>
      </c>
      <c r="DR35" s="20">
        <f t="shared" si="16"/>
        <v>282.87279326057325</v>
      </c>
      <c r="DS35" s="59">
        <f t="shared" si="17"/>
        <v>576.20612659390656</v>
      </c>
      <c r="DT35" s="59">
        <f ca="1">AVERAGE(OFFSET($DS$3,0,0,'Données projet'!$E$14+1,1))-AVERAGE(OFFSET($H$3,0,0,'Données projet'!$E$14+1,1))</f>
        <v>312.64506496298173</v>
      </c>
      <c r="DU35" s="59">
        <f t="shared" si="44"/>
        <v>259.97532509897508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18.51946308594643</v>
      </c>
      <c r="EC35" s="21">
        <f>EXP(-LN(2)/2)*EC34+(1-EXP(-LN(2)/2))/(LN(2)/2)*DW35*DZ35*VLOOKUP('Données projet'!$B$14,Paramètres!$A$1:$I$89,3,0)*0.475*44/12</f>
        <v>1.9254649707798297</v>
      </c>
      <c r="ED35" s="22">
        <f t="shared" si="18"/>
        <v>20.444928056726262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</v>
      </c>
      <c r="EJ35" s="12">
        <f>IF('Données projet'!$A$192&gt;35,EJ34+EI35-ER34,IF(A35&lt;'Données projet'!$A$192,$EG$205^A35,IF(A35='Données projet'!$A$192,'Données projet'!$B$192,EJ34+EI35-ER34)))</f>
        <v>92</v>
      </c>
      <c r="EK35" s="17">
        <f>EJ35*VLOOKUP('Données projet'!$B$15,Paramètres!$A$1:$I$89,3,0)*VLOOKUP('Données projet'!$B$15,Paramètres!$A$1:$I$89,5,0)</f>
        <v>83.241600000000005</v>
      </c>
      <c r="EL35" s="13">
        <f t="shared" si="45"/>
        <v>22.927930643846508</v>
      </c>
      <c r="EM35" s="20">
        <f t="shared" si="19"/>
        <v>184.91193253803269</v>
      </c>
      <c r="EN35" s="59">
        <f t="shared" si="20"/>
        <v>478.24526587136597</v>
      </c>
      <c r="EO35" s="59">
        <f ca="1">AVERAGE(OFFSET($EN$3,0,0,'Données projet'!$E$15+1,1))-AVERAGE(OFFSET($H$3,0,0,'Données projet'!$E$15+1,1))</f>
        <v>269.64423257646359</v>
      </c>
      <c r="EP35" s="59">
        <f t="shared" si="46"/>
        <v>161.0819079811821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11.6</v>
      </c>
      <c r="FE35" s="12">
        <f>IF('Données projet'!$A$218&gt;35,FE34+FD35-FM34,IF(A35&lt;'Données projet'!$A$218,$FB$205^A35,IF(A35='Données projet'!$A$218,'Données projet'!$B$218,FE34+FD35-FM34)))</f>
        <v>178.20000000000005</v>
      </c>
      <c r="FF35" s="17">
        <f>FE35*VLOOKUP('Données projet'!$B$16,Paramètres!$A$1:$I$89,3,0)*VLOOKUP('Données projet'!$B$16,Paramètres!$A$1:$I$89,5,0)</f>
        <v>138.99600000000004</v>
      </c>
      <c r="FG35" s="13">
        <f t="shared" si="47"/>
        <v>36.066906938767758</v>
      </c>
      <c r="FH35" s="20">
        <f t="shared" si="22"/>
        <v>304.90122958502059</v>
      </c>
      <c r="FI35" s="59">
        <f t="shared" si="23"/>
        <v>598.23456291835396</v>
      </c>
      <c r="FJ35" s="59">
        <f ca="1">AVERAGE(OFFSET($FI$3,0,0,'Données projet'!$E$16+1,1))-AVERAGE(OFFSET($H$3,0,0,'Données projet'!$E$16+1,1))</f>
        <v>283.77864672734273</v>
      </c>
      <c r="FK35" s="59">
        <f t="shared" si="48"/>
        <v>270.94620935643866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12.8</v>
      </c>
      <c r="FZ35" s="12">
        <f>IF('Données projet'!$A$244&gt;35,FZ34+FY35-GH34,IF(A35&lt;'Données projet'!$A$244,$FW$205^A35,IF(A35='Données projet'!$A$244,'Données projet'!$B$244,FZ34+FY35-GH34)))</f>
        <v>167.59999999999994</v>
      </c>
      <c r="GA35" s="17">
        <f>FZ35*VLOOKUP('Données projet'!$B$17,Paramètres!$A$1:$I$89,3,0)*VLOOKUP('Données projet'!$B$17,Paramètres!$A$1:$I$89,5,0)</f>
        <v>162.10271999999995</v>
      </c>
      <c r="GB35" s="13">
        <f t="shared" si="49"/>
        <v>41.316428778358635</v>
      </c>
      <c r="GC35" s="20">
        <f t="shared" si="25"/>
        <v>354.28835078897447</v>
      </c>
      <c r="GD35" s="59">
        <f t="shared" si="26"/>
        <v>647.62168412230778</v>
      </c>
      <c r="GE35" s="59">
        <f ca="1">AVERAGE(OFFSET($GD$3,0,0,'Données projet'!$E$17+1,1))-AVERAGE(OFFSET($H$3,0,0,'Données projet'!$E$17+1,1))</f>
        <v>347.54503437087288</v>
      </c>
      <c r="GF35" s="59">
        <f t="shared" si="50"/>
        <v>340.05673244455954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26.2</v>
      </c>
      <c r="N36" s="13">
        <f>IF('Données projet'!$A$36&gt;35,N35+M36-V35,IF(A36&lt;'Données projet'!$A$36,$K$205^A36,IF(A36='Données projet'!$A$36,'Données projet'!$B$36,N35+M36-V35)))</f>
        <v>323.60000000000008</v>
      </c>
      <c r="O36" s="13">
        <f>N36*VLOOKUP('Données projet'!$B$9,Paramètres!$A$1:$I$89,3,0)*VLOOKUP('Données projet'!$B$9,Paramètres!$A$1:$I$89,5,0)</f>
        <v>151.44480000000004</v>
      </c>
      <c r="P36" s="13">
        <f t="shared" si="33"/>
        <v>38.906738202345764</v>
      </c>
      <c r="Q36" s="20">
        <f t="shared" si="53"/>
        <v>331.52892903575224</v>
      </c>
      <c r="R36" s="59">
        <f t="shared" si="0"/>
        <v>624.86226236908556</v>
      </c>
      <c r="S36" s="59">
        <f ca="1">AVERAGE(OFFSET($R$3,0,0,'Données projet'!$E$9+1,1))-AVERAGE(OFFSET($H$3,0,0,'Données projet'!$E$9+1,1))</f>
        <v>342.49944586217674</v>
      </c>
      <c r="T36" s="59">
        <f t="shared" si="34"/>
        <v>282.29766600872563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36.881616106842436</v>
      </c>
      <c r="AB36" s="21">
        <f>EXP(-LN(2)/2)*AB35+(1-EXP(-LN(2)/2))/(LN(2)/2)*V36*Y36*VLOOKUP('Données projet'!$B$9,Paramètres!$A$1:$I$89,3,0)*0.475*44/12</f>
        <v>2.9272271515233927E-2</v>
      </c>
      <c r="AC36" s="22">
        <f t="shared" si="3"/>
        <v>36.910888378357669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28.4</v>
      </c>
      <c r="AI36" s="13">
        <f>IF('Données projet'!$A$62&gt;35,AI35+AH36-AQ35,IF(A36&lt;'Données projet'!$A$62,$AF$205^A36,IF(A36='Données projet'!$A$62,'Données projet'!$B$62,AI35+AH36-AQ35)))</f>
        <v>519.19999999999993</v>
      </c>
      <c r="AJ36" s="13">
        <f>AI36*VLOOKUP('Données projet'!$B$10,Paramètres!$A$1:$I$89,3,0)*VLOOKUP('Données projet'!$B$10,Paramètres!$A$1:$I$89,5,0)</f>
        <v>290.2328</v>
      </c>
      <c r="AK36" s="13">
        <f t="shared" si="35"/>
        <v>69.124955529636495</v>
      </c>
      <c r="AL36" s="20">
        <f t="shared" si="4"/>
        <v>625.88142421411692</v>
      </c>
      <c r="AM36" s="59">
        <f t="shared" si="5"/>
        <v>919.21475754745029</v>
      </c>
      <c r="AN36" s="59">
        <f ca="1">AVERAGE(OFFSET($AM$3,0,0,'Données projet'!$E$10+1,1))-AVERAGE(OFFSET($H$3,0,0,'Données projet'!$E$10+1,1))</f>
        <v>490.96084572840579</v>
      </c>
      <c r="AO36" s="59">
        <f t="shared" si="36"/>
        <v>597.91658789908263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53.169964424625583</v>
      </c>
      <c r="AW36" s="21">
        <f>EXP(-LN(2)/2)*AW35+(1-EXP(-LN(2)/2))/(LN(2)/2)*AQ36*AT36*VLOOKUP('Données projet'!$B$10,Paramètres!$A$1:$I$89,3,0)*0.475*44/12</f>
        <v>0.30069127795370848</v>
      </c>
      <c r="AX36" s="21">
        <f t="shared" si="6"/>
        <v>53.470655702579293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8.6</v>
      </c>
      <c r="BD36" s="12">
        <f>IF('Données projet'!$A$88&gt;35,BD35+BC36-BL35,IF(A36&lt;'Données projet'!$A$88,$BA$205^A36,IF(A36='Données projet'!$A$88,'Données projet'!$B$88,BD35+BC36-BL35)))</f>
        <v>118.79999999999997</v>
      </c>
      <c r="BE36" s="13">
        <f>BD36*VLOOKUP('Données projet'!$B$11,Paramètres!$A$1:$I$89,3,0)*VLOOKUP('Données projet'!$B$11,Paramètres!$A$1:$I$89,5,0)</f>
        <v>94.517279999999985</v>
      </c>
      <c r="BF36" s="13">
        <f t="shared" si="37"/>
        <v>25.651559566077335</v>
      </c>
      <c r="BG36" s="20">
        <f t="shared" si="7"/>
        <v>209.29406224425134</v>
      </c>
      <c r="BH36" s="59">
        <f t="shared" si="8"/>
        <v>502.62739557758465</v>
      </c>
      <c r="BI36" s="59">
        <f ca="1">AVERAGE(OFFSET($BH$3,0,0,'Données projet'!$E$11+1,1))-AVERAGE(OFFSET($H$3,0,0,'Données projet'!$E$11+1,1))</f>
        <v>167.80254365106839</v>
      </c>
      <c r="BJ36" s="59">
        <f t="shared" si="38"/>
        <v>167.42302164950172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22.8</v>
      </c>
      <c r="BY36" s="12">
        <f>IF('Données projet'!$A$114&gt;35,BY35+BX36-CG35,IF(A36&lt;'Données projet'!$A$114,$BV$205^A36,IF(A36='Données projet'!$A$114,'Données projet'!$B$114,BY35+BX36-CG35)))</f>
        <v>290.40000000000003</v>
      </c>
      <c r="BZ36" s="13">
        <f>BY36*VLOOKUP('Données projet'!$B$12,Paramètres!$A$1:$I$89,3,0)*VLOOKUP('Données projet'!$B$12,Paramètres!$A$1:$I$89,5,0)</f>
        <v>143.45760000000004</v>
      </c>
      <c r="CA36" s="13">
        <f t="shared" si="39"/>
        <v>37.087964904995097</v>
      </c>
      <c r="CB36" s="20">
        <f t="shared" si="10"/>
        <v>314.45019220953321</v>
      </c>
      <c r="CC36" s="59">
        <f t="shared" si="11"/>
        <v>607.78352554286653</v>
      </c>
      <c r="CD36" s="59">
        <f ca="1">AVERAGE(OFFSET($CC$3,0,0,'Données projet'!$E$12+1,1))-AVERAGE(OFFSET($H$3,0,0,'Données projet'!$E$12+1,1))</f>
        <v>322.06606384496587</v>
      </c>
      <c r="CE36" s="59">
        <f t="shared" si="40"/>
        <v>267.71713177624713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18.499886512720803</v>
      </c>
      <c r="CM36" s="21">
        <f>EXP(-LN(2)/2)*CM35+(1-EXP(-LN(2)/2))/(LN(2)/2)*CG36*CJ36*VLOOKUP('Données projet'!$B$12,Paramètres!$A$1:$I$89,3,0)*0.475*44/12</f>
        <v>1.3983068874451865</v>
      </c>
      <c r="CN36" s="22">
        <f t="shared" si="12"/>
        <v>19.89819340016599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14.6</v>
      </c>
      <c r="CT36" s="12">
        <f>IF('Données projet'!$A$140&gt;35,CT35+CS36-DB35,IF(A36&lt;'Données projet'!$A$140,$CQ$205^A36,IF(A36='Données projet'!$A$140,'Données projet'!$B$140,CT35+CS36-DB35)))</f>
        <v>261.2000000000001</v>
      </c>
      <c r="CU36" s="17">
        <f>CT36*VLOOKUP('Données projet'!$B$13,Paramètres!$A$1:$I$89,3,0)*VLOOKUP('Données projet'!$B$13,Paramètres!$A$1:$I$89,5,0)</f>
        <v>162.98880000000005</v>
      </c>
      <c r="CV36" s="13">
        <f t="shared" si="41"/>
        <v>41.515919734048659</v>
      </c>
      <c r="CW36" s="20">
        <f t="shared" si="13"/>
        <v>356.17905353680152</v>
      </c>
      <c r="CX36" s="59">
        <f t="shared" si="14"/>
        <v>649.51238687013483</v>
      </c>
      <c r="CY36" s="59">
        <f ca="1">AVERAGE(OFFSET($CX$3,0,0,'Données projet'!$E$13+1,1))-AVERAGE(OFFSET($H$3,0,0,'Données projet'!$E$13+1,1))</f>
        <v>269.77739619445515</v>
      </c>
      <c r="CZ36" s="59">
        <f t="shared" si="42"/>
        <v>347.56964743629885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84.420032084078457</v>
      </c>
      <c r="DH36" s="21">
        <f>EXP(-LN(2)/2)*DH35+(1-EXP(-LN(2)/2))/(LN(2)/2)*DB36*DE36*VLOOKUP('Données projet'!$B$13,Paramètres!$A$1:$I$89,3,0)*0.475*44/12</f>
        <v>8.7816814545701727E-3</v>
      </c>
      <c r="DI36" s="22">
        <f t="shared" si="15"/>
        <v>84.428813765533022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22.8</v>
      </c>
      <c r="DO36" s="12">
        <f>IF('Données projet'!$A$166&gt;35,DO35+DN36-DW35,IF(A36&lt;'Données projet'!$A$166,$DL$205^A36,IF(A36='Données projet'!$A$166,'Données projet'!$B$166,DO35+DN36-DW35)))</f>
        <v>290.40000000000003</v>
      </c>
      <c r="DP36" s="17">
        <f>DO36*VLOOKUP('Données projet'!$B$14,Paramètres!$A$1:$I$89,3,0)*VLOOKUP('Données projet'!$B$14,Paramètres!$A$1:$I$89,5,0)</f>
        <v>139.6824</v>
      </c>
      <c r="DQ36" s="13">
        <f t="shared" si="43"/>
        <v>36.224238180512785</v>
      </c>
      <c r="DR36" s="20">
        <f t="shared" si="16"/>
        <v>306.37072816439314</v>
      </c>
      <c r="DS36" s="59">
        <f t="shared" si="17"/>
        <v>599.70406149772646</v>
      </c>
      <c r="DT36" s="59">
        <f ca="1">AVERAGE(OFFSET($DS$3,0,0,'Données projet'!$E$14+1,1))-AVERAGE(OFFSET($H$3,0,0,'Données projet'!$E$14+1,1))</f>
        <v>312.64506496298173</v>
      </c>
      <c r="DU36" s="59">
        <f t="shared" si="44"/>
        <v>259.97532509897508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18.013047393964989</v>
      </c>
      <c r="EC36" s="21">
        <f>EXP(-LN(2)/2)*EC35+(1-EXP(-LN(2)/2))/(LN(2)/2)*DW36*DZ36*VLOOKUP('Données projet'!$B$14,Paramètres!$A$1:$I$89,3,0)*0.475*44/12</f>
        <v>1.3615093377755751</v>
      </c>
      <c r="ED36" s="22">
        <f t="shared" si="18"/>
        <v>19.374556731740565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</v>
      </c>
      <c r="EJ36" s="12">
        <f>IF('Données projet'!$A$192&gt;35,EJ35+EI36-ER35,IF(A36&lt;'Données projet'!$A$192,$EG$205^A36,IF(A36='Données projet'!$A$192,'Données projet'!$B$192,EJ35+EI36-ER35)))</f>
        <v>100</v>
      </c>
      <c r="EK36" s="17">
        <f>EJ36*VLOOKUP('Données projet'!$B$15,Paramètres!$A$1:$I$89,3,0)*VLOOKUP('Données projet'!$B$15,Paramètres!$A$1:$I$89,5,0)</f>
        <v>90.47999999999999</v>
      </c>
      <c r="EL36" s="13">
        <f t="shared" si="45"/>
        <v>24.680953573367994</v>
      </c>
      <c r="EM36" s="20">
        <f t="shared" si="19"/>
        <v>200.57199414028256</v>
      </c>
      <c r="EN36" s="59">
        <f t="shared" si="20"/>
        <v>493.9053274736159</v>
      </c>
      <c r="EO36" s="59">
        <f ca="1">AVERAGE(OFFSET($EN$3,0,0,'Données projet'!$E$15+1,1))-AVERAGE(OFFSET($H$3,0,0,'Données projet'!$E$15+1,1))</f>
        <v>269.64423257646359</v>
      </c>
      <c r="EP36" s="59">
        <f t="shared" si="46"/>
        <v>161.0819079811821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11.6</v>
      </c>
      <c r="FE36" s="12">
        <f>IF('Données projet'!$A$218&gt;35,FE35+FD36-FM35,IF(A36&lt;'Données projet'!$A$218,$FB$205^A36,IF(A36='Données projet'!$A$218,'Données projet'!$B$218,FE35+FD36-FM35)))</f>
        <v>189.80000000000004</v>
      </c>
      <c r="FF36" s="17">
        <f>FE36*VLOOKUP('Données projet'!$B$16,Paramètres!$A$1:$I$89,3,0)*VLOOKUP('Données projet'!$B$16,Paramètres!$A$1:$I$89,5,0)</f>
        <v>148.04400000000004</v>
      </c>
      <c r="FG36" s="13">
        <f t="shared" si="47"/>
        <v>38.133738604016052</v>
      </c>
      <c r="FH36" s="20">
        <f t="shared" si="22"/>
        <v>324.25956140199474</v>
      </c>
      <c r="FI36" s="59">
        <f t="shared" si="23"/>
        <v>617.59289473532806</v>
      </c>
      <c r="FJ36" s="59">
        <f ca="1">AVERAGE(OFFSET($FI$3,0,0,'Données projet'!$E$16+1,1))-AVERAGE(OFFSET($H$3,0,0,'Données projet'!$E$16+1,1))</f>
        <v>283.77864672734273</v>
      </c>
      <c r="FK36" s="59">
        <f t="shared" si="48"/>
        <v>270.94620935643866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12.8</v>
      </c>
      <c r="FZ36" s="12">
        <f>IF('Données projet'!$A$244&gt;35,FZ35+FY36-GH35,IF(A36&lt;'Données projet'!$A$244,$FW$205^A36,IF(A36='Données projet'!$A$244,'Données projet'!$B$244,FZ35+FY36-GH35)))</f>
        <v>180.39999999999995</v>
      </c>
      <c r="GA36" s="17">
        <f>FZ36*VLOOKUP('Données projet'!$B$17,Paramètres!$A$1:$I$89,3,0)*VLOOKUP('Données projet'!$B$17,Paramètres!$A$1:$I$89,5,0)</f>
        <v>174.48287999999997</v>
      </c>
      <c r="GB36" s="13">
        <f t="shared" si="49"/>
        <v>44.092513602166164</v>
      </c>
      <c r="GC36" s="20">
        <f t="shared" si="25"/>
        <v>380.68547719043931</v>
      </c>
      <c r="GD36" s="59">
        <f t="shared" si="26"/>
        <v>674.01881052377257</v>
      </c>
      <c r="GE36" s="59">
        <f ca="1">AVERAGE(OFFSET($GD$3,0,0,'Données projet'!$E$17+1,1))-AVERAGE(OFFSET($H$3,0,0,'Données projet'!$E$17+1,1))</f>
        <v>347.54503437087288</v>
      </c>
      <c r="GF36" s="59">
        <f t="shared" si="50"/>
        <v>340.05673244455954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26.2</v>
      </c>
      <c r="N37" s="13">
        <f>IF('Données projet'!$A$36&gt;35,N36+M37-V36,IF(A37&lt;'Données projet'!$A$36,$K$205^A37,IF(A37='Données projet'!$A$36,'Données projet'!$B$36,N36+M37-V36)))</f>
        <v>349.80000000000007</v>
      </c>
      <c r="O37" s="13">
        <f>N37*VLOOKUP('Données projet'!$B$9,Paramètres!$A$1:$I$89,3,0)*VLOOKUP('Données projet'!$B$9,Paramètres!$A$1:$I$89,5,0)</f>
        <v>163.70640000000003</v>
      </c>
      <c r="P37" s="13">
        <f t="shared" si="33"/>
        <v>41.677386788386109</v>
      </c>
      <c r="Q37" s="20">
        <f t="shared" si="53"/>
        <v>357.71009532310586</v>
      </c>
      <c r="R37" s="59">
        <f t="shared" si="0"/>
        <v>651.04342865643912</v>
      </c>
      <c r="S37" s="59">
        <f ca="1">AVERAGE(OFFSET($R$3,0,0,'Données projet'!$E$9+1,1))-AVERAGE(OFFSET($H$3,0,0,'Données projet'!$E$9+1,1))</f>
        <v>342.49944586217674</v>
      </c>
      <c r="T37" s="59">
        <f t="shared" si="34"/>
        <v>282.29766600872563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35.873086374880934</v>
      </c>
      <c r="AB37" s="21">
        <f>EXP(-LN(2)/2)*AB36+(1-EXP(-LN(2)/2))/(LN(2)/2)*V37*Y37*VLOOKUP('Données projet'!$B$9,Paramètres!$A$1:$I$89,3,0)*0.475*44/12</f>
        <v>2.0698621689155726E-2</v>
      </c>
      <c r="AC37" s="22">
        <f t="shared" si="3"/>
        <v>35.893784996570091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28.4</v>
      </c>
      <c r="AI37" s="13">
        <f>IF('Données projet'!$A$62&gt;35,AI36+AH37-AQ36,IF(A37&lt;'Données projet'!$A$62,$AF$205^A37,IF(A37='Données projet'!$A$62,'Données projet'!$B$62,AI36+AH37-AQ36)))</f>
        <v>547.59999999999991</v>
      </c>
      <c r="AJ37" s="13">
        <f>AI37*VLOOKUP('Données projet'!$B$10,Paramètres!$A$1:$I$89,3,0)*VLOOKUP('Données projet'!$B$10,Paramètres!$A$1:$I$89,5,0)</f>
        <v>306.10839999999996</v>
      </c>
      <c r="AK37" s="13">
        <f t="shared" si="35"/>
        <v>72.455512621968097</v>
      </c>
      <c r="AL37" s="20">
        <f t="shared" si="4"/>
        <v>659.33214781659433</v>
      </c>
      <c r="AM37" s="59">
        <f t="shared" si="5"/>
        <v>952.6654811499277</v>
      </c>
      <c r="AN37" s="59">
        <f ca="1">AVERAGE(OFFSET($AM$3,0,0,'Données projet'!$E$10+1,1))-AVERAGE(OFFSET($H$3,0,0,'Données projet'!$E$10+1,1))</f>
        <v>490.96084572840579</v>
      </c>
      <c r="AO37" s="59">
        <f t="shared" si="36"/>
        <v>597.91658789908263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51.71602895134729</v>
      </c>
      <c r="AW37" s="21">
        <f>EXP(-LN(2)/2)*AW36+(1-EXP(-LN(2)/2))/(LN(2)/2)*AQ37*AT37*VLOOKUP('Données projet'!$B$10,Paramètres!$A$1:$I$89,3,0)*0.475*44/12</f>
        <v>0.21262084168471629</v>
      </c>
      <c r="AX37" s="21">
        <f t="shared" si="6"/>
        <v>51.928649793032008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8.6</v>
      </c>
      <c r="BD37" s="12">
        <f>IF('Données projet'!$A$88&gt;35,BD36+BC37-BL36,IF(A37&lt;'Données projet'!$A$88,$BA$205^A37,IF(A37='Données projet'!$A$88,'Données projet'!$B$88,BD36+BC37-BL36)))</f>
        <v>127.39999999999996</v>
      </c>
      <c r="BE37" s="13">
        <f>BD37*VLOOKUP('Données projet'!$B$11,Paramètres!$A$1:$I$89,3,0)*VLOOKUP('Données projet'!$B$11,Paramètres!$A$1:$I$89,5,0)</f>
        <v>101.35943999999996</v>
      </c>
      <c r="BF37" s="13">
        <f t="shared" si="37"/>
        <v>27.285610426884961</v>
      </c>
      <c r="BG37" s="20">
        <f t="shared" si="7"/>
        <v>224.05679616015789</v>
      </c>
      <c r="BH37" s="59">
        <f t="shared" si="8"/>
        <v>517.39012949349126</v>
      </c>
      <c r="BI37" s="59">
        <f ca="1">AVERAGE(OFFSET($BH$3,0,0,'Données projet'!$E$11+1,1))-AVERAGE(OFFSET($H$3,0,0,'Données projet'!$E$11+1,1))</f>
        <v>167.80254365106839</v>
      </c>
      <c r="BJ37" s="59">
        <f t="shared" si="38"/>
        <v>167.42302164950172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22.8</v>
      </c>
      <c r="BY37" s="12">
        <f>IF('Données projet'!$A$114&gt;35,BY36+BX37-CG36,IF(A37&lt;'Données projet'!$A$114,$BV$205^A37,IF(A37='Données projet'!$A$114,'Données projet'!$B$114,BY36+BX37-CG36)))</f>
        <v>313.20000000000005</v>
      </c>
      <c r="BZ37" s="13">
        <f>BY37*VLOOKUP('Données projet'!$B$12,Paramètres!$A$1:$I$89,3,0)*VLOOKUP('Données projet'!$B$12,Paramètres!$A$1:$I$89,5,0)</f>
        <v>154.72080000000003</v>
      </c>
      <c r="CA37" s="13">
        <f t="shared" si="39"/>
        <v>39.649461948838592</v>
      </c>
      <c r="CB37" s="20">
        <f t="shared" si="10"/>
        <v>338.52820622756059</v>
      </c>
      <c r="CC37" s="59">
        <f t="shared" si="11"/>
        <v>631.8615395608939</v>
      </c>
      <c r="CD37" s="59">
        <f ca="1">AVERAGE(OFFSET($CC$3,0,0,'Données projet'!$E$12+1,1))-AVERAGE(OFFSET($H$3,0,0,'Données projet'!$E$12+1,1))</f>
        <v>322.06606384496587</v>
      </c>
      <c r="CE37" s="59">
        <f t="shared" si="40"/>
        <v>267.71713177624713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17.994006143163702</v>
      </c>
      <c r="CM37" s="21">
        <f>EXP(-LN(2)/2)*CM36+(1-EXP(-LN(2)/2))/(LN(2)/2)*CG37*CJ37*VLOOKUP('Données projet'!$B$12,Paramètres!$A$1:$I$89,3,0)*0.475*44/12</f>
        <v>0.98875228229234591</v>
      </c>
      <c r="CN37" s="22">
        <f t="shared" si="12"/>
        <v>18.982758425456048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14.6</v>
      </c>
      <c r="CT37" s="12">
        <f>IF('Données projet'!$A$140&gt;35,CT36+CS37-DB36,IF(A37&lt;'Données projet'!$A$140,$CQ$205^A37,IF(A37='Données projet'!$A$140,'Données projet'!$B$140,CT36+CS37-DB36)))</f>
        <v>275.80000000000013</v>
      </c>
      <c r="CU37" s="17">
        <f>CT37*VLOOKUP('Données projet'!$B$13,Paramètres!$A$1:$I$89,3,0)*VLOOKUP('Données projet'!$B$13,Paramètres!$A$1:$I$89,5,0)</f>
        <v>172.09920000000005</v>
      </c>
      <c r="CV37" s="13">
        <f t="shared" si="41"/>
        <v>43.559838214506989</v>
      </c>
      <c r="CW37" s="20">
        <f t="shared" si="13"/>
        <v>375.60615822359978</v>
      </c>
      <c r="CX37" s="59">
        <f t="shared" si="14"/>
        <v>668.93949155693304</v>
      </c>
      <c r="CY37" s="59">
        <f ca="1">AVERAGE(OFFSET($CX$3,0,0,'Données projet'!$E$13+1,1))-AVERAGE(OFFSET($H$3,0,0,'Données projet'!$E$13+1,1))</f>
        <v>269.77739619445515</v>
      </c>
      <c r="CZ37" s="59">
        <f t="shared" si="42"/>
        <v>347.56964743629885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82.111561867282788</v>
      </c>
      <c r="DH37" s="21">
        <f>EXP(-LN(2)/2)*DH36+(1-EXP(-LN(2)/2))/(LN(2)/2)*DB37*DE37*VLOOKUP('Données projet'!$B$13,Paramètres!$A$1:$I$89,3,0)*0.475*44/12</f>
        <v>6.2095865067467136E-3</v>
      </c>
      <c r="DI37" s="22">
        <f t="shared" si="15"/>
        <v>82.11777145378953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22.8</v>
      </c>
      <c r="DO37" s="12">
        <f>IF('Données projet'!$A$166&gt;35,DO36+DN37-DW36,IF(A37&lt;'Données projet'!$A$166,$DL$205^A37,IF(A37='Données projet'!$A$166,'Données projet'!$B$166,DO36+DN37-DW36)))</f>
        <v>313.20000000000005</v>
      </c>
      <c r="DP37" s="17">
        <f>DO37*VLOOKUP('Données projet'!$B$14,Paramètres!$A$1:$I$89,3,0)*VLOOKUP('Données projet'!$B$14,Paramètres!$A$1:$I$89,5,0)</f>
        <v>150.64920000000004</v>
      </c>
      <c r="DQ37" s="13">
        <f t="shared" si="43"/>
        <v>38.726081548099948</v>
      </c>
      <c r="DR37" s="20">
        <f t="shared" si="16"/>
        <v>329.82861536294081</v>
      </c>
      <c r="DS37" s="59">
        <f t="shared" si="17"/>
        <v>623.16194869627407</v>
      </c>
      <c r="DT37" s="59">
        <f ca="1">AVERAGE(OFFSET($DS$3,0,0,'Données projet'!$E$14+1,1))-AVERAGE(OFFSET($H$3,0,0,'Données projet'!$E$14+1,1))</f>
        <v>312.64506496298173</v>
      </c>
      <c r="DU37" s="59">
        <f t="shared" si="44"/>
        <v>259.97532509897508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17.520479665712024</v>
      </c>
      <c r="EC37" s="21">
        <f>EXP(-LN(2)/2)*EC36+(1-EXP(-LN(2)/2))/(LN(2)/2)*DW37*DZ37*VLOOKUP('Données projet'!$B$14,Paramètres!$A$1:$I$89,3,0)*0.475*44/12</f>
        <v>0.96273248538991485</v>
      </c>
      <c r="ED37" s="22">
        <f t="shared" si="18"/>
        <v>18.483212151101938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8</v>
      </c>
      <c r="EJ37" s="12">
        <f>IF('Données projet'!$A$192&gt;35,EJ36+EI37-ER36,IF(A37&lt;'Données projet'!$A$192,$EG$205^A37,IF(A37='Données projet'!$A$192,'Données projet'!$B$192,EJ36+EI37-ER36)))</f>
        <v>108</v>
      </c>
      <c r="EK37" s="17">
        <f>EJ37*VLOOKUP('Données projet'!$B$15,Paramètres!$A$1:$I$89,3,0)*VLOOKUP('Données projet'!$B$15,Paramètres!$A$1:$I$89,5,0)</f>
        <v>97.718399999999988</v>
      </c>
      <c r="EL37" s="13">
        <f t="shared" si="45"/>
        <v>26.417709819192194</v>
      </c>
      <c r="EM37" s="20">
        <f t="shared" si="19"/>
        <v>216.20372460175972</v>
      </c>
      <c r="EN37" s="59">
        <f t="shared" si="20"/>
        <v>509.537057935093</v>
      </c>
      <c r="EO37" s="59">
        <f ca="1">AVERAGE(OFFSET($EN$3,0,0,'Données projet'!$E$15+1,1))-AVERAGE(OFFSET($H$3,0,0,'Données projet'!$E$15+1,1))</f>
        <v>269.64423257646359</v>
      </c>
      <c r="EP37" s="59">
        <f t="shared" si="46"/>
        <v>161.0819079811821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11.6</v>
      </c>
      <c r="FE37" s="12">
        <f>IF('Données projet'!$A$218&gt;35,FE36+FD37-FM36,IF(A37&lt;'Données projet'!$A$218,$FB$205^A37,IF(A37='Données projet'!$A$218,'Données projet'!$B$218,FE36+FD37-FM36)))</f>
        <v>201.40000000000003</v>
      </c>
      <c r="FF37" s="17">
        <f>FE37*VLOOKUP('Données projet'!$B$16,Paramètres!$A$1:$I$89,3,0)*VLOOKUP('Données projet'!$B$16,Paramètres!$A$1:$I$89,5,0)</f>
        <v>157.09200000000004</v>
      </c>
      <c r="FG37" s="13">
        <f t="shared" si="47"/>
        <v>40.185909342127296</v>
      </c>
      <c r="FH37" s="20">
        <f t="shared" si="22"/>
        <v>343.59235877087173</v>
      </c>
      <c r="FI37" s="59">
        <f t="shared" si="23"/>
        <v>636.92569210420504</v>
      </c>
      <c r="FJ37" s="59">
        <f ca="1">AVERAGE(OFFSET($FI$3,0,0,'Données projet'!$E$16+1,1))-AVERAGE(OFFSET($H$3,0,0,'Données projet'!$E$16+1,1))</f>
        <v>283.77864672734273</v>
      </c>
      <c r="FK37" s="59">
        <f t="shared" si="48"/>
        <v>270.94620935643866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12.8</v>
      </c>
      <c r="FZ37" s="12">
        <f>IF('Données projet'!$A$244&gt;35,FZ36+FY37-GH36,IF(A37&lt;'Données projet'!$A$244,$FW$205^A37,IF(A37='Données projet'!$A$244,'Données projet'!$B$244,FZ36+FY37-GH36)))</f>
        <v>193.19999999999996</v>
      </c>
      <c r="GA37" s="17">
        <f>FZ37*VLOOKUP('Données projet'!$B$17,Paramètres!$A$1:$I$89,3,0)*VLOOKUP('Données projet'!$B$17,Paramètres!$A$1:$I$89,5,0)</f>
        <v>186.86303999999998</v>
      </c>
      <c r="GB37" s="13">
        <f t="shared" si="49"/>
        <v>46.845744983534466</v>
      </c>
      <c r="GC37" s="20">
        <f t="shared" si="25"/>
        <v>407.04280051298912</v>
      </c>
      <c r="GD37" s="59">
        <f t="shared" si="26"/>
        <v>700.37613384632243</v>
      </c>
      <c r="GE37" s="59">
        <f ca="1">AVERAGE(OFFSET($GD$3,0,0,'Données projet'!$E$17+1,1))-AVERAGE(OFFSET($H$3,0,0,'Données projet'!$E$17+1,1))</f>
        <v>347.54503437087288</v>
      </c>
      <c r="GF37" s="59">
        <f t="shared" si="50"/>
        <v>340.05673244455954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376</v>
      </c>
      <c r="L38" s="12">
        <f>VLOOKUP(A38,'Données projet'!$A$35:$I$55,9,0)</f>
        <v>26.2</v>
      </c>
      <c r="M38" s="12">
        <f t="array" ref="M38">INDEX(L:L,MIN(IF(ISNUMBER(L38:L234),ROW(L38:L234),"")))</f>
        <v>26.2</v>
      </c>
      <c r="N38" s="13">
        <f>IF('Données projet'!$A$36&gt;35,N37+M38-V37,IF(A38&lt;'Données projet'!$A$36,$K$205^A38,IF(A38='Données projet'!$A$36,'Données projet'!$B$36,N37+M38-V37)))</f>
        <v>376.00000000000006</v>
      </c>
      <c r="O38" s="13">
        <f>N38*VLOOKUP('Données projet'!$B$9,Paramètres!$A$1:$I$89,3,0)*VLOOKUP('Données projet'!$B$9,Paramètres!$A$1:$I$89,5,0)</f>
        <v>175.96800000000002</v>
      </c>
      <c r="P38" s="13">
        <f t="shared" si="33"/>
        <v>44.423961125650585</v>
      </c>
      <c r="Q38" s="20">
        <f t="shared" si="53"/>
        <v>383.84933229384143</v>
      </c>
      <c r="R38" s="59">
        <f t="shared" si="0"/>
        <v>677.18266562717474</v>
      </c>
      <c r="S38" s="59">
        <f ca="1">AVERAGE(OFFSET($R$3,0,0,'Données projet'!$E$9+1,1))-AVERAGE(OFFSET($H$3,0,0,'Données projet'!$E$9+1,1))</f>
        <v>342.49944586217674</v>
      </c>
      <c r="T38" s="59">
        <f t="shared" si="34"/>
        <v>282.29766600872563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63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21.511834522298674</v>
      </c>
      <c r="AA38" s="21">
        <f>EXP(-LN(2)/25)*AA37+(1-EXP(-LN(2)/25))/(LN(2)/25)*Calculateur!V38*Calculateur!X38*VLOOKUP('Données projet'!$B$9,Paramètres!$A$1:$I$89,3,0)*0.475*44/12</f>
        <v>34.892134941476193</v>
      </c>
      <c r="AB38" s="21">
        <f>EXP(-LN(2)/2)*AB37+(1-EXP(-LN(2)/2))/(LN(2)/2)*V38*Y38*VLOOKUP('Données projet'!$B$9,Paramètres!$A$1:$I$89,3,0)*0.475*44/12</f>
        <v>1.4636135757616965E-2</v>
      </c>
      <c r="AC38" s="22">
        <f t="shared" si="3"/>
        <v>56.418605599532491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576</v>
      </c>
      <c r="AG38" s="12">
        <f>VLOOKUP(A38,'Données projet'!$A$61:$I$81,9,0)</f>
        <v>28.4</v>
      </c>
      <c r="AH38" s="12">
        <f t="array" ref="AH38">INDEX(AG:AG,MIN(IF(ISNUMBER(AG38:AG234),ROW(AG38:AG234),"")))</f>
        <v>28.4</v>
      </c>
      <c r="AI38" s="13">
        <f>IF('Données projet'!$A$62&gt;35,AI37+AH38-AQ37,IF(A38&lt;'Données projet'!$A$62,$AF$205^A38,IF(A38='Données projet'!$A$62,'Données projet'!$B$62,AI37+AH38-AQ37)))</f>
        <v>575.99999999999989</v>
      </c>
      <c r="AJ38" s="13">
        <f>AI38*VLOOKUP('Données projet'!$B$10,Paramètres!$A$1:$I$89,3,0)*VLOOKUP('Données projet'!$B$10,Paramètres!$A$1:$I$89,5,0)</f>
        <v>321.98399999999992</v>
      </c>
      <c r="AK38" s="13">
        <f t="shared" si="35"/>
        <v>75.76601483154208</v>
      </c>
      <c r="AL38" s="20">
        <f t="shared" si="4"/>
        <v>692.74794249826891</v>
      </c>
      <c r="AM38" s="59">
        <f t="shared" si="5"/>
        <v>986.08127583160217</v>
      </c>
      <c r="AN38" s="59">
        <f ca="1">AVERAGE(OFFSET($AM$3,0,0,'Données projet'!$E$10+1,1))-AVERAGE(OFFSET($H$3,0,0,'Données projet'!$E$10+1,1))</f>
        <v>490.96084572840579</v>
      </c>
      <c r="AO38" s="59">
        <f t="shared" si="36"/>
        <v>597.91658789908263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72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29.365361411391842</v>
      </c>
      <c r="AV38" s="21">
        <f>EXP(-LN(2)/25)*AV37+(1-EXP(-LN(2)/25))/(LN(2)/25)*Calculateur!AQ38*Calculateur!AS38*VLOOKUP('Données projet'!$B$10,Paramètres!$A$1:$I$89,3,0)*0.475*44/12</f>
        <v>50.301851420044933</v>
      </c>
      <c r="AW38" s="21">
        <f>EXP(-LN(2)/2)*AW37+(1-EXP(-LN(2)/2))/(LN(2)/2)*AQ38*AT38*VLOOKUP('Données projet'!$B$10,Paramètres!$A$1:$I$89,3,0)*0.475*44/12</f>
        <v>0.15034563897685424</v>
      </c>
      <c r="AX38" s="21">
        <f t="shared" si="6"/>
        <v>79.81755847041363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136</v>
      </c>
      <c r="BB38" s="12">
        <f>VLOOKUP(A38,'Données projet'!$A$87:$I$107,9,0)</f>
        <v>8.6</v>
      </c>
      <c r="BC38" s="12">
        <f t="array" ref="BC38">INDEX(BB:BB,MIN(IF(ISNUMBER(BB38:BB234),ROW(BB38:BB234),"")))</f>
        <v>8.6</v>
      </c>
      <c r="BD38" s="12">
        <f>IF('Données projet'!$A$88&gt;35,BD37+BC38-BL37,IF(A38&lt;'Données projet'!$A$88,$BA$205^A38,IF(A38='Données projet'!$A$88,'Données projet'!$B$88,BD37+BC38-BL37)))</f>
        <v>135.99999999999997</v>
      </c>
      <c r="BE38" s="13">
        <f>BD38*VLOOKUP('Données projet'!$B$11,Paramètres!$A$1:$I$89,3,0)*VLOOKUP('Données projet'!$B$11,Paramètres!$A$1:$I$89,5,0)</f>
        <v>108.20159999999998</v>
      </c>
      <c r="BF38" s="13">
        <f t="shared" si="37"/>
        <v>28.90686185716126</v>
      </c>
      <c r="BG38" s="20">
        <f t="shared" si="7"/>
        <v>238.79723773455581</v>
      </c>
      <c r="BH38" s="59">
        <f t="shared" si="8"/>
        <v>532.13057106788915</v>
      </c>
      <c r="BI38" s="59">
        <f ca="1">AVERAGE(OFFSET($BH$3,0,0,'Données projet'!$E$11+1,1))-AVERAGE(OFFSET($H$3,0,0,'Données projet'!$E$11+1,1))</f>
        <v>167.80254365106839</v>
      </c>
      <c r="BJ38" s="59">
        <f t="shared" si="38"/>
        <v>167.42302164950172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9.7889711639349031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9.7889711639349031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336</v>
      </c>
      <c r="BW38" s="12">
        <f>VLOOKUP(A38,'Données projet'!$A$113:$I$133,9,0)</f>
        <v>22.8</v>
      </c>
      <c r="BX38" s="12">
        <f t="array" ref="BX38">INDEX(BW:BW,MIN(IF(ISNUMBER(BW38:BW234),ROW(BW38:BW234),"")))</f>
        <v>22.8</v>
      </c>
      <c r="BY38" s="12">
        <f>IF('Données projet'!$A$114&gt;35,BY37+BX38-CG37,IF(A38&lt;'Données projet'!$A$114,$BV$205^A38,IF(A38='Données projet'!$A$114,'Données projet'!$B$114,BY37+BX38-CG37)))</f>
        <v>336.00000000000006</v>
      </c>
      <c r="BZ38" s="13">
        <f>BY38*VLOOKUP('Données projet'!$B$12,Paramètres!$A$1:$I$89,3,0)*VLOOKUP('Données projet'!$B$12,Paramètres!$A$1:$I$89,5,0)</f>
        <v>165.98400000000004</v>
      </c>
      <c r="CA38" s="13">
        <f t="shared" si="39"/>
        <v>42.189325525922285</v>
      </c>
      <c r="CB38" s="20">
        <f t="shared" si="10"/>
        <v>362.56854195764805</v>
      </c>
      <c r="CC38" s="59">
        <f t="shared" si="11"/>
        <v>655.90187529098137</v>
      </c>
      <c r="CD38" s="59">
        <f ca="1">AVERAGE(OFFSET($CC$3,0,0,'Données projet'!$E$12+1,1))-AVERAGE(OFFSET($H$3,0,0,'Données projet'!$E$12+1,1))</f>
        <v>322.06606384496587</v>
      </c>
      <c r="CE38" s="59">
        <f t="shared" si="40"/>
        <v>267.71713177624713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56</v>
      </c>
      <c r="CH38" s="16">
        <f>IF(ISNA(VLOOKUP(A38,'Données projet'!$A$113:$I$133,5,0)),0%,VLOOKUP(A38,'Données projet'!$A$113:$I$133,5,0)*VLOOKUP('Données projet'!$B$12,Paramètres!$A$1:$I$89,7,0))</f>
        <v>0.55000000000000004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20.183943502403693</v>
      </c>
      <c r="CL38" s="21">
        <f>EXP(-LN(2)/25)*CL37+(1-EXP(-LN(2)/25))/(LN(2)/25)*Calculateur!CG38*Calculateur!CI38*VLOOKUP('Données projet'!$B$12,Paramètres!$A$1:$I$89,3,0)*0.475*44/12</f>
        <v>17.501959098915233</v>
      </c>
      <c r="CM38" s="21">
        <f>EXP(-LN(2)/2)*CM37+(1-EXP(-LN(2)/2))/(LN(2)/2)*CG38*CJ38*VLOOKUP('Données projet'!$B$12,Paramètres!$A$1:$I$89,3,0)*0.475*44/12</f>
        <v>0.69915344372259336</v>
      </c>
      <c r="CN38" s="22">
        <f t="shared" si="12"/>
        <v>38.385056045041523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14.6</v>
      </c>
      <c r="CT38" s="12">
        <f>IF('Données projet'!$A$140&gt;35,CT37+CS38-DB37,IF(A38&lt;'Données projet'!$A$140,$CQ$205^A38,IF(A38='Données projet'!$A$140,'Données projet'!$B$140,CT37+CS38-DB37)))</f>
        <v>290.40000000000015</v>
      </c>
      <c r="CU38" s="17">
        <f>CT38*VLOOKUP('Données projet'!$B$13,Paramètres!$A$1:$I$89,3,0)*VLOOKUP('Données projet'!$B$13,Paramètres!$A$1:$I$89,5,0)</f>
        <v>181.20960000000008</v>
      </c>
      <c r="CV38" s="13">
        <f t="shared" si="41"/>
        <v>45.591194891830348</v>
      </c>
      <c r="CW38" s="20">
        <f t="shared" si="13"/>
        <v>395.01138443660466</v>
      </c>
      <c r="CX38" s="59">
        <f t="shared" si="14"/>
        <v>688.34471776993792</v>
      </c>
      <c r="CY38" s="59">
        <f ca="1">AVERAGE(OFFSET($CX$3,0,0,'Données projet'!$E$13+1,1))-AVERAGE(OFFSET($H$3,0,0,'Données projet'!$E$13+1,1))</f>
        <v>269.77739619445515</v>
      </c>
      <c r="CZ38" s="59">
        <f t="shared" si="42"/>
        <v>347.56964743629885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79.866216889962573</v>
      </c>
      <c r="DH38" s="21">
        <f>EXP(-LN(2)/2)*DH37+(1-EXP(-LN(2)/2))/(LN(2)/2)*DB38*DE38*VLOOKUP('Données projet'!$B$13,Paramètres!$A$1:$I$89,3,0)*0.475*44/12</f>
        <v>4.3908407272850863E-3</v>
      </c>
      <c r="DI38" s="22">
        <f t="shared" si="15"/>
        <v>79.870607730689855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336</v>
      </c>
      <c r="DM38" s="12">
        <f>VLOOKUP(A38,'Données projet'!$A$165:$I$185,9,0)</f>
        <v>22.8</v>
      </c>
      <c r="DN38" s="12">
        <f t="array" ref="DN38">INDEX(DM:DM,MIN(IF(ISNUMBER(DM38:DM234),ROW(DM38:DM234),"")))</f>
        <v>22.8</v>
      </c>
      <c r="DO38" s="12">
        <f>IF('Données projet'!$A$166&gt;35,DO37+DN38-DW37,IF(A38&lt;'Données projet'!$A$166,$DL$205^A38,IF(A38='Données projet'!$A$166,'Données projet'!$B$166,DO37+DN38-DW37)))</f>
        <v>336.00000000000006</v>
      </c>
      <c r="DP38" s="17">
        <f>DO38*VLOOKUP('Données projet'!$B$14,Paramètres!$A$1:$I$89,3,0)*VLOOKUP('Données projet'!$B$14,Paramètres!$A$1:$I$89,5,0)</f>
        <v>161.61600000000004</v>
      </c>
      <c r="DQ38" s="13">
        <f t="shared" si="43"/>
        <v>41.20679526204917</v>
      </c>
      <c r="DR38" s="20">
        <f t="shared" si="16"/>
        <v>353.24970174806907</v>
      </c>
      <c r="DS38" s="59">
        <f t="shared" si="17"/>
        <v>646.58303508140239</v>
      </c>
      <c r="DT38" s="59">
        <f ca="1">AVERAGE(OFFSET($DS$3,0,0,'Données projet'!$E$14+1,1))-AVERAGE(OFFSET($H$3,0,0,'Données projet'!$E$14+1,1))</f>
        <v>312.64506496298173</v>
      </c>
      <c r="DU38" s="59">
        <f t="shared" si="44"/>
        <v>259.97532509897508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56</v>
      </c>
      <c r="DX38" s="16">
        <f>IF(ISNA(VLOOKUP(A38,'Données projet'!$A$165:$I$185,5,0)),0%,VLOOKUP(A38,'Données projet'!$A$165:$I$185,5,0)*VLOOKUP('Données projet'!$B$14,Paramètres!$A$1:$I$89,7,0))</f>
        <v>0.55000000000000004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19.652787094445696</v>
      </c>
      <c r="EB38" s="21">
        <f>EXP(-LN(2)/25)*EB37+(1-EXP(-LN(2)/25))/(LN(2)/25)*Calculateur!DW38*Calculateur!DY38*VLOOKUP('Données projet'!$B$14,Paramètres!$A$1:$I$89,3,0)*0.475*44/12</f>
        <v>17.041381227891147</v>
      </c>
      <c r="EC38" s="21">
        <f>EXP(-LN(2)/2)*EC37+(1-EXP(-LN(2)/2))/(LN(2)/2)*DW38*DZ38*VLOOKUP('Données projet'!$B$14,Paramètres!$A$1:$I$89,3,0)*0.475*44/12</f>
        <v>0.68075466888778757</v>
      </c>
      <c r="ED38" s="22">
        <f t="shared" si="18"/>
        <v>37.374922991224629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116</v>
      </c>
      <c r="EH38" s="12">
        <f>VLOOKUP(A38,'Données projet'!$A$191:$I$211,9,0)</f>
        <v>8</v>
      </c>
      <c r="EI38" s="12">
        <f t="array" ref="EI38">INDEX(EH:EH,MIN(IF(ISNUMBER(EH38:EH234),ROW(EH38:EH234),"")))</f>
        <v>8</v>
      </c>
      <c r="EJ38" s="12">
        <f>IF('Données projet'!$A$192&gt;35,EJ37+EI38-ER37,IF(A38&lt;'Données projet'!$A$192,$EG$205^A38,IF(A38='Données projet'!$A$192,'Données projet'!$B$192,EJ37+EI38-ER37)))</f>
        <v>116</v>
      </c>
      <c r="EK38" s="17">
        <f>EJ38*VLOOKUP('Données projet'!$B$15,Paramètres!$A$1:$I$89,3,0)*VLOOKUP('Données projet'!$B$15,Paramètres!$A$1:$I$89,5,0)</f>
        <v>104.9568</v>
      </c>
      <c r="EL38" s="13">
        <f t="shared" si="45"/>
        <v>28.139541339232373</v>
      </c>
      <c r="EM38" s="20">
        <f t="shared" si="19"/>
        <v>231.8094611658297</v>
      </c>
      <c r="EN38" s="59">
        <f t="shared" si="20"/>
        <v>525.14279449916307</v>
      </c>
      <c r="EO38" s="59">
        <f ca="1">AVERAGE(OFFSET($EN$3,0,0,'Données projet'!$E$15+1,1))-AVERAGE(OFFSET($H$3,0,0,'Données projet'!$E$15+1,1))</f>
        <v>269.64423257646359</v>
      </c>
      <c r="EP38" s="59">
        <f t="shared" si="46"/>
        <v>161.0819079811821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21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9.0320732825947605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9.0320732825947605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213</v>
      </c>
      <c r="FC38" s="12">
        <f>VLOOKUP(A38,'Données projet'!$A$217:$I$237,9,0)</f>
        <v>11.6</v>
      </c>
      <c r="FD38" s="12">
        <f t="array" ref="FD38">INDEX(FC:FC,MIN(IF(ISNUMBER(FC38:FC234),ROW(FC38:FC234),"")))</f>
        <v>11.6</v>
      </c>
      <c r="FE38" s="12">
        <f>IF('Données projet'!$A$218&gt;35,FE37+FD38-FM37,IF(A38&lt;'Données projet'!$A$218,$FB$205^A38,IF(A38='Données projet'!$A$218,'Données projet'!$B$218,FE37+FD38-FM37)))</f>
        <v>213.00000000000003</v>
      </c>
      <c r="FF38" s="17">
        <f>FE38*VLOOKUP('Données projet'!$B$16,Paramètres!$A$1:$I$89,3,0)*VLOOKUP('Données projet'!$B$16,Paramètres!$A$1:$I$89,5,0)</f>
        <v>166.14000000000001</v>
      </c>
      <c r="FG38" s="13">
        <f t="shared" si="47"/>
        <v>42.224359783104845</v>
      </c>
      <c r="FH38" s="20">
        <f t="shared" si="22"/>
        <v>362.90125995557429</v>
      </c>
      <c r="FI38" s="59">
        <f t="shared" si="23"/>
        <v>656.2345932889076</v>
      </c>
      <c r="FJ38" s="59">
        <f ca="1">AVERAGE(OFFSET($FI$3,0,0,'Données projet'!$E$16+1,1))-AVERAGE(OFFSET($H$3,0,0,'Données projet'!$E$16+1,1))</f>
        <v>283.77864672734273</v>
      </c>
      <c r="FK38" s="59">
        <f t="shared" si="48"/>
        <v>270.94620935643866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29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10.752468193565193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10.752468193565193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206</v>
      </c>
      <c r="FX38" s="12">
        <f>VLOOKUP(A38,'Données projet'!$A$243:$I$263,9,0)</f>
        <v>12.8</v>
      </c>
      <c r="FY38" s="12">
        <f t="array" ref="FY38">INDEX(FX:FX,MIN(IF(ISNUMBER(FX38:FX234),ROW(FX38:FX234),"")))</f>
        <v>12.8</v>
      </c>
      <c r="FZ38" s="12">
        <f>IF('Données projet'!$A$244&gt;35,FZ37+FY38-GH37,IF(A38&lt;'Données projet'!$A$244,$FW$205^A38,IF(A38='Données projet'!$A$244,'Données projet'!$B$244,FZ37+FY38-GH37)))</f>
        <v>205.99999999999997</v>
      </c>
      <c r="GA38" s="17">
        <f>FZ38*VLOOKUP('Données projet'!$B$17,Paramètres!$A$1:$I$89,3,0)*VLOOKUP('Données projet'!$B$17,Paramètres!$A$1:$I$89,5,0)</f>
        <v>199.24319999999997</v>
      </c>
      <c r="GB38" s="13">
        <f t="shared" si="49"/>
        <v>49.577809310922227</v>
      </c>
      <c r="GC38" s="20">
        <f t="shared" si="25"/>
        <v>433.36325788318953</v>
      </c>
      <c r="GD38" s="59">
        <f t="shared" si="26"/>
        <v>726.69659121652285</v>
      </c>
      <c r="GE38" s="59">
        <f ca="1">AVERAGE(OFFSET($GD$3,0,0,'Données projet'!$E$17+1,1))-AVERAGE(OFFSET($H$3,0,0,'Données projet'!$E$17+1,1))</f>
        <v>347.54503437087288</v>
      </c>
      <c r="GF38" s="59">
        <f t="shared" si="50"/>
        <v>340.05673244455954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35</v>
      </c>
      <c r="GI38" s="16">
        <f>IF(ISNA(VLOOKUP(A38,'Données projet'!$A$243:$I$263,5,0)),0%,VLOOKUP(A38,'Données projet'!$A$243:$I$263,5,0)*VLOOKUP('Données projet'!$B$17,Paramètres!$A$1:$I$89,7,0))</f>
        <v>0.43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16.091624813818257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16.091624813818257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25.4</v>
      </c>
      <c r="N39" s="13">
        <f>IF('Données projet'!$A$36&gt;35,N38+M39-V38,IF(A39&lt;'Données projet'!$A$36,$K$205^A39,IF(A39='Données projet'!$A$36,'Données projet'!$B$36,N38+M39-V38)))</f>
        <v>338.40000000000003</v>
      </c>
      <c r="O39" s="13">
        <f>N39*VLOOKUP('Données projet'!$B$9,Paramètres!$A$1:$I$89,3,0)*VLOOKUP('Données projet'!$B$9,Paramètres!$A$1:$I$89,5,0)</f>
        <v>158.37120000000002</v>
      </c>
      <c r="P39" s="13">
        <f t="shared" si="33"/>
        <v>40.474916527059669</v>
      </c>
      <c r="Q39" s="20">
        <f t="shared" si="53"/>
        <v>346.32365295129557</v>
      </c>
      <c r="R39" s="59">
        <f t="shared" si="0"/>
        <v>639.65698628462883</v>
      </c>
      <c r="S39" s="59">
        <f ca="1">AVERAGE(OFFSET($R$3,0,0,'Données projet'!$E$9+1,1))-AVERAGE(OFFSET($H$3,0,0,'Données projet'!$E$9+1,1))</f>
        <v>342.49944586217674</v>
      </c>
      <c r="T39" s="59">
        <f t="shared" si="34"/>
        <v>282.29766600872563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21.090000568239873</v>
      </c>
      <c r="AA39" s="21">
        <f>EXP(-LN(2)/25)*AA38+(1-EXP(-LN(2)/25))/(LN(2)/25)*Calculateur!V39*Calculateur!X39*VLOOKUP('Données projet'!$B$9,Paramètres!$A$1:$I$89,3,0)*0.475*44/12</f>
        <v>33.938007676603895</v>
      </c>
      <c r="AB39" s="21">
        <f>EXP(-LN(2)/2)*AB38+(1-EXP(-LN(2)/2))/(LN(2)/2)*V39*Y39*VLOOKUP('Données projet'!$B$9,Paramètres!$A$1:$I$89,3,0)*0.475*44/12</f>
        <v>1.0349310844577865E-2</v>
      </c>
      <c r="AC39" s="22">
        <f t="shared" si="3"/>
        <v>55.038357555688343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27</v>
      </c>
      <c r="AI39" s="13">
        <f>IF('Données projet'!$A$62&gt;35,AI38+AH39-AQ38,IF(A39&lt;'Données projet'!$A$62,$AF$205^A39,IF(A39='Données projet'!$A$62,'Données projet'!$B$62,AI38+AH39-AQ38)))</f>
        <v>530.99999999999989</v>
      </c>
      <c r="AJ39" s="13">
        <f>AI39*VLOOKUP('Données projet'!$B$10,Paramètres!$A$1:$I$89,3,0)*VLOOKUP('Données projet'!$B$10,Paramètres!$A$1:$I$89,5,0)</f>
        <v>296.82899999999995</v>
      </c>
      <c r="AK39" s="13">
        <f t="shared" si="35"/>
        <v>70.511289513454344</v>
      </c>
      <c r="AL39" s="20">
        <f t="shared" si="4"/>
        <v>639.78433756926631</v>
      </c>
      <c r="AM39" s="59">
        <f t="shared" si="5"/>
        <v>933.11767090259968</v>
      </c>
      <c r="AN39" s="59">
        <f ca="1">AVERAGE(OFFSET($AM$3,0,0,'Données projet'!$E$10+1,1))-AVERAGE(OFFSET($H$3,0,0,'Données projet'!$E$10+1,1))</f>
        <v>490.96084572840579</v>
      </c>
      <c r="AO39" s="59">
        <f t="shared" si="36"/>
        <v>597.91658789908263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28.789524585216334</v>
      </c>
      <c r="AV39" s="21">
        <f>EXP(-LN(2)/25)*AV38+(1-EXP(-LN(2)/25))/(LN(2)/25)*Calculateur!AQ39*Calculateur!AS39*VLOOKUP('Données projet'!$B$10,Paramètres!$A$1:$I$89,3,0)*0.475*44/12</f>
        <v>48.926344647704404</v>
      </c>
      <c r="AW39" s="21">
        <f>EXP(-LN(2)/2)*AW38+(1-EXP(-LN(2)/2))/(LN(2)/2)*AQ39*AT39*VLOOKUP('Données projet'!$B$10,Paramètres!$A$1:$I$89,3,0)*0.475*44/12</f>
        <v>0.10631042084235814</v>
      </c>
      <c r="AX39" s="21">
        <f t="shared" si="6"/>
        <v>77.822179653763101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7.6</v>
      </c>
      <c r="BD39" s="12">
        <f>IF('Données projet'!$A$88&gt;35,BD38+BC39-BL38,IF(A39&lt;'Données projet'!$A$88,$BA$205^A39,IF(A39='Données projet'!$A$88,'Données projet'!$B$88,BD38+BC39-BL38)))</f>
        <v>122.59999999999997</v>
      </c>
      <c r="BE39" s="13">
        <f>BD39*VLOOKUP('Données projet'!$B$11,Paramètres!$A$1:$I$89,3,0)*VLOOKUP('Données projet'!$B$11,Paramètres!$A$1:$I$89,5,0)</f>
        <v>97.540559999999971</v>
      </c>
      <c r="BF39" s="13">
        <f t="shared" si="37"/>
        <v>26.375223412308674</v>
      </c>
      <c r="BG39" s="20">
        <f t="shared" si="7"/>
        <v>215.81998944310419</v>
      </c>
      <c r="BH39" s="59">
        <f t="shared" si="8"/>
        <v>509.15332277643751</v>
      </c>
      <c r="BI39" s="59">
        <f ca="1">AVERAGE(OFFSET($BH$3,0,0,'Données projet'!$E$11+1,1))-AVERAGE(OFFSET($H$3,0,0,'Données projet'!$E$11+1,1))</f>
        <v>167.80254365106839</v>
      </c>
      <c r="BJ39" s="59">
        <f t="shared" si="38"/>
        <v>167.42302164950172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9.5970154100929932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9.5970154100929932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22.4</v>
      </c>
      <c r="BY39" s="12">
        <f>IF('Données projet'!$A$114&gt;35,BY38+BX39-CG38,IF(A39&lt;'Données projet'!$A$114,$BV$205^A39,IF(A39='Données projet'!$A$114,'Données projet'!$B$114,BY38+BX39-CG38)))</f>
        <v>302.40000000000003</v>
      </c>
      <c r="BZ39" s="13">
        <f>BY39*VLOOKUP('Données projet'!$B$12,Paramètres!$A$1:$I$89,3,0)*VLOOKUP('Données projet'!$B$12,Paramètres!$A$1:$I$89,5,0)</f>
        <v>149.38560000000004</v>
      </c>
      <c r="CA39" s="13">
        <f t="shared" si="39"/>
        <v>38.438927680599591</v>
      </c>
      <c r="CB39" s="20">
        <f t="shared" si="10"/>
        <v>327.12771904371101</v>
      </c>
      <c r="CC39" s="59">
        <f t="shared" si="11"/>
        <v>620.46105237704433</v>
      </c>
      <c r="CD39" s="59">
        <f ca="1">AVERAGE(OFFSET($CC$3,0,0,'Données projet'!$E$12+1,1))-AVERAGE(OFFSET($H$3,0,0,'Données projet'!$E$12+1,1))</f>
        <v>322.06606384496587</v>
      </c>
      <c r="CE39" s="59">
        <f t="shared" si="40"/>
        <v>267.71713177624713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19.788148681311483</v>
      </c>
      <c r="CL39" s="21">
        <f>EXP(-LN(2)/25)*CL38+(1-EXP(-LN(2)/25))/(LN(2)/25)*Calculateur!CG39*Calculateur!CI39*VLOOKUP('Données projet'!$B$12,Paramètres!$A$1:$I$89,3,0)*0.475*44/12</f>
        <v>17.023367106967367</v>
      </c>
      <c r="CM39" s="21">
        <f>EXP(-LN(2)/2)*CM38+(1-EXP(-LN(2)/2))/(LN(2)/2)*CG39*CJ39*VLOOKUP('Données projet'!$B$12,Paramètres!$A$1:$I$89,3,0)*0.475*44/12</f>
        <v>0.49437614114617301</v>
      </c>
      <c r="CN39" s="22">
        <f t="shared" si="12"/>
        <v>37.30589192942503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305</v>
      </c>
      <c r="CR39" s="12">
        <f>VLOOKUP(A39,'Données projet'!$A$139:$I$159,9,0)</f>
        <v>14.6</v>
      </c>
      <c r="CS39" s="12">
        <f t="array" ref="CS39">INDEX(CR:CR,MIN(IF(ISNUMBER(CR39:CR235),ROW(CR39:CR235),"")))</f>
        <v>14.6</v>
      </c>
      <c r="CT39" s="12">
        <f>IF('Données projet'!$A$140&gt;35,CT38+CS39-DB38,IF(A39&lt;'Données projet'!$A$140,$CQ$205^A39,IF(A39='Données projet'!$A$140,'Données projet'!$B$140,CT38+CS39-DB38)))</f>
        <v>305.00000000000017</v>
      </c>
      <c r="CU39" s="17">
        <f>CT39*VLOOKUP('Données projet'!$B$13,Paramètres!$A$1:$I$89,3,0)*VLOOKUP('Données projet'!$B$13,Paramètres!$A$1:$I$89,5,0)</f>
        <v>190.32000000000008</v>
      </c>
      <c r="CV39" s="13">
        <f t="shared" si="41"/>
        <v>47.610693377401923</v>
      </c>
      <c r="CW39" s="20">
        <f t="shared" si="13"/>
        <v>414.39595763230847</v>
      </c>
      <c r="CX39" s="59">
        <f t="shared" si="14"/>
        <v>707.72929096564178</v>
      </c>
      <c r="CY39" s="59">
        <f ca="1">AVERAGE(OFFSET($CX$3,0,0,'Données projet'!$E$13+1,1))-AVERAGE(OFFSET($H$3,0,0,'Données projet'!$E$13+1,1))</f>
        <v>269.77739619445515</v>
      </c>
      <c r="CZ39" s="59">
        <f t="shared" si="42"/>
        <v>347.56964743629885</v>
      </c>
      <c r="DA39" s="15">
        <f>IF(ISNA(VLOOKUP(A39,'Données projet'!$A$139:$I$159,3,0)),0,VLOOKUP(A39,'Données projet'!$A$139:$I$159,3,0))</f>
        <v>5</v>
      </c>
      <c r="DB39" s="15">
        <f>IF(ISNA(VLOOKUP(A39,'Données projet'!$A$139:$I$159,4,0)),0,VLOOKUP(A39,'Données projet'!$A$139:$I$159,4,0))</f>
        <v>58.4</v>
      </c>
      <c r="DC39" s="16">
        <f>IF(ISNA(VLOOKUP(A39,'Données projet'!$A$139:$I$159,5,0)),0%,VLOOKUP(A39,'Données projet'!$A$139:$I$159,5,0)*VLOOKUP('Données projet'!$B$13,Paramètres!$A$1:$I$89,7,0))</f>
        <v>0.6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29.005278755607325</v>
      </c>
      <c r="DG39" s="21">
        <f>EXP(-LN(2)/25)*DG38+(1-EXP(-LN(2)/25))/(LN(2)/25)*Calculateur!DB39*Calculateur!DD39*VLOOKUP('Données projet'!$B$13,Paramètres!$A$1:$I$89,3,0)*0.475*44/12</f>
        <v>77.682270989124731</v>
      </c>
      <c r="DH39" s="21">
        <f>EXP(-LN(2)/2)*DH38+(1-EXP(-LN(2)/2))/(LN(2)/2)*DB39*DE39*VLOOKUP('Données projet'!$B$13,Paramètres!$A$1:$I$89,3,0)*0.475*44/12</f>
        <v>3.1047932533733568E-3</v>
      </c>
      <c r="DI39" s="22">
        <f t="shared" si="15"/>
        <v>106.69065453798542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22.4</v>
      </c>
      <c r="DO39" s="12">
        <f>IF('Données projet'!$A$166&gt;35,DO38+DN39-DW38,IF(A39&lt;'Données projet'!$A$166,$DL$205^A39,IF(A39='Données projet'!$A$166,'Données projet'!$B$166,DO38+DN39-DW38)))</f>
        <v>302.40000000000003</v>
      </c>
      <c r="DP39" s="17">
        <f>DO39*VLOOKUP('Données projet'!$B$14,Paramètres!$A$1:$I$89,3,0)*VLOOKUP('Données projet'!$B$14,Paramètres!$A$1:$I$89,5,0)</f>
        <v>145.45440000000002</v>
      </c>
      <c r="DQ39" s="13">
        <f t="shared" si="43"/>
        <v>37.543738926424979</v>
      </c>
      <c r="DR39" s="20">
        <f t="shared" si="16"/>
        <v>318.72175863019015</v>
      </c>
      <c r="DS39" s="59">
        <f t="shared" si="17"/>
        <v>612.05509196352341</v>
      </c>
      <c r="DT39" s="59">
        <f ca="1">AVERAGE(OFFSET($DS$3,0,0,'Données projet'!$E$14+1,1))-AVERAGE(OFFSET($H$3,0,0,'Données projet'!$E$14+1,1))</f>
        <v>312.64506496298173</v>
      </c>
      <c r="DU39" s="59">
        <f t="shared" si="44"/>
        <v>259.97532509897508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19.267407926540123</v>
      </c>
      <c r="EB39" s="21">
        <f>EXP(-LN(2)/25)*EB38+(1-EXP(-LN(2)/25))/(LN(2)/25)*Calculateur!DW39*Calculateur!DY39*VLOOKUP('Données projet'!$B$14,Paramètres!$A$1:$I$89,3,0)*0.475*44/12</f>
        <v>16.575383762047174</v>
      </c>
      <c r="EC39" s="21">
        <f>EXP(-LN(2)/2)*EC38+(1-EXP(-LN(2)/2))/(LN(2)/2)*DW39*DZ39*VLOOKUP('Données projet'!$B$14,Paramètres!$A$1:$I$89,3,0)*0.475*44/12</f>
        <v>0.48136624269495742</v>
      </c>
      <c r="ED39" s="22">
        <f t="shared" si="18"/>
        <v>36.324157931282258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8.4</v>
      </c>
      <c r="EJ39" s="12">
        <f>IF('Données projet'!$A$192&gt;35,EJ38+EI39-ER38,IF(A39&lt;'Données projet'!$A$192,$EG$205^A39,IF(A39='Données projet'!$A$192,'Données projet'!$B$192,EJ38+EI39-ER38)))</f>
        <v>103.4</v>
      </c>
      <c r="EK39" s="17">
        <f>EJ39*VLOOKUP('Données projet'!$B$15,Paramètres!$A$1:$I$89,3,0)*VLOOKUP('Données projet'!$B$15,Paramètres!$A$1:$I$89,5,0)</f>
        <v>93.556319999999999</v>
      </c>
      <c r="EL39" s="13">
        <f t="shared" si="45"/>
        <v>25.420979659258073</v>
      </c>
      <c r="EM39" s="20">
        <f t="shared" si="19"/>
        <v>207.21879690654114</v>
      </c>
      <c r="EN39" s="59">
        <f t="shared" si="20"/>
        <v>500.55213023987449</v>
      </c>
      <c r="EO39" s="59">
        <f ca="1">AVERAGE(OFFSET($EN$3,0,0,'Données projet'!$E$15+1,1))-AVERAGE(OFFSET($H$3,0,0,'Données projet'!$E$15+1,1))</f>
        <v>269.64423257646359</v>
      </c>
      <c r="EP39" s="59">
        <f t="shared" si="46"/>
        <v>161.0819079811821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8.8549598345438092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8.8549598345438092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195.40000000000003</v>
      </c>
      <c r="FF39" s="17">
        <f>FE39*VLOOKUP('Données projet'!$B$16,Paramètres!$A$1:$I$89,3,0)*VLOOKUP('Données projet'!$B$16,Paramètres!$A$1:$I$89,5,0)</f>
        <v>152.41200000000003</v>
      </c>
      <c r="FG39" s="13">
        <f t="shared" si="47"/>
        <v>39.126211343688098</v>
      </c>
      <c r="FH39" s="20">
        <f t="shared" si="22"/>
        <v>333.59571809025681</v>
      </c>
      <c r="FI39" s="59">
        <f t="shared" si="23"/>
        <v>626.92905142359018</v>
      </c>
      <c r="FJ39" s="59">
        <f ca="1">AVERAGE(OFFSET($FI$3,0,0,'Données projet'!$E$16+1,1))-AVERAGE(OFFSET($H$3,0,0,'Données projet'!$E$16+1,1))</f>
        <v>283.77864672734273</v>
      </c>
      <c r="FK39" s="59">
        <f t="shared" si="48"/>
        <v>270.94620935643866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10.541618850647394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10.541618850647394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11.4</v>
      </c>
      <c r="FZ39" s="12">
        <f>IF('Données projet'!$A$244&gt;35,FZ38+FY39-GH38,IF(A39&lt;'Données projet'!$A$244,$FW$205^A39,IF(A39='Données projet'!$A$244,'Données projet'!$B$244,FZ38+FY39-GH38)))</f>
        <v>182.39999999999998</v>
      </c>
      <c r="GA39" s="17">
        <f>FZ39*VLOOKUP('Données projet'!$B$17,Paramètres!$A$1:$I$89,3,0)*VLOOKUP('Données projet'!$B$17,Paramètres!$A$1:$I$89,5,0)</f>
        <v>176.41727999999998</v>
      </c>
      <c r="GB39" s="13">
        <f t="shared" si="49"/>
        <v>44.524166703747255</v>
      </c>
      <c r="GC39" s="20">
        <f t="shared" si="25"/>
        <v>384.8063530090264</v>
      </c>
      <c r="GD39" s="59">
        <f t="shared" si="26"/>
        <v>678.13968634235971</v>
      </c>
      <c r="GE39" s="59">
        <f ca="1">AVERAGE(OFFSET($GD$3,0,0,'Données projet'!$E$17+1,1))-AVERAGE(OFFSET($H$3,0,0,'Données projet'!$E$17+1,1))</f>
        <v>347.54503437087288</v>
      </c>
      <c r="GF39" s="59">
        <f t="shared" si="50"/>
        <v>340.05673244455954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15.776077866141273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15.776077866141273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25.4</v>
      </c>
      <c r="N40" s="13">
        <f>IF('Données projet'!$A$36&gt;35,N39+M40-V39,IF(A40&lt;'Données projet'!$A$36,$K$205^A40,IF(A40='Données projet'!$A$36,'Données projet'!$B$36,N39+M40-V39)))</f>
        <v>363.8</v>
      </c>
      <c r="O40" s="13">
        <f>N40*VLOOKUP('Données projet'!$B$9,Paramètres!$A$1:$I$89,3,0)*VLOOKUP('Données projet'!$B$9,Paramètres!$A$1:$I$89,5,0)</f>
        <v>170.25839999999999</v>
      </c>
      <c r="P40" s="13">
        <f t="shared" si="33"/>
        <v>43.147891472685053</v>
      </c>
      <c r="Q40" s="20">
        <f t="shared" si="53"/>
        <v>371.68262431492644</v>
      </c>
      <c r="R40" s="59">
        <f t="shared" si="0"/>
        <v>665.0159576482597</v>
      </c>
      <c r="S40" s="59">
        <f ca="1">AVERAGE(OFFSET($R$3,0,0,'Données projet'!$E$9+1,1))-AVERAGE(OFFSET($H$3,0,0,'Données projet'!$E$9+1,1))</f>
        <v>342.49944586217674</v>
      </c>
      <c r="T40" s="59">
        <f t="shared" si="34"/>
        <v>282.29766600872563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20.676438520726858</v>
      </c>
      <c r="AA40" s="21">
        <f>EXP(-LN(2)/25)*AA39+(1-EXP(-LN(2)/25))/(LN(2)/25)*Calculateur!V40*Calculateur!X40*VLOOKUP('Données projet'!$B$9,Paramètres!$A$1:$I$89,3,0)*0.475*44/12</f>
        <v>33.009971071964905</v>
      </c>
      <c r="AB40" s="21">
        <f>EXP(-LN(2)/2)*AB39+(1-EXP(-LN(2)/2))/(LN(2)/2)*V40*Y40*VLOOKUP('Données projet'!$B$9,Paramètres!$A$1:$I$89,3,0)*0.475*44/12</f>
        <v>7.3180678788084836E-3</v>
      </c>
      <c r="AC40" s="22">
        <f t="shared" si="3"/>
        <v>53.693727660570566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27</v>
      </c>
      <c r="AI40" s="13">
        <f>IF('Données projet'!$A$62&gt;35,AI39+AH40-AQ39,IF(A40&lt;'Données projet'!$A$62,$AF$205^A40,IF(A40='Données projet'!$A$62,'Données projet'!$B$62,AI39+AH40-AQ39)))</f>
        <v>557.99999999999989</v>
      </c>
      <c r="AJ40" s="13">
        <f>AI40*VLOOKUP('Données projet'!$B$10,Paramètres!$A$1:$I$89,3,0)*VLOOKUP('Données projet'!$B$10,Paramètres!$A$1:$I$89,5,0)</f>
        <v>311.92199999999991</v>
      </c>
      <c r="AK40" s="13">
        <f t="shared" si="35"/>
        <v>73.670075764965745</v>
      </c>
      <c r="AL40" s="20">
        <f t="shared" si="4"/>
        <v>671.57286529064845</v>
      </c>
      <c r="AM40" s="59">
        <f t="shared" si="5"/>
        <v>964.90619862398171</v>
      </c>
      <c r="AN40" s="59">
        <f ca="1">AVERAGE(OFFSET($AM$3,0,0,'Données projet'!$E$10+1,1))-AVERAGE(OFFSET($H$3,0,0,'Données projet'!$E$10+1,1))</f>
        <v>490.96084572840579</v>
      </c>
      <c r="AO40" s="59">
        <f t="shared" si="36"/>
        <v>597.91658789908263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28.224979567976344</v>
      </c>
      <c r="AV40" s="21">
        <f>EXP(-LN(2)/25)*AV39+(1-EXP(-LN(2)/25))/(LN(2)/25)*Calculateur!AQ40*Calculateur!AS40*VLOOKUP('Données projet'!$B$10,Paramètres!$A$1:$I$89,3,0)*0.475*44/12</f>
        <v>47.588451180388283</v>
      </c>
      <c r="AW40" s="21">
        <f>EXP(-LN(2)/2)*AW39+(1-EXP(-LN(2)/2))/(LN(2)/2)*AQ40*AT40*VLOOKUP('Données projet'!$B$10,Paramètres!$A$1:$I$89,3,0)*0.475*44/12</f>
        <v>7.517281948842712E-2</v>
      </c>
      <c r="AX40" s="21">
        <f t="shared" si="6"/>
        <v>75.888603567853053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7.6</v>
      </c>
      <c r="BD40" s="12">
        <f>IF('Données projet'!$A$88&gt;35,BD39+BC40-BL39,IF(A40&lt;'Données projet'!$A$88,$BA$205^A40,IF(A40='Données projet'!$A$88,'Données projet'!$B$88,BD39+BC40-BL39)))</f>
        <v>130.19999999999996</v>
      </c>
      <c r="BE40" s="13">
        <f>BD40*VLOOKUP('Données projet'!$B$11,Paramètres!$A$1:$I$89,3,0)*VLOOKUP('Données projet'!$B$11,Paramètres!$A$1:$I$89,5,0)</f>
        <v>103.58711999999998</v>
      </c>
      <c r="BF40" s="13">
        <f t="shared" si="37"/>
        <v>27.814818683067688</v>
      </c>
      <c r="BG40" s="20">
        <f t="shared" si="7"/>
        <v>228.85837653967619</v>
      </c>
      <c r="BH40" s="59">
        <f t="shared" si="8"/>
        <v>522.19170987300947</v>
      </c>
      <c r="BI40" s="59">
        <f ca="1">AVERAGE(OFFSET($BH$3,0,0,'Données projet'!$E$11+1,1))-AVERAGE(OFFSET($H$3,0,0,'Données projet'!$E$11+1,1))</f>
        <v>167.80254365106839</v>
      </c>
      <c r="BJ40" s="59">
        <f t="shared" si="38"/>
        <v>167.42302164950172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9.4088237915024742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9.4088237915024742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22.4</v>
      </c>
      <c r="BY40" s="12">
        <f>IF('Données projet'!$A$114&gt;35,BY39+BX40-CG39,IF(A40&lt;'Données projet'!$A$114,$BV$205^A40,IF(A40='Données projet'!$A$114,'Données projet'!$B$114,BY39+BX40-CG39)))</f>
        <v>324.8</v>
      </c>
      <c r="BZ40" s="13">
        <f>BY40*VLOOKUP('Données projet'!$B$12,Paramètres!$A$1:$I$89,3,0)*VLOOKUP('Données projet'!$B$12,Paramètres!$A$1:$I$89,5,0)</f>
        <v>160.4512</v>
      </c>
      <c r="CA40" s="13">
        <f t="shared" si="39"/>
        <v>40.944268140843363</v>
      </c>
      <c r="CB40" s="20">
        <f t="shared" si="10"/>
        <v>350.76377367863552</v>
      </c>
      <c r="CC40" s="59">
        <f t="shared" si="11"/>
        <v>644.09710701196877</v>
      </c>
      <c r="CD40" s="59">
        <f ca="1">AVERAGE(OFFSET($CC$3,0,0,'Données projet'!$E$12+1,1))-AVERAGE(OFFSET($H$3,0,0,'Données projet'!$E$12+1,1))</f>
        <v>322.06606384496587</v>
      </c>
      <c r="CE40" s="59">
        <f t="shared" si="40"/>
        <v>267.71713177624713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19.400115155249889</v>
      </c>
      <c r="CL40" s="21">
        <f>EXP(-LN(2)/25)*CL39+(1-EXP(-LN(2)/25))/(LN(2)/25)*Calculateur!CG40*Calculateur!CI40*VLOOKUP('Données projet'!$B$12,Paramètres!$A$1:$I$89,3,0)*0.475*44/12</f>
        <v>16.557862238207374</v>
      </c>
      <c r="CM40" s="21">
        <f>EXP(-LN(2)/2)*CM39+(1-EXP(-LN(2)/2))/(LN(2)/2)*CG40*CJ40*VLOOKUP('Données projet'!$B$12,Paramètres!$A$1:$I$89,3,0)*0.475*44/12</f>
        <v>0.34957672186129674</v>
      </c>
      <c r="CN40" s="22">
        <f t="shared" si="12"/>
        <v>36.30755411531856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13.9</v>
      </c>
      <c r="CT40" s="12">
        <f>IF('Données projet'!$A$140&gt;35,CT39+CS40-DB39,IF(A40&lt;'Données projet'!$A$140,$CQ$205^A40,IF(A40='Données projet'!$A$140,'Données projet'!$B$140,CT39+CS40-DB39)))</f>
        <v>260.50000000000017</v>
      </c>
      <c r="CU40" s="17">
        <f>CT40*VLOOKUP('Données projet'!$B$13,Paramètres!$A$1:$I$89,3,0)*VLOOKUP('Données projet'!$B$13,Paramètres!$A$1:$I$89,5,0)</f>
        <v>162.55200000000011</v>
      </c>
      <c r="CV40" s="13">
        <f t="shared" si="41"/>
        <v>41.417594941550192</v>
      </c>
      <c r="CW40" s="20">
        <f t="shared" si="13"/>
        <v>355.24704452320003</v>
      </c>
      <c r="CX40" s="59">
        <f t="shared" si="14"/>
        <v>648.58037785653335</v>
      </c>
      <c r="CY40" s="59">
        <f ca="1">AVERAGE(OFFSET($CX$3,0,0,'Données projet'!$E$13+1,1))-AVERAGE(OFFSET($H$3,0,0,'Données projet'!$E$13+1,1))</f>
        <v>269.77739619445515</v>
      </c>
      <c r="CZ40" s="59">
        <f t="shared" si="42"/>
        <v>347.56964743629885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28.436502930683019</v>
      </c>
      <c r="DG40" s="21">
        <f>EXP(-LN(2)/25)*DG39+(1-EXP(-LN(2)/25))/(LN(2)/25)*Calculateur!DB40*Calculateur!DD40*VLOOKUP('Données projet'!$B$13,Paramètres!$A$1:$I$89,3,0)*0.475*44/12</f>
        <v>75.558045203794023</v>
      </c>
      <c r="DH40" s="21">
        <f>EXP(-LN(2)/2)*DH39+(1-EXP(-LN(2)/2))/(LN(2)/2)*DB40*DE40*VLOOKUP('Données projet'!$B$13,Paramètres!$A$1:$I$89,3,0)*0.475*44/12</f>
        <v>2.1954203636425432E-3</v>
      </c>
      <c r="DI40" s="22">
        <f t="shared" si="15"/>
        <v>103.99674355484069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22.4</v>
      </c>
      <c r="DO40" s="12">
        <f>IF('Données projet'!$A$166&gt;35,DO39+DN40-DW39,IF(A40&lt;'Données projet'!$A$166,$DL$205^A40,IF(A40='Données projet'!$A$166,'Données projet'!$B$166,DO39+DN40-DW39)))</f>
        <v>324.8</v>
      </c>
      <c r="DP40" s="17">
        <f>DO40*VLOOKUP('Données projet'!$B$14,Paramètres!$A$1:$I$89,3,0)*VLOOKUP('Données projet'!$B$14,Paramètres!$A$1:$I$89,5,0)</f>
        <v>156.22880000000001</v>
      </c>
      <c r="DQ40" s="13">
        <f t="shared" si="43"/>
        <v>39.990733518541923</v>
      </c>
      <c r="DR40" s="20">
        <f t="shared" si="16"/>
        <v>341.74902087812717</v>
      </c>
      <c r="DS40" s="59">
        <f t="shared" si="17"/>
        <v>635.08235421146048</v>
      </c>
      <c r="DT40" s="59">
        <f ca="1">AVERAGE(OFFSET($DS$3,0,0,'Données projet'!$E$14+1,1))-AVERAGE(OFFSET($H$3,0,0,'Données projet'!$E$14+1,1))</f>
        <v>312.64506496298173</v>
      </c>
      <c r="DU40" s="59">
        <f t="shared" si="44"/>
        <v>259.97532509897508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18.889585809059096</v>
      </c>
      <c r="EB40" s="21">
        <f>EXP(-LN(2)/25)*EB39+(1-EXP(-LN(2)/25))/(LN(2)/25)*Calculateur!DW40*Calculateur!DY40*VLOOKUP('Données projet'!$B$14,Paramètres!$A$1:$I$89,3,0)*0.475*44/12</f>
        <v>16.122129021412444</v>
      </c>
      <c r="EC40" s="21">
        <f>EXP(-LN(2)/2)*EC39+(1-EXP(-LN(2)/2))/(LN(2)/2)*DW40*DZ40*VLOOKUP('Données projet'!$B$14,Paramètres!$A$1:$I$89,3,0)*0.475*44/12</f>
        <v>0.34037733444389379</v>
      </c>
      <c r="ED40" s="22">
        <f t="shared" si="18"/>
        <v>35.352092164915433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8.4</v>
      </c>
      <c r="EJ40" s="12">
        <f>IF('Données projet'!$A$192&gt;35,EJ39+EI40-ER39,IF(A40&lt;'Données projet'!$A$192,$EG$205^A40,IF(A40='Données projet'!$A$192,'Données projet'!$B$192,EJ39+EI40-ER39)))</f>
        <v>111.80000000000001</v>
      </c>
      <c r="EK40" s="17">
        <f>EJ40*VLOOKUP('Données projet'!$B$15,Paramètres!$A$1:$I$89,3,0)*VLOOKUP('Données projet'!$B$15,Paramètres!$A$1:$I$89,5,0)</f>
        <v>101.15664000000001</v>
      </c>
      <c r="EL40" s="13">
        <f t="shared" si="45"/>
        <v>27.237366379381644</v>
      </c>
      <c r="EM40" s="20">
        <f t="shared" si="19"/>
        <v>223.61956111075639</v>
      </c>
      <c r="EN40" s="59">
        <f t="shared" si="20"/>
        <v>516.95289444408968</v>
      </c>
      <c r="EO40" s="59">
        <f ca="1">AVERAGE(OFFSET($EN$3,0,0,'Données projet'!$E$15+1,1))-AVERAGE(OFFSET($H$3,0,0,'Données projet'!$E$15+1,1))</f>
        <v>269.64423257646359</v>
      </c>
      <c r="EP40" s="59">
        <f t="shared" si="46"/>
        <v>161.0819079811821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8.6813194731806007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8.6813194731806007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206.80000000000004</v>
      </c>
      <c r="FF40" s="17">
        <f>FE40*VLOOKUP('Données projet'!$B$16,Paramètres!$A$1:$I$89,3,0)*VLOOKUP('Données projet'!$B$16,Paramètres!$A$1:$I$89,5,0)</f>
        <v>161.30400000000003</v>
      </c>
      <c r="FG40" s="13">
        <f t="shared" si="47"/>
        <v>41.136497157560399</v>
      </c>
      <c r="FH40" s="20">
        <f t="shared" si="22"/>
        <v>352.58386588275107</v>
      </c>
      <c r="FI40" s="59">
        <f t="shared" si="23"/>
        <v>645.91719921608433</v>
      </c>
      <c r="FJ40" s="59">
        <f ca="1">AVERAGE(OFFSET($FI$3,0,0,'Données projet'!$E$16+1,1))-AVERAGE(OFFSET($H$3,0,0,'Données projet'!$E$16+1,1))</f>
        <v>283.77864672734273</v>
      </c>
      <c r="FK40" s="59">
        <f t="shared" si="48"/>
        <v>270.94620935643866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10.334904134738812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10.334904134738812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11.4</v>
      </c>
      <c r="FZ40" s="12">
        <f>IF('Données projet'!$A$244&gt;35,FZ39+FY40-GH39,IF(A40&lt;'Données projet'!$A$244,$FW$205^A40,IF(A40='Données projet'!$A$244,'Données projet'!$B$244,FZ39+FY40-GH39)))</f>
        <v>193.79999999999998</v>
      </c>
      <c r="GA40" s="17">
        <f>FZ40*VLOOKUP('Données projet'!$B$17,Paramètres!$A$1:$I$89,3,0)*VLOOKUP('Données projet'!$B$17,Paramètres!$A$1:$I$89,5,0)</f>
        <v>187.44335999999998</v>
      </c>
      <c r="GB40" s="13">
        <f t="shared" si="49"/>
        <v>46.974271155353676</v>
      </c>
      <c r="GC40" s="20">
        <f t="shared" si="25"/>
        <v>408.27737426224098</v>
      </c>
      <c r="GD40" s="59">
        <f t="shared" si="26"/>
        <v>701.61070759557424</v>
      </c>
      <c r="GE40" s="59">
        <f ca="1">AVERAGE(OFFSET($GD$3,0,0,'Données projet'!$E$17+1,1))-AVERAGE(OFFSET($H$3,0,0,'Données projet'!$E$17+1,1))</f>
        <v>347.54503437087288</v>
      </c>
      <c r="GF40" s="59">
        <f t="shared" si="50"/>
        <v>340.05673244455954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15.466718601643603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15.466718601643603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25.4</v>
      </c>
      <c r="N41" s="13">
        <f>IF('Données projet'!$A$36&gt;35,N40+M41-V40,IF(A41&lt;'Données projet'!$A$36,$K$205^A41,IF(A41='Données projet'!$A$36,'Données projet'!$B$36,N40+M41-V40)))</f>
        <v>389.2</v>
      </c>
      <c r="O41" s="13">
        <f>N41*VLOOKUP('Données projet'!$B$9,Paramètres!$A$1:$I$89,3,0)*VLOOKUP('Données projet'!$B$9,Paramètres!$A$1:$I$89,5,0)</f>
        <v>182.1456</v>
      </c>
      <c r="P41" s="13">
        <f t="shared" si="33"/>
        <v>45.799212932829867</v>
      </c>
      <c r="Q41" s="20">
        <f t="shared" si="53"/>
        <v>397.00388252467866</v>
      </c>
      <c r="R41" s="59">
        <f t="shared" si="0"/>
        <v>690.33721585801197</v>
      </c>
      <c r="S41" s="59">
        <f ca="1">AVERAGE(OFFSET($R$3,0,0,'Données projet'!$E$9+1,1))-AVERAGE(OFFSET($H$3,0,0,'Données projet'!$E$9+1,1))</f>
        <v>342.49944586217674</v>
      </c>
      <c r="T41" s="59">
        <f t="shared" si="34"/>
        <v>282.29766600872563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20.270986172717631</v>
      </c>
      <c r="AA41" s="21">
        <f>EXP(-LN(2)/25)*AA40+(1-EXP(-LN(2)/25))/(LN(2)/25)*Calculateur!V41*Calculateur!X41*VLOOKUP('Données projet'!$B$9,Paramètres!$A$1:$I$89,3,0)*0.475*44/12</f>
        <v>32.107311677083089</v>
      </c>
      <c r="AB41" s="21">
        <f>EXP(-LN(2)/2)*AB40+(1-EXP(-LN(2)/2))/(LN(2)/2)*V41*Y41*VLOOKUP('Données projet'!$B$9,Paramètres!$A$1:$I$89,3,0)*0.475*44/12</f>
        <v>5.1746554222889323E-3</v>
      </c>
      <c r="AC41" s="22">
        <f t="shared" si="3"/>
        <v>52.383472505223004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27</v>
      </c>
      <c r="AI41" s="13">
        <f>IF('Données projet'!$A$62&gt;35,AI40+AH41-AQ40,IF(A41&lt;'Données projet'!$A$62,$AF$205^A41,IF(A41='Données projet'!$A$62,'Données projet'!$B$62,AI40+AH41-AQ40)))</f>
        <v>584.99999999999989</v>
      </c>
      <c r="AJ41" s="13">
        <f>AI41*VLOOKUP('Données projet'!$B$10,Paramètres!$A$1:$I$89,3,0)*VLOOKUP('Données projet'!$B$10,Paramètres!$A$1:$I$89,5,0)</f>
        <v>327.01499999999993</v>
      </c>
      <c r="AK41" s="13">
        <f t="shared" si="35"/>
        <v>76.811113612871907</v>
      </c>
      <c r="AL41" s="20">
        <f t="shared" si="4"/>
        <v>703.33048120908506</v>
      </c>
      <c r="AM41" s="59">
        <f t="shared" si="5"/>
        <v>996.66381454241832</v>
      </c>
      <c r="AN41" s="59">
        <f ca="1">AVERAGE(OFFSET($AM$3,0,0,'Données projet'!$E$10+1,1))-AVERAGE(OFFSET($H$3,0,0,'Données projet'!$E$10+1,1))</f>
        <v>490.96084572840579</v>
      </c>
      <c r="AO41" s="59">
        <f t="shared" si="36"/>
        <v>597.91658789908263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27.671504934185972</v>
      </c>
      <c r="AV41" s="21">
        <f>EXP(-LN(2)/25)*AV40+(1-EXP(-LN(2)/25))/(LN(2)/25)*Calculateur!AQ41*Calculateur!AS41*VLOOKUP('Données projet'!$B$10,Paramètres!$A$1:$I$89,3,0)*0.475*44/12</f>
        <v>46.28714248029268</v>
      </c>
      <c r="AW41" s="21">
        <f>EXP(-LN(2)/2)*AW40+(1-EXP(-LN(2)/2))/(LN(2)/2)*AQ41*AT41*VLOOKUP('Données projet'!$B$10,Paramètres!$A$1:$I$89,3,0)*0.475*44/12</f>
        <v>5.3155210421179072E-2</v>
      </c>
      <c r="AX41" s="21">
        <f t="shared" si="6"/>
        <v>74.011802624899829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7.6</v>
      </c>
      <c r="BD41" s="12">
        <f>IF('Données projet'!$A$88&gt;35,BD40+BC41-BL40,IF(A41&lt;'Données projet'!$A$88,$BA$205^A41,IF(A41='Données projet'!$A$88,'Données projet'!$B$88,BD40+BC41-BL40)))</f>
        <v>137.79999999999995</v>
      </c>
      <c r="BE41" s="13">
        <f>BD41*VLOOKUP('Données projet'!$B$11,Paramètres!$A$1:$I$89,3,0)*VLOOKUP('Données projet'!$B$11,Paramètres!$A$1:$I$89,5,0)</f>
        <v>109.63367999999997</v>
      </c>
      <c r="BF41" s="13">
        <f t="shared" si="37"/>
        <v>29.244659974709236</v>
      </c>
      <c r="BG41" s="20">
        <f t="shared" si="7"/>
        <v>241.87977545595186</v>
      </c>
      <c r="BH41" s="59">
        <f t="shared" si="8"/>
        <v>535.21310878928512</v>
      </c>
      <c r="BI41" s="59">
        <f ca="1">AVERAGE(OFFSET($BH$3,0,0,'Données projet'!$E$11+1,1))-AVERAGE(OFFSET($H$3,0,0,'Données projet'!$E$11+1,1))</f>
        <v>167.80254365106839</v>
      </c>
      <c r="BJ41" s="59">
        <f t="shared" si="38"/>
        <v>167.42302164950172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9.2243224957669625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9.2243224957669625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22.4</v>
      </c>
      <c r="BY41" s="12">
        <f>IF('Données projet'!$A$114&gt;35,BY40+BX41-CG40,IF(A41&lt;'Données projet'!$A$114,$BV$205^A41,IF(A41='Données projet'!$A$114,'Données projet'!$B$114,BY40+BX41-CG40)))</f>
        <v>347.2</v>
      </c>
      <c r="BZ41" s="13">
        <f>BY41*VLOOKUP('Données projet'!$B$12,Paramètres!$A$1:$I$89,3,0)*VLOOKUP('Données projet'!$B$12,Paramètres!$A$1:$I$89,5,0)</f>
        <v>171.51680000000002</v>
      </c>
      <c r="CA41" s="13">
        <f t="shared" si="39"/>
        <v>43.429560504598854</v>
      </c>
      <c r="CB41" s="20">
        <f t="shared" si="10"/>
        <v>374.36491121217637</v>
      </c>
      <c r="CC41" s="59">
        <f t="shared" si="11"/>
        <v>667.69824454550962</v>
      </c>
      <c r="CD41" s="59">
        <f ca="1">AVERAGE(OFFSET($CC$3,0,0,'Données projet'!$E$12+1,1))-AVERAGE(OFFSET($H$3,0,0,'Données projet'!$E$12+1,1))</f>
        <v>322.06606384496587</v>
      </c>
      <c r="CE41" s="59">
        <f t="shared" si="40"/>
        <v>267.71713177624713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19.019690729957283</v>
      </c>
      <c r="CL41" s="21">
        <f>EXP(-LN(2)/25)*CL40+(1-EXP(-LN(2)/25))/(LN(2)/25)*Calculateur!CG41*Calculateur!CI41*VLOOKUP('Données projet'!$B$12,Paramètres!$A$1:$I$89,3,0)*0.475*44/12</f>
        <v>16.105086624563462</v>
      </c>
      <c r="CM41" s="21">
        <f>EXP(-LN(2)/2)*CM40+(1-EXP(-LN(2)/2))/(LN(2)/2)*CG41*CJ41*VLOOKUP('Données projet'!$B$12,Paramètres!$A$1:$I$89,3,0)*0.475*44/12</f>
        <v>0.24718807057308656</v>
      </c>
      <c r="CN41" s="22">
        <f t="shared" si="12"/>
        <v>35.371965425093833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13.9</v>
      </c>
      <c r="CT41" s="12">
        <f>IF('Données projet'!$A$140&gt;35,CT40+CS41-DB40,IF(A41&lt;'Données projet'!$A$140,$CQ$205^A41,IF(A41='Données projet'!$A$140,'Données projet'!$B$140,CT40+CS41-DB40)))</f>
        <v>274.40000000000015</v>
      </c>
      <c r="CU41" s="17">
        <f>CT41*VLOOKUP('Données projet'!$B$13,Paramètres!$A$1:$I$89,3,0)*VLOOKUP('Données projet'!$B$13,Paramètres!$A$1:$I$89,5,0)</f>
        <v>171.2256000000001</v>
      </c>
      <c r="CV41" s="13">
        <f t="shared" si="41"/>
        <v>43.364402348589557</v>
      </c>
      <c r="CW41" s="20">
        <f t="shared" si="13"/>
        <v>373.74425409046029</v>
      </c>
      <c r="CX41" s="59">
        <f t="shared" si="14"/>
        <v>667.0775874237936</v>
      </c>
      <c r="CY41" s="59">
        <f ca="1">AVERAGE(OFFSET($CX$3,0,0,'Données projet'!$E$13+1,1))-AVERAGE(OFFSET($H$3,0,0,'Données projet'!$E$13+1,1))</f>
        <v>269.77739619445515</v>
      </c>
      <c r="CZ41" s="59">
        <f t="shared" si="42"/>
        <v>347.56964743629885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27.878880452766481</v>
      </c>
      <c r="DG41" s="21">
        <f>EXP(-LN(2)/25)*DG40+(1-EXP(-LN(2)/25))/(LN(2)/25)*Calculateur!DB41*Calculateur!DD41*VLOOKUP('Données projet'!$B$13,Paramètres!$A$1:$I$89,3,0)*0.475*44/12</f>
        <v>73.491906484271368</v>
      </c>
      <c r="DH41" s="21">
        <f>EXP(-LN(2)/2)*DH40+(1-EXP(-LN(2)/2))/(LN(2)/2)*DB41*DE41*VLOOKUP('Données projet'!$B$13,Paramètres!$A$1:$I$89,3,0)*0.475*44/12</f>
        <v>1.5523966266866784E-3</v>
      </c>
      <c r="DI41" s="22">
        <f t="shared" si="15"/>
        <v>101.37233933366454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22.4</v>
      </c>
      <c r="DO41" s="12">
        <f>IF('Données projet'!$A$166&gt;35,DO40+DN41-DW40,IF(A41&lt;'Données projet'!$A$166,$DL$205^A41,IF(A41='Données projet'!$A$166,'Données projet'!$B$166,DO40+DN41-DW40)))</f>
        <v>347.2</v>
      </c>
      <c r="DP41" s="17">
        <f>DO41*VLOOKUP('Données projet'!$B$14,Paramètres!$A$1:$I$89,3,0)*VLOOKUP('Données projet'!$B$14,Paramètres!$A$1:$I$89,5,0)</f>
        <v>167.00319999999999</v>
      </c>
      <c r="DQ41" s="13">
        <f t="shared" si="43"/>
        <v>42.418146906240658</v>
      </c>
      <c r="DR41" s="20">
        <f t="shared" si="16"/>
        <v>364.74217919503576</v>
      </c>
      <c r="DS41" s="59">
        <f t="shared" si="17"/>
        <v>658.07551252836902</v>
      </c>
      <c r="DT41" s="59">
        <f ca="1">AVERAGE(OFFSET($DS$3,0,0,'Données projet'!$E$14+1,1))-AVERAGE(OFFSET($H$3,0,0,'Données projet'!$E$14+1,1))</f>
        <v>312.64506496298173</v>
      </c>
      <c r="DU41" s="59">
        <f t="shared" si="44"/>
        <v>259.97532509897508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18.519172552853135</v>
      </c>
      <c r="EB41" s="21">
        <f>EXP(-LN(2)/25)*EB40+(1-EXP(-LN(2)/25))/(LN(2)/25)*Calculateur!DW41*Calculateur!DY41*VLOOKUP('Données projet'!$B$14,Paramètres!$A$1:$I$89,3,0)*0.475*44/12</f>
        <v>15.681268555496004</v>
      </c>
      <c r="EC41" s="21">
        <f>EXP(-LN(2)/2)*EC40+(1-EXP(-LN(2)/2))/(LN(2)/2)*DW41*DZ41*VLOOKUP('Données projet'!$B$14,Paramètres!$A$1:$I$89,3,0)*0.475*44/12</f>
        <v>0.24068312134747871</v>
      </c>
      <c r="ED41" s="22">
        <f t="shared" si="18"/>
        <v>34.441124229696619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8.4</v>
      </c>
      <c r="EJ41" s="12">
        <f>IF('Données projet'!$A$192&gt;35,EJ40+EI41-ER40,IF(A41&lt;'Données projet'!$A$192,$EG$205^A41,IF(A41='Données projet'!$A$192,'Données projet'!$B$192,EJ40+EI41-ER40)))</f>
        <v>120.20000000000002</v>
      </c>
      <c r="EK41" s="17">
        <f>EJ41*VLOOKUP('Données projet'!$B$15,Paramètres!$A$1:$I$89,3,0)*VLOOKUP('Données projet'!$B$15,Paramètres!$A$1:$I$89,5,0)</f>
        <v>108.75696000000002</v>
      </c>
      <c r="EL41" s="13">
        <f t="shared" si="45"/>
        <v>29.037921223305609</v>
      </c>
      <c r="EM41" s="20">
        <f t="shared" si="19"/>
        <v>239.99275146392395</v>
      </c>
      <c r="EN41" s="59">
        <f t="shared" si="20"/>
        <v>533.32608479725729</v>
      </c>
      <c r="EO41" s="59">
        <f ca="1">AVERAGE(OFFSET($EN$3,0,0,'Données projet'!$E$15+1,1))-AVERAGE(OFFSET($H$3,0,0,'Données projet'!$E$15+1,1))</f>
        <v>269.64423257646359</v>
      </c>
      <c r="EP41" s="59">
        <f t="shared" si="46"/>
        <v>161.0819079811821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8.5110840933935616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8.5110840933935616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218.20000000000005</v>
      </c>
      <c r="FF41" s="17">
        <f>FE41*VLOOKUP('Données projet'!$B$16,Paramètres!$A$1:$I$89,3,0)*VLOOKUP('Données projet'!$B$16,Paramètres!$A$1:$I$89,5,0)</f>
        <v>170.19600000000005</v>
      </c>
      <c r="FG41" s="13">
        <f t="shared" si="47"/>
        <v>43.13391812093576</v>
      </c>
      <c r="FH41" s="20">
        <f t="shared" si="22"/>
        <v>371.54960739396319</v>
      </c>
      <c r="FI41" s="59">
        <f t="shared" si="23"/>
        <v>664.8829407272965</v>
      </c>
      <c r="FJ41" s="59">
        <f ca="1">AVERAGE(OFFSET($FI$3,0,0,'Données projet'!$E$16+1,1))-AVERAGE(OFFSET($H$3,0,0,'Données projet'!$E$16+1,1))</f>
        <v>283.77864672734273</v>
      </c>
      <c r="FK41" s="59">
        <f t="shared" si="48"/>
        <v>270.94620935643866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10.13224296832567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10.13224296832567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11.4</v>
      </c>
      <c r="FZ41" s="12">
        <f>IF('Données projet'!$A$244&gt;35,FZ40+FY41-GH40,IF(A41&lt;'Données projet'!$A$244,$FW$205^A41,IF(A41='Données projet'!$A$244,'Données projet'!$B$244,FZ40+FY41-GH40)))</f>
        <v>205.2</v>
      </c>
      <c r="GA41" s="17">
        <f>FZ41*VLOOKUP('Données projet'!$B$17,Paramètres!$A$1:$I$89,3,0)*VLOOKUP('Données projet'!$B$17,Paramètres!$A$1:$I$89,5,0)</f>
        <v>198.46943999999999</v>
      </c>
      <c r="GB41" s="13">
        <f t="shared" si="49"/>
        <v>49.407646717262175</v>
      </c>
      <c r="GC41" s="20">
        <f t="shared" si="25"/>
        <v>431.71925936589827</v>
      </c>
      <c r="GD41" s="59">
        <f t="shared" si="26"/>
        <v>725.05259269923158</v>
      </c>
      <c r="GE41" s="59">
        <f ca="1">AVERAGE(OFFSET($GD$3,0,0,'Données projet'!$E$17+1,1))-AVERAGE(OFFSET($H$3,0,0,'Données projet'!$E$17+1,1))</f>
        <v>347.54503437087288</v>
      </c>
      <c r="GF41" s="59">
        <f t="shared" si="50"/>
        <v>340.05673244455954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15.163425683632212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15.163425683632212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25.4</v>
      </c>
      <c r="N42" s="13">
        <f>IF('Données projet'!$A$36&gt;35,N41+M42-V41,IF(A42&lt;'Données projet'!$A$36,$K$205^A42,IF(A42='Données projet'!$A$36,'Données projet'!$B$36,N41+M42-V41)))</f>
        <v>414.59999999999997</v>
      </c>
      <c r="O42" s="13">
        <f>N42*VLOOKUP('Données projet'!$B$9,Paramètres!$A$1:$I$89,3,0)*VLOOKUP('Données projet'!$B$9,Paramètres!$A$1:$I$89,5,0)</f>
        <v>194.03279999999998</v>
      </c>
      <c r="P42" s="13">
        <f t="shared" si="33"/>
        <v>48.430454879485566</v>
      </c>
      <c r="Q42" s="20">
        <f t="shared" si="53"/>
        <v>422.29016891510395</v>
      </c>
      <c r="R42" s="59">
        <f t="shared" si="0"/>
        <v>715.62350224843726</v>
      </c>
      <c r="S42" s="59">
        <f ca="1">AVERAGE(OFFSET($R$3,0,0,'Données projet'!$E$9+1,1))-AVERAGE(OFFSET($H$3,0,0,'Données projet'!$E$9+1,1))</f>
        <v>342.49944586217674</v>
      </c>
      <c r="T42" s="59">
        <f t="shared" si="34"/>
        <v>282.29766600872563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19.873484497951353</v>
      </c>
      <c r="AA42" s="21">
        <f>EXP(-LN(2)/25)*AA41+(1-EXP(-LN(2)/25))/(LN(2)/25)*Calculateur!V42*Calculateur!X42*VLOOKUP('Données projet'!$B$9,Paramètres!$A$1:$I$89,3,0)*0.475*44/12</f>
        <v>31.229335550823112</v>
      </c>
      <c r="AB42" s="21">
        <f>EXP(-LN(2)/2)*AB41+(1-EXP(-LN(2)/2))/(LN(2)/2)*V42*Y42*VLOOKUP('Données projet'!$B$9,Paramètres!$A$1:$I$89,3,0)*0.475*44/12</f>
        <v>3.6590339394042418E-3</v>
      </c>
      <c r="AC42" s="22">
        <f t="shared" si="3"/>
        <v>51.106479082713868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27</v>
      </c>
      <c r="AI42" s="13">
        <f>IF('Données projet'!$A$62&gt;35,AI41+AH42-AQ41,IF(A42&lt;'Données projet'!$A$62,$AF$205^A42,IF(A42='Données projet'!$A$62,'Données projet'!$B$62,AI41+AH42-AQ41)))</f>
        <v>611.99999999999989</v>
      </c>
      <c r="AJ42" s="13">
        <f>AI42*VLOOKUP('Données projet'!$B$10,Paramètres!$A$1:$I$89,3,0)*VLOOKUP('Données projet'!$B$10,Paramètres!$A$1:$I$89,5,0)</f>
        <v>342.10799999999995</v>
      </c>
      <c r="AK42" s="13">
        <f t="shared" si="35"/>
        <v>79.935315774430151</v>
      </c>
      <c r="AL42" s="20">
        <f t="shared" si="4"/>
        <v>735.0587749737989</v>
      </c>
      <c r="AM42" s="59">
        <f t="shared" si="5"/>
        <v>1028.3921083071323</v>
      </c>
      <c r="AN42" s="59">
        <f ca="1">AVERAGE(OFFSET($AM$3,0,0,'Données projet'!$E$10+1,1))-AVERAGE(OFFSET($H$3,0,0,'Données projet'!$E$10+1,1))</f>
        <v>490.96084572840579</v>
      </c>
      <c r="AO42" s="59">
        <f t="shared" si="36"/>
        <v>597.91658789908263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27.128883600378035</v>
      </c>
      <c r="AV42" s="21">
        <f>EXP(-LN(2)/25)*AV41+(1-EXP(-LN(2)/25))/(LN(2)/25)*Calculateur!AQ42*Calculateur!AS42*VLOOKUP('Données projet'!$B$10,Paramètres!$A$1:$I$89,3,0)*0.475*44/12</f>
        <v>45.021418135034047</v>
      </c>
      <c r="AW42" s="21">
        <f>EXP(-LN(2)/2)*AW41+(1-EXP(-LN(2)/2))/(LN(2)/2)*AQ42*AT42*VLOOKUP('Données projet'!$B$10,Paramètres!$A$1:$I$89,3,0)*0.475*44/12</f>
        <v>3.758640974421356E-2</v>
      </c>
      <c r="AX42" s="21">
        <f t="shared" si="6"/>
        <v>72.187888145156293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7.6</v>
      </c>
      <c r="BD42" s="12">
        <f>IF('Données projet'!$A$88&gt;35,BD41+BC42-BL41,IF(A42&lt;'Données projet'!$A$88,$BA$205^A42,IF(A42='Données projet'!$A$88,'Données projet'!$B$88,BD41+BC42-BL41)))</f>
        <v>145.39999999999995</v>
      </c>
      <c r="BE42" s="13">
        <f>BD42*VLOOKUP('Données projet'!$B$11,Paramètres!$A$1:$I$89,3,0)*VLOOKUP('Données projet'!$B$11,Paramètres!$A$1:$I$89,5,0)</f>
        <v>115.68023999999997</v>
      </c>
      <c r="BF42" s="13">
        <f t="shared" si="37"/>
        <v>30.665346560819799</v>
      </c>
      <c r="BG42" s="20">
        <f t="shared" si="7"/>
        <v>254.88522992676107</v>
      </c>
      <c r="BH42" s="59">
        <f t="shared" si="8"/>
        <v>548.21856326009436</v>
      </c>
      <c r="BI42" s="59">
        <f ca="1">AVERAGE(OFFSET($BH$3,0,0,'Données projet'!$E$11+1,1))-AVERAGE(OFFSET($H$3,0,0,'Données projet'!$E$11+1,1))</f>
        <v>167.80254365106839</v>
      </c>
      <c r="BJ42" s="59">
        <f t="shared" si="38"/>
        <v>167.42302164950172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9.0434391579061462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9.0434391579061462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22.4</v>
      </c>
      <c r="BY42" s="12">
        <f>IF('Données projet'!$A$114&gt;35,BY41+BX42-CG41,IF(A42&lt;'Données projet'!$A$114,$BV$205^A42,IF(A42='Données projet'!$A$114,'Données projet'!$B$114,BY41+BX42-CG41)))</f>
        <v>369.59999999999997</v>
      </c>
      <c r="BZ42" s="13">
        <f>BY42*VLOOKUP('Données projet'!$B$12,Paramètres!$A$1:$I$89,3,0)*VLOOKUP('Données projet'!$B$12,Paramètres!$A$1:$I$89,5,0)</f>
        <v>182.58239999999998</v>
      </c>
      <c r="CA42" s="13">
        <f t="shared" si="39"/>
        <v>45.896245406460245</v>
      </c>
      <c r="CB42" s="20">
        <f t="shared" si="10"/>
        <v>397.93364074958487</v>
      </c>
      <c r="CC42" s="59">
        <f t="shared" si="11"/>
        <v>691.26697408291818</v>
      </c>
      <c r="CD42" s="59">
        <f ca="1">AVERAGE(OFFSET($CC$3,0,0,'Données projet'!$E$12+1,1))-AVERAGE(OFFSET($H$3,0,0,'Données projet'!$E$12+1,1))</f>
        <v>322.06606384496587</v>
      </c>
      <c r="CE42" s="59">
        <f t="shared" si="40"/>
        <v>267.71713177624713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18.646726195608675</v>
      </c>
      <c r="CL42" s="21">
        <f>EXP(-LN(2)/25)*CL41+(1-EXP(-LN(2)/25))/(LN(2)/25)*Calculateur!CG42*Calculateur!CI42*VLOOKUP('Données projet'!$B$12,Paramètres!$A$1:$I$89,3,0)*0.475*44/12</f>
        <v>15.664692183885078</v>
      </c>
      <c r="CM42" s="21">
        <f>EXP(-LN(2)/2)*CM41+(1-EXP(-LN(2)/2))/(LN(2)/2)*CG42*CJ42*VLOOKUP('Données projet'!$B$12,Paramètres!$A$1:$I$89,3,0)*0.475*44/12</f>
        <v>0.1747883609306484</v>
      </c>
      <c r="CN42" s="22">
        <f t="shared" si="12"/>
        <v>34.4862067404244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13.9</v>
      </c>
      <c r="CT42" s="12">
        <f>IF('Données projet'!$A$140&gt;35,CT41+CS42-DB41,IF(A42&lt;'Données projet'!$A$140,$CQ$205^A42,IF(A42='Données projet'!$A$140,'Données projet'!$B$140,CT41+CS42-DB41)))</f>
        <v>288.30000000000013</v>
      </c>
      <c r="CU42" s="17">
        <f>CT42*VLOOKUP('Données projet'!$B$13,Paramètres!$A$1:$I$89,3,0)*VLOOKUP('Données projet'!$B$13,Paramètres!$A$1:$I$89,5,0)</f>
        <v>179.89920000000006</v>
      </c>
      <c r="CV42" s="13">
        <f t="shared" si="41"/>
        <v>45.299759292628629</v>
      </c>
      <c r="CW42" s="20">
        <f t="shared" si="13"/>
        <v>392.22152076799495</v>
      </c>
      <c r="CX42" s="59">
        <f t="shared" si="14"/>
        <v>685.55485410132826</v>
      </c>
      <c r="CY42" s="59">
        <f ca="1">AVERAGE(OFFSET($CX$3,0,0,'Données projet'!$E$13+1,1))-AVERAGE(OFFSET($H$3,0,0,'Données projet'!$E$13+1,1))</f>
        <v>269.77739619445515</v>
      </c>
      <c r="CZ42" s="59">
        <f t="shared" si="42"/>
        <v>347.56964743629885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27.332192611525759</v>
      </c>
      <c r="DG42" s="21">
        <f>EXP(-LN(2)/25)*DG41+(1-EXP(-LN(2)/25))/(LN(2)/25)*Calculateur!DB42*Calculateur!DD42*VLOOKUP('Données projet'!$B$13,Paramètres!$A$1:$I$89,3,0)*0.475*44/12</f>
        <v>71.482266436687567</v>
      </c>
      <c r="DH42" s="21">
        <f>EXP(-LN(2)/2)*DH41+(1-EXP(-LN(2)/2))/(LN(2)/2)*DB42*DE42*VLOOKUP('Données projet'!$B$13,Paramètres!$A$1:$I$89,3,0)*0.475*44/12</f>
        <v>1.0977101818212716E-3</v>
      </c>
      <c r="DI42" s="22">
        <f t="shared" si="15"/>
        <v>98.815556758395147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22.4</v>
      </c>
      <c r="DO42" s="12">
        <f>IF('Données projet'!$A$166&gt;35,DO41+DN42-DW41,IF(A42&lt;'Données projet'!$A$166,$DL$205^A42,IF(A42='Données projet'!$A$166,'Données projet'!$B$166,DO41+DN42-DW41)))</f>
        <v>369.59999999999997</v>
      </c>
      <c r="DP42" s="17">
        <f>DO42*VLOOKUP('Données projet'!$B$14,Paramètres!$A$1:$I$89,3,0)*VLOOKUP('Données projet'!$B$14,Paramètres!$A$1:$I$89,5,0)</f>
        <v>177.77759999999998</v>
      </c>
      <c r="DQ42" s="13">
        <f t="shared" si="43"/>
        <v>44.827386173754917</v>
      </c>
      <c r="DR42" s="20">
        <f t="shared" si="16"/>
        <v>387.70368425262313</v>
      </c>
      <c r="DS42" s="59">
        <f t="shared" si="17"/>
        <v>681.03701758595639</v>
      </c>
      <c r="DT42" s="59">
        <f ca="1">AVERAGE(OFFSET($DS$3,0,0,'Données projet'!$E$14+1,1))-AVERAGE(OFFSET($H$3,0,0,'Données projet'!$E$14+1,1))</f>
        <v>312.64506496298173</v>
      </c>
      <c r="DU42" s="59">
        <f t="shared" si="44"/>
        <v>259.97532509897508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18.156022874671596</v>
      </c>
      <c r="EB42" s="21">
        <f>EXP(-LN(2)/25)*EB41+(1-EXP(-LN(2)/25))/(LN(2)/25)*Calculateur!DW42*Calculateur!DY42*VLOOKUP('Données projet'!$B$14,Paramètres!$A$1:$I$89,3,0)*0.475*44/12</f>
        <v>15.252463442203892</v>
      </c>
      <c r="EC42" s="21">
        <f>EXP(-LN(2)/2)*EC41+(1-EXP(-LN(2)/2))/(LN(2)/2)*DW42*DZ42*VLOOKUP('Données projet'!$B$14,Paramètres!$A$1:$I$89,3,0)*0.475*44/12</f>
        <v>0.17018866722194689</v>
      </c>
      <c r="ED42" s="22">
        <f t="shared" si="18"/>
        <v>33.578674984097439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8.4</v>
      </c>
      <c r="EJ42" s="12">
        <f>IF('Données projet'!$A$192&gt;35,EJ41+EI42-ER41,IF(A42&lt;'Données projet'!$A$192,$EG$205^A42,IF(A42='Données projet'!$A$192,'Données projet'!$B$192,EJ41+EI42-ER41)))</f>
        <v>128.60000000000002</v>
      </c>
      <c r="EK42" s="17">
        <f>EJ42*VLOOKUP('Données projet'!$B$15,Paramètres!$A$1:$I$89,3,0)*VLOOKUP('Données projet'!$B$15,Paramètres!$A$1:$I$89,5,0)</f>
        <v>116.35728000000002</v>
      </c>
      <c r="EL42" s="13">
        <f t="shared" si="45"/>
        <v>30.823876427820704</v>
      </c>
      <c r="EM42" s="20">
        <f t="shared" si="19"/>
        <v>256.34051411178774</v>
      </c>
      <c r="EN42" s="59">
        <f t="shared" si="20"/>
        <v>549.67384744512105</v>
      </c>
      <c r="EO42" s="59">
        <f ca="1">AVERAGE(OFFSET($EN$3,0,0,'Données projet'!$E$15+1,1))-AVERAGE(OFFSET($H$3,0,0,'Données projet'!$E$15+1,1))</f>
        <v>269.64423257646359</v>
      </c>
      <c r="EP42" s="59">
        <f t="shared" si="46"/>
        <v>161.0819079811821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8.344186925570817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8.344186925570817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229.60000000000005</v>
      </c>
      <c r="FF42" s="17">
        <f>FE42*VLOOKUP('Données projet'!$B$16,Paramètres!$A$1:$I$89,3,0)*VLOOKUP('Données projet'!$B$16,Paramètres!$A$1:$I$89,5,0)</f>
        <v>179.08800000000005</v>
      </c>
      <c r="FG42" s="13">
        <f t="shared" si="47"/>
        <v>45.119223023956835</v>
      </c>
      <c r="FH42" s="20">
        <f t="shared" si="22"/>
        <v>390.49424676672493</v>
      </c>
      <c r="FI42" s="59">
        <f t="shared" si="23"/>
        <v>683.82758010005819</v>
      </c>
      <c r="FJ42" s="59">
        <f ca="1">AVERAGE(OFFSET($FI$3,0,0,'Données projet'!$E$16+1,1))-AVERAGE(OFFSET($H$3,0,0,'Données projet'!$E$16+1,1))</f>
        <v>283.77864672734273</v>
      </c>
      <c r="FK42" s="59">
        <f t="shared" si="48"/>
        <v>270.94620935643866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9.9335558637747852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9.9335558637747852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11.4</v>
      </c>
      <c r="FZ42" s="12">
        <f>IF('Données projet'!$A$244&gt;35,FZ41+FY42-GH41,IF(A42&lt;'Données projet'!$A$244,$FW$205^A42,IF(A42='Données projet'!$A$244,'Données projet'!$B$244,FZ41+FY42-GH41)))</f>
        <v>216.6</v>
      </c>
      <c r="GA42" s="17">
        <f>FZ42*VLOOKUP('Données projet'!$B$17,Paramètres!$A$1:$I$89,3,0)*VLOOKUP('Données projet'!$B$17,Paramètres!$A$1:$I$89,5,0)</f>
        <v>209.49552</v>
      </c>
      <c r="GB42" s="13">
        <f t="shared" si="49"/>
        <v>51.825328698764451</v>
      </c>
      <c r="GC42" s="20">
        <f t="shared" si="25"/>
        <v>455.13381148368143</v>
      </c>
      <c r="GD42" s="59">
        <f t="shared" si="26"/>
        <v>748.46714481701474</v>
      </c>
      <c r="GE42" s="59">
        <f ca="1">AVERAGE(OFFSET($GD$3,0,0,'Données projet'!$E$17+1,1))-AVERAGE(OFFSET($H$3,0,0,'Données projet'!$E$17+1,1))</f>
        <v>347.54503437087288</v>
      </c>
      <c r="GF42" s="59">
        <f t="shared" si="50"/>
        <v>340.05673244455954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14.866080154752611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14.866080154752611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440</v>
      </c>
      <c r="L43" s="12">
        <f>VLOOKUP(A43,'Données projet'!$A$35:$I$55,9,0)</f>
        <v>25.4</v>
      </c>
      <c r="M43" s="12">
        <f t="array" ref="M43">INDEX(L:L,MIN(IF(ISNUMBER(L43:L239),ROW(L43:L239),"")))</f>
        <v>25.4</v>
      </c>
      <c r="N43" s="13">
        <f>IF('Données projet'!$A$36&gt;35,N42+M43-V42,IF(A43&lt;'Données projet'!$A$36,$K$205^A43,IF(A43='Données projet'!$A$36,'Données projet'!$B$36,N42+M43-V42)))</f>
        <v>439.99999999999994</v>
      </c>
      <c r="O43" s="13">
        <f>N43*VLOOKUP('Données projet'!$B$9,Paramètres!$A$1:$I$89,3,0)*VLOOKUP('Données projet'!$B$9,Paramètres!$A$1:$I$89,5,0)</f>
        <v>205.92</v>
      </c>
      <c r="P43" s="13">
        <f t="shared" si="33"/>
        <v>51.042987531485686</v>
      </c>
      <c r="Q43" s="20">
        <f t="shared" si="53"/>
        <v>447.54386995067085</v>
      </c>
      <c r="R43" s="59">
        <f t="shared" si="0"/>
        <v>740.87720328400417</v>
      </c>
      <c r="S43" s="59">
        <f ca="1">AVERAGE(OFFSET($R$3,0,0,'Données projet'!$E$9+1,1))-AVERAGE(OFFSET($H$3,0,0,'Données projet'!$E$9+1,1))</f>
        <v>342.49944586217674</v>
      </c>
      <c r="T43" s="59">
        <f t="shared" si="34"/>
        <v>282.29766600872563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63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40.995612110873836</v>
      </c>
      <c r="AA43" s="21">
        <f>EXP(-LN(2)/25)*AA42+(1-EXP(-LN(2)/25))/(LN(2)/25)*Calculateur!V43*Calculateur!X43*VLOOKUP('Données projet'!$B$9,Paramètres!$A$1:$I$89,3,0)*0.475*44/12</f>
        <v>30.375367727906472</v>
      </c>
      <c r="AB43" s="21">
        <f>EXP(-LN(2)/2)*AB42+(1-EXP(-LN(2)/2))/(LN(2)/2)*V43*Y43*VLOOKUP('Données projet'!$B$9,Paramètres!$A$1:$I$89,3,0)*0.475*44/12</f>
        <v>2.5873277111444662E-3</v>
      </c>
      <c r="AC43" s="22">
        <f t="shared" si="3"/>
        <v>71.373567166491441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639</v>
      </c>
      <c r="AG43" s="12">
        <f>VLOOKUP(A43,'Données projet'!$A$61:$I$81,9,0)</f>
        <v>27</v>
      </c>
      <c r="AH43" s="12">
        <f t="array" ref="AH43">INDEX(AG:AG,MIN(IF(ISNUMBER(AG43:AG239),ROW(AG43:AG239),"")))</f>
        <v>27</v>
      </c>
      <c r="AI43" s="13">
        <f>IF('Données projet'!$A$62&gt;35,AI42+AH43-AQ42,IF(A43&lt;'Données projet'!$A$62,$AF$205^A43,IF(A43='Données projet'!$A$62,'Données projet'!$B$62,AI42+AH43-AQ42)))</f>
        <v>638.99999999999989</v>
      </c>
      <c r="AJ43" s="13">
        <f>AI43*VLOOKUP('Données projet'!$B$10,Paramètres!$A$1:$I$89,3,0)*VLOOKUP('Données projet'!$B$10,Paramètres!$A$1:$I$89,5,0)</f>
        <v>357.20099999999991</v>
      </c>
      <c r="AK43" s="13">
        <f t="shared" si="35"/>
        <v>83.043509879488369</v>
      </c>
      <c r="AL43" s="20">
        <f t="shared" si="4"/>
        <v>766.75918804010871</v>
      </c>
      <c r="AM43" s="59">
        <f t="shared" si="5"/>
        <v>1060.092521373442</v>
      </c>
      <c r="AN43" s="59">
        <f ca="1">AVERAGE(OFFSET($AM$3,0,0,'Données projet'!$E$10+1,1))-AVERAGE(OFFSET($H$3,0,0,'Données projet'!$E$10+1,1))</f>
        <v>490.96084572840579</v>
      </c>
      <c r="AO43" s="59">
        <f t="shared" si="36"/>
        <v>597.91658789908263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77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58.001525360476009</v>
      </c>
      <c r="AV43" s="21">
        <f>EXP(-LN(2)/25)*AV42+(1-EXP(-LN(2)/25))/(LN(2)/25)*Calculateur!AQ43*Calculateur!AS43*VLOOKUP('Données projet'!$B$10,Paramètres!$A$1:$I$89,3,0)*0.475*44/12</f>
        <v>43.790305088558057</v>
      </c>
      <c r="AW43" s="21">
        <f>EXP(-LN(2)/2)*AW42+(1-EXP(-LN(2)/2))/(LN(2)/2)*AQ43*AT43*VLOOKUP('Données projet'!$B$10,Paramètres!$A$1:$I$89,3,0)*0.475*44/12</f>
        <v>2.6577605210589536E-2</v>
      </c>
      <c r="AX43" s="21">
        <f t="shared" si="6"/>
        <v>101.81840805424466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153</v>
      </c>
      <c r="BB43" s="12">
        <f>VLOOKUP(A43,'Données projet'!$A$87:$I$107,9,0)</f>
        <v>7.6</v>
      </c>
      <c r="BC43" s="12">
        <f t="array" ref="BC43">INDEX(BB:BB,MIN(IF(ISNUMBER(BB43:BB239),ROW(BB43:BB239),"")))</f>
        <v>7.6</v>
      </c>
      <c r="BD43" s="12">
        <f>IF('Données projet'!$A$88&gt;35,BD42+BC43-BL42,IF(A43&lt;'Données projet'!$A$88,$BA$205^A43,IF(A43='Données projet'!$A$88,'Données projet'!$B$88,BD42+BC43-BL42)))</f>
        <v>152.99999999999994</v>
      </c>
      <c r="BE43" s="13">
        <f>BD43*VLOOKUP('Données projet'!$B$11,Paramètres!$A$1:$I$89,3,0)*VLOOKUP('Données projet'!$B$11,Paramètres!$A$1:$I$89,5,0)</f>
        <v>121.72679999999995</v>
      </c>
      <c r="BF43" s="13">
        <f t="shared" si="37"/>
        <v>32.07741152903197</v>
      </c>
      <c r="BG43" s="20">
        <f t="shared" si="7"/>
        <v>267.87566841306398</v>
      </c>
      <c r="BH43" s="59">
        <f t="shared" si="8"/>
        <v>561.20900174639723</v>
      </c>
      <c r="BI43" s="59">
        <f ca="1">AVERAGE(OFFSET($BH$3,0,0,'Données projet'!$E$11+1,1))-AVERAGE(OFFSET($H$3,0,0,'Données projet'!$E$11+1,1))</f>
        <v>167.80254365106839</v>
      </c>
      <c r="BJ43" s="59">
        <f t="shared" si="38"/>
        <v>167.42302164950172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18.655073995907742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18.655073995907742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392</v>
      </c>
      <c r="BW43" s="12">
        <f>VLOOKUP(A43,'Données projet'!$A$113:$I$133,9,0)</f>
        <v>22.4</v>
      </c>
      <c r="BX43" s="12">
        <f t="array" ref="BX43">INDEX(BW:BW,MIN(IF(ISNUMBER(BW43:BW239),ROW(BW43:BW239),"")))</f>
        <v>22.4</v>
      </c>
      <c r="BY43" s="12">
        <f>IF('Données projet'!$A$114&gt;35,BY42+BX43-CG42,IF(A43&lt;'Données projet'!$A$114,$BV$205^A43,IF(A43='Données projet'!$A$114,'Données projet'!$B$114,BY42+BX43-CG42)))</f>
        <v>391.99999999999994</v>
      </c>
      <c r="BZ43" s="13">
        <f>BY43*VLOOKUP('Données projet'!$B$12,Paramètres!$A$1:$I$89,3,0)*VLOOKUP('Données projet'!$B$12,Paramètres!$A$1:$I$89,5,0)</f>
        <v>193.64799999999997</v>
      </c>
      <c r="CA43" s="13">
        <f t="shared" si="39"/>
        <v>48.345578991984603</v>
      </c>
      <c r="CB43" s="20">
        <f t="shared" si="10"/>
        <v>421.47215007770643</v>
      </c>
      <c r="CC43" s="59">
        <f t="shared" si="11"/>
        <v>714.80548341103975</v>
      </c>
      <c r="CD43" s="59">
        <f ca="1">AVERAGE(OFFSET($CC$3,0,0,'Données projet'!$E$12+1,1))-AVERAGE(OFFSET($H$3,0,0,'Données projet'!$E$12+1,1))</f>
        <v>322.06606384496587</v>
      </c>
      <c r="CE43" s="59">
        <f t="shared" si="40"/>
        <v>267.71713177624713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0.55000000000000004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38.465018770696432</v>
      </c>
      <c r="CL43" s="21">
        <f>EXP(-LN(2)/25)*CL42+(1-EXP(-LN(2)/25))/(LN(2)/25)*Calculateur!CG43*Calculateur!CI43*VLOOKUP('Données projet'!$B$12,Paramètres!$A$1:$I$89,3,0)*0.475*44/12</f>
        <v>15.236340352346382</v>
      </c>
      <c r="CM43" s="21">
        <f>EXP(-LN(2)/2)*CM42+(1-EXP(-LN(2)/2))/(LN(2)/2)*CG43*CJ43*VLOOKUP('Données projet'!$B$12,Paramètres!$A$1:$I$89,3,0)*0.475*44/12</f>
        <v>0.12359403528654329</v>
      </c>
      <c r="CN43" s="22">
        <f t="shared" si="12"/>
        <v>53.824953158329357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13.9</v>
      </c>
      <c r="CT43" s="12">
        <f>IF('Données projet'!$A$140&gt;35,CT42+CS43-DB42,IF(A43&lt;'Données projet'!$A$140,$CQ$205^A43,IF(A43='Données projet'!$A$140,'Données projet'!$B$140,CT42+CS43-DB42)))</f>
        <v>302.2000000000001</v>
      </c>
      <c r="CU43" s="17">
        <f>CT43*VLOOKUP('Données projet'!$B$13,Paramètres!$A$1:$I$89,3,0)*VLOOKUP('Données projet'!$B$13,Paramètres!$A$1:$I$89,5,0)</f>
        <v>188.57280000000006</v>
      </c>
      <c r="CV43" s="13">
        <f t="shared" si="41"/>
        <v>47.224280864708376</v>
      </c>
      <c r="CW43" s="20">
        <f t="shared" si="13"/>
        <v>410.6799158393672</v>
      </c>
      <c r="CX43" s="59">
        <f t="shared" si="14"/>
        <v>704.01324917270051</v>
      </c>
      <c r="CY43" s="59">
        <f ca="1">AVERAGE(OFFSET($CX$3,0,0,'Données projet'!$E$13+1,1))-AVERAGE(OFFSET($H$3,0,0,'Données projet'!$E$13+1,1))</f>
        <v>269.77739619445515</v>
      </c>
      <c r="CZ43" s="59">
        <f t="shared" si="42"/>
        <v>347.56964743629885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26.796224985405107</v>
      </c>
      <c r="DG43" s="21">
        <f>EXP(-LN(2)/25)*DG42+(1-EXP(-LN(2)/25))/(LN(2)/25)*Calculateur!DB43*Calculateur!DD43*VLOOKUP('Données projet'!$B$13,Paramètres!$A$1:$I$89,3,0)*0.475*44/12</f>
        <v>69.527580101887324</v>
      </c>
      <c r="DH43" s="21">
        <f>EXP(-LN(2)/2)*DH42+(1-EXP(-LN(2)/2))/(LN(2)/2)*DB43*DE43*VLOOKUP('Données projet'!$B$13,Paramètres!$A$1:$I$89,3,0)*0.475*44/12</f>
        <v>7.761983133433392E-4</v>
      </c>
      <c r="DI43" s="22">
        <f t="shared" si="15"/>
        <v>96.324581285605774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392</v>
      </c>
      <c r="DM43" s="12">
        <f>VLOOKUP(A43,'Données projet'!$A$165:$I$185,9,0)</f>
        <v>22.4</v>
      </c>
      <c r="DN43" s="12">
        <f t="array" ref="DN43">INDEX(DM:DM,MIN(IF(ISNUMBER(DM43:DM239),ROW(DM43:DM239),"")))</f>
        <v>22.4</v>
      </c>
      <c r="DO43" s="12">
        <f>IF('Données projet'!$A$166&gt;35,DO42+DN43-DW42,IF(A43&lt;'Données projet'!$A$166,$DL$205^A43,IF(A43='Données projet'!$A$166,'Données projet'!$B$166,DO42+DN43-DW42)))</f>
        <v>391.99999999999994</v>
      </c>
      <c r="DP43" s="17">
        <f>DO43*VLOOKUP('Données projet'!$B$14,Paramètres!$A$1:$I$89,3,0)*VLOOKUP('Données projet'!$B$14,Paramètres!$A$1:$I$89,5,0)</f>
        <v>188.55199999999996</v>
      </c>
      <c r="DQ43" s="13">
        <f t="shared" si="43"/>
        <v>47.219678212771932</v>
      </c>
      <c r="DR43" s="20">
        <f t="shared" si="16"/>
        <v>410.63567288724431</v>
      </c>
      <c r="DS43" s="59">
        <f t="shared" si="17"/>
        <v>703.96900622057763</v>
      </c>
      <c r="DT43" s="59">
        <f ca="1">AVERAGE(OFFSET($DS$3,0,0,'Données projet'!$E$14+1,1))-AVERAGE(OFFSET($H$3,0,0,'Données projet'!$E$14+1,1))</f>
        <v>312.64506496298173</v>
      </c>
      <c r="DU43" s="59">
        <f t="shared" si="44"/>
        <v>259.97532509897508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0.55000000000000004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37.452781434625464</v>
      </c>
      <c r="EB43" s="21">
        <f>EXP(-LN(2)/25)*EB42+(1-EXP(-LN(2)/25))/(LN(2)/25)*Calculateur!DW43*Calculateur!DY43*VLOOKUP('Données projet'!$B$14,Paramètres!$A$1:$I$89,3,0)*0.475*44/12</f>
        <v>14.835384027284634</v>
      </c>
      <c r="EC43" s="21">
        <f>EXP(-LN(2)/2)*EC42+(1-EXP(-LN(2)/2))/(LN(2)/2)*DW43*DZ43*VLOOKUP('Données projet'!$B$14,Paramètres!$A$1:$I$89,3,0)*0.475*44/12</f>
        <v>0.12034156067373936</v>
      </c>
      <c r="ED43" s="22">
        <f t="shared" si="18"/>
        <v>52.408507022583834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137</v>
      </c>
      <c r="EH43" s="12">
        <f>VLOOKUP(A43,'Données projet'!$A$191:$I$211,9,0)</f>
        <v>8.4</v>
      </c>
      <c r="EI43" s="12">
        <f t="array" ref="EI43">INDEX(EH:EH,MIN(IF(ISNUMBER(EH43:EH239),ROW(EH43:EH239),"")))</f>
        <v>8.4</v>
      </c>
      <c r="EJ43" s="12">
        <f>IF('Données projet'!$A$192&gt;35,EJ42+EI43-ER42,IF(A43&lt;'Données projet'!$A$192,$EG$205^A43,IF(A43='Données projet'!$A$192,'Données projet'!$B$192,EJ42+EI43-ER42)))</f>
        <v>137.00000000000003</v>
      </c>
      <c r="EK43" s="17">
        <f>EJ43*VLOOKUP('Données projet'!$B$15,Paramètres!$A$1:$I$89,3,0)*VLOOKUP('Données projet'!$B$15,Paramètres!$A$1:$I$89,5,0)</f>
        <v>123.95760000000001</v>
      </c>
      <c r="EL43" s="13">
        <f t="shared" si="45"/>
        <v>32.59629414926458</v>
      </c>
      <c r="EM43" s="20">
        <f t="shared" si="19"/>
        <v>272.6646989766358</v>
      </c>
      <c r="EN43" s="59">
        <f t="shared" si="20"/>
        <v>565.99803230996918</v>
      </c>
      <c r="EO43" s="59">
        <f ca="1">AVERAGE(OFFSET($EN$3,0,0,'Données projet'!$E$15+1,1))-AVERAGE(OFFSET($H$3,0,0,'Données projet'!$E$15+1,1))</f>
        <v>269.64423257646359</v>
      </c>
      <c r="EP43" s="59">
        <f t="shared" si="46"/>
        <v>161.0819079811821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21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17.212635792006616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17.212635792006616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241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241.00000000000006</v>
      </c>
      <c r="FF43" s="17">
        <f>FE43*VLOOKUP('Données projet'!$B$16,Paramètres!$A$1:$I$89,3,0)*VLOOKUP('Données projet'!$B$16,Paramètres!$A$1:$I$89,5,0)</f>
        <v>187.98000000000005</v>
      </c>
      <c r="FG43" s="13">
        <f t="shared" si="47"/>
        <v>47.093082099012364</v>
      </c>
      <c r="FH43" s="20">
        <f t="shared" si="22"/>
        <v>409.41895132244662</v>
      </c>
      <c r="FI43" s="59">
        <f t="shared" si="23"/>
        <v>702.75228465577993</v>
      </c>
      <c r="FJ43" s="59">
        <f ca="1">AVERAGE(OFFSET($FI$3,0,0,'Données projet'!$E$16+1,1))-AVERAGE(OFFSET($H$3,0,0,'Données projet'!$E$16+1,1))</f>
        <v>283.77864672734273</v>
      </c>
      <c r="FK43" s="59">
        <f t="shared" si="48"/>
        <v>270.94620935643866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32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21.603557381608223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21.603557381608223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228</v>
      </c>
      <c r="FX43" s="12">
        <f>VLOOKUP(A43,'Données projet'!$A$243:$I$263,9,0)</f>
        <v>11.4</v>
      </c>
      <c r="FY43" s="12">
        <f t="array" ref="FY43">INDEX(FX:FX,MIN(IF(ISNUMBER(FX43:FX239),ROW(FX43:FX239),"")))</f>
        <v>11.4</v>
      </c>
      <c r="FZ43" s="12">
        <f>IF('Données projet'!$A$244&gt;35,FZ42+FY43-GH42,IF(A43&lt;'Données projet'!$A$244,$FW$205^A43,IF(A43='Données projet'!$A$244,'Données projet'!$B$244,FZ42+FY43-GH42)))</f>
        <v>228</v>
      </c>
      <c r="GA43" s="17">
        <f>FZ43*VLOOKUP('Données projet'!$B$17,Paramètres!$A$1:$I$89,3,0)*VLOOKUP('Données projet'!$B$17,Paramètres!$A$1:$I$89,5,0)</f>
        <v>220.52159999999998</v>
      </c>
      <c r="GB43" s="13">
        <f t="shared" si="49"/>
        <v>54.228237274069109</v>
      </c>
      <c r="GC43" s="20">
        <f t="shared" si="25"/>
        <v>478.52263325233702</v>
      </c>
      <c r="GD43" s="59">
        <f t="shared" si="26"/>
        <v>771.85596658567033</v>
      </c>
      <c r="GE43" s="59">
        <f ca="1">AVERAGE(OFFSET($GD$3,0,0,'Données projet'!$E$17+1,1))-AVERAGE(OFFSET($H$3,0,0,'Données projet'!$E$17+1,1))</f>
        <v>347.54503437087288</v>
      </c>
      <c r="GF43" s="59">
        <f t="shared" si="50"/>
        <v>340.05673244455954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35</v>
      </c>
      <c r="GI43" s="16">
        <f>IF(ISNA(VLOOKUP(A43,'Données projet'!$A$243:$I$263,5,0)),0%,VLOOKUP(A43,'Données projet'!$A$243:$I$263,5,0)*VLOOKUP('Données projet'!$B$17,Paramètres!$A$1:$I$89,7,0))</f>
        <v>0.43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30.666190204149729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30.666190204149729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24.2</v>
      </c>
      <c r="N44" s="13">
        <f>IF('Données projet'!$A$36&gt;35,N43+M44-V43,IF(A44&lt;'Données projet'!$A$36,$K$205^A44,IF(A44='Données projet'!$A$36,'Données projet'!$B$36,N43+M44-V43)))</f>
        <v>401.19999999999993</v>
      </c>
      <c r="O44" s="13">
        <f>N44*VLOOKUP('Données projet'!$B$9,Paramètres!$A$1:$I$89,3,0)*VLOOKUP('Données projet'!$B$9,Paramètres!$A$1:$I$89,5,0)</f>
        <v>187.76159999999996</v>
      </c>
      <c r="P44" s="13">
        <f t="shared" si="33"/>
        <v>47.04473357855187</v>
      </c>
      <c r="Q44" s="20">
        <f t="shared" si="53"/>
        <v>408.95436431597773</v>
      </c>
      <c r="R44" s="59">
        <f t="shared" si="0"/>
        <v>702.28769764931099</v>
      </c>
      <c r="S44" s="59">
        <f ca="1">AVERAGE(OFFSET($R$3,0,0,'Données projet'!$E$9+1,1))-AVERAGE(OFFSET($H$3,0,0,'Données projet'!$E$9+1,1))</f>
        <v>342.49944586217674</v>
      </c>
      <c r="T44" s="59">
        <f t="shared" si="34"/>
        <v>282.29766600872563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40.191713162233967</v>
      </c>
      <c r="AA44" s="21">
        <f>EXP(-LN(2)/25)*AA43+(1-EXP(-LN(2)/25))/(LN(2)/25)*Calculateur!V44*Calculateur!X44*VLOOKUP('Données projet'!$B$9,Paramètres!$A$1:$I$89,3,0)*0.475*44/12</f>
        <v>29.544751700015706</v>
      </c>
      <c r="AB44" s="21">
        <f>EXP(-LN(2)/2)*AB43+(1-EXP(-LN(2)/2))/(LN(2)/2)*V44*Y44*VLOOKUP('Données projet'!$B$9,Paramètres!$A$1:$I$89,3,0)*0.475*44/12</f>
        <v>1.8295169697021209E-3</v>
      </c>
      <c r="AC44" s="22">
        <f t="shared" si="3"/>
        <v>69.738294379219383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24.8</v>
      </c>
      <c r="AI44" s="13">
        <f>IF('Données projet'!$A$62&gt;35,AI43+AH44-AQ43,IF(A44&lt;'Données projet'!$A$62,$AF$205^A44,IF(A44='Données projet'!$A$62,'Données projet'!$B$62,AI43+AH44-AQ43)))</f>
        <v>586.79999999999984</v>
      </c>
      <c r="AJ44" s="13">
        <f>AI44*VLOOKUP('Données projet'!$B$10,Paramètres!$A$1:$I$89,3,0)*VLOOKUP('Données projet'!$B$10,Paramètres!$A$1:$I$89,5,0)</f>
        <v>328.02119999999991</v>
      </c>
      <c r="AK44" s="13">
        <f t="shared" si="35"/>
        <v>77.019907950957702</v>
      </c>
      <c r="AL44" s="20">
        <f t="shared" si="4"/>
        <v>705.44659634791776</v>
      </c>
      <c r="AM44" s="59">
        <f t="shared" si="5"/>
        <v>998.77992968125113</v>
      </c>
      <c r="AN44" s="59">
        <f ca="1">AVERAGE(OFFSET($AM$3,0,0,'Données projet'!$E$10+1,1))-AVERAGE(OFFSET($H$3,0,0,'Données projet'!$E$10+1,1))</f>
        <v>490.96084572840579</v>
      </c>
      <c r="AO44" s="59">
        <f t="shared" si="36"/>
        <v>597.91658789908263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56.864150825594315</v>
      </c>
      <c r="AV44" s="21">
        <f>EXP(-LN(2)/25)*AV43+(1-EXP(-LN(2)/25))/(LN(2)/25)*Calculateur!AQ44*Calculateur!AS44*VLOOKUP('Données projet'!$B$10,Paramètres!$A$1:$I$89,3,0)*0.475*44/12</f>
        <v>42.592856893079379</v>
      </c>
      <c r="AW44" s="21">
        <f>EXP(-LN(2)/2)*AW43+(1-EXP(-LN(2)/2))/(LN(2)/2)*AQ44*AT44*VLOOKUP('Données projet'!$B$10,Paramètres!$A$1:$I$89,3,0)*0.475*44/12</f>
        <v>1.879320487210678E-2</v>
      </c>
      <c r="AX44" s="21">
        <f t="shared" si="6"/>
        <v>99.475800923545805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6.4</v>
      </c>
      <c r="BD44" s="12">
        <f>IF('Données projet'!$A$88&gt;35,BD43+BC44-BL43,IF(A44&lt;'Données projet'!$A$88,$BA$205^A44,IF(A44='Données projet'!$A$88,'Données projet'!$B$88,BD43+BC44-BL43)))</f>
        <v>138.39999999999995</v>
      </c>
      <c r="BE44" s="13">
        <f>BD44*VLOOKUP('Données projet'!$B$11,Paramètres!$A$1:$I$89,3,0)*VLOOKUP('Données projet'!$B$11,Paramètres!$A$1:$I$89,5,0)</f>
        <v>110.11103999999996</v>
      </c>
      <c r="BF44" s="13">
        <f t="shared" si="37"/>
        <v>29.357144926198423</v>
      </c>
      <c r="BG44" s="20">
        <f t="shared" si="7"/>
        <v>242.90708874646216</v>
      </c>
      <c r="BH44" s="59">
        <f t="shared" si="8"/>
        <v>536.24042207979551</v>
      </c>
      <c r="BI44" s="59">
        <f ca="1">AVERAGE(OFFSET($BH$3,0,0,'Données projet'!$E$11+1,1))-AVERAGE(OFFSET($H$3,0,0,'Données projet'!$E$11+1,1))</f>
        <v>167.80254365106839</v>
      </c>
      <c r="BJ44" s="59">
        <f t="shared" si="38"/>
        <v>167.42302164950172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18.289259373319599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18.289259373319599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22</v>
      </c>
      <c r="BY44" s="12">
        <f>IF('Données projet'!$A$114&gt;35,BY43+BX44-CG43,IF(A44&lt;'Données projet'!$A$114,$BV$205^A44,IF(A44='Données projet'!$A$114,'Données projet'!$B$114,BY43+BX44-CG43)))</f>
        <v>357.99999999999994</v>
      </c>
      <c r="BZ44" s="13">
        <f>BY44*VLOOKUP('Données projet'!$B$12,Paramètres!$A$1:$I$89,3,0)*VLOOKUP('Données projet'!$B$12,Paramètres!$A$1:$I$89,5,0)</f>
        <v>176.852</v>
      </c>
      <c r="CA44" s="13">
        <f t="shared" si="39"/>
        <v>44.621096606102853</v>
      </c>
      <c r="CB44" s="20">
        <f t="shared" si="10"/>
        <v>385.73230992229577</v>
      </c>
      <c r="CC44" s="59">
        <f t="shared" si="11"/>
        <v>679.06564325562908</v>
      </c>
      <c r="CD44" s="59">
        <f ca="1">AVERAGE(OFFSET($CC$3,0,0,'Données projet'!$E$12+1,1))-AVERAGE(OFFSET($H$3,0,0,'Données projet'!$E$12+1,1))</f>
        <v>322.06606384496587</v>
      </c>
      <c r="CE44" s="59">
        <f t="shared" si="40"/>
        <v>267.71713177624713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37.710743213947907</v>
      </c>
      <c r="CL44" s="21">
        <f>EXP(-LN(2)/25)*CL43+(1-EXP(-LN(2)/25))/(LN(2)/25)*Calculateur!CG44*Calculateur!CI44*VLOOKUP('Données projet'!$B$12,Paramètres!$A$1:$I$89,3,0)*0.475*44/12</f>
        <v>14.819701824167154</v>
      </c>
      <c r="CM44" s="21">
        <f>EXP(-LN(2)/2)*CM43+(1-EXP(-LN(2)/2))/(LN(2)/2)*CG44*CJ44*VLOOKUP('Données projet'!$B$12,Paramètres!$A$1:$I$89,3,0)*0.475*44/12</f>
        <v>8.7394180465324212E-2</v>
      </c>
      <c r="CN44" s="22">
        <f t="shared" si="12"/>
        <v>52.617839218580386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13.9</v>
      </c>
      <c r="CT44" s="12">
        <f>IF('Données projet'!$A$140&gt;35,CT43+CS44-DB43,IF(A44&lt;'Données projet'!$A$140,$CQ$205^A44,IF(A44='Données projet'!$A$140,'Données projet'!$B$140,CT43+CS44-DB43)))</f>
        <v>316.10000000000008</v>
      </c>
      <c r="CU44" s="17">
        <f>CT44*VLOOKUP('Données projet'!$B$13,Paramètres!$A$1:$I$89,3,0)*VLOOKUP('Données projet'!$B$13,Paramètres!$A$1:$I$89,5,0)</f>
        <v>197.24640000000005</v>
      </c>
      <c r="CV44" s="13">
        <f t="shared" si="41"/>
        <v>49.138522374247245</v>
      </c>
      <c r="CW44" s="20">
        <f t="shared" si="13"/>
        <v>429.12040646848072</v>
      </c>
      <c r="CX44" s="59">
        <f t="shared" si="14"/>
        <v>722.45373980181398</v>
      </c>
      <c r="CY44" s="59">
        <f ca="1">AVERAGE(OFFSET($CX$3,0,0,'Données projet'!$E$13+1,1))-AVERAGE(OFFSET($H$3,0,0,'Données projet'!$E$13+1,1))</f>
        <v>269.77739619445515</v>
      </c>
      <c r="CZ44" s="59">
        <f t="shared" si="42"/>
        <v>347.56964743629885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26.270767357524711</v>
      </c>
      <c r="DG44" s="21">
        <f>EXP(-LN(2)/25)*DG43+(1-EXP(-LN(2)/25))/(LN(2)/25)*Calculateur!DB44*Calculateur!DD44*VLOOKUP('Données projet'!$B$13,Paramètres!$A$1:$I$89,3,0)*0.475*44/12</f>
        <v>67.62634476770468</v>
      </c>
      <c r="DH44" s="21">
        <f>EXP(-LN(2)/2)*DH43+(1-EXP(-LN(2)/2))/(LN(2)/2)*DB44*DE44*VLOOKUP('Données projet'!$B$13,Paramètres!$A$1:$I$89,3,0)*0.475*44/12</f>
        <v>5.4885509091063579E-4</v>
      </c>
      <c r="DI44" s="22">
        <f t="shared" si="15"/>
        <v>93.89766098032031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22</v>
      </c>
      <c r="DO44" s="12">
        <f>IF('Données projet'!$A$166&gt;35,DO43+DN44-DW43,IF(A44&lt;'Données projet'!$A$166,$DL$205^A44,IF(A44='Données projet'!$A$166,'Données projet'!$B$166,DO43+DN44-DW43)))</f>
        <v>357.99999999999994</v>
      </c>
      <c r="DP44" s="17">
        <f>DO44*VLOOKUP('Données projet'!$B$14,Paramètres!$A$1:$I$89,3,0)*VLOOKUP('Données projet'!$B$14,Paramètres!$A$1:$I$89,5,0)</f>
        <v>172.19799999999998</v>
      </c>
      <c r="DQ44" s="13">
        <f t="shared" si="43"/>
        <v>43.581933801858384</v>
      </c>
      <c r="DR44" s="20">
        <f t="shared" si="16"/>
        <v>375.81671803823662</v>
      </c>
      <c r="DS44" s="59">
        <f t="shared" si="17"/>
        <v>669.15005137156993</v>
      </c>
      <c r="DT44" s="59">
        <f ca="1">AVERAGE(OFFSET($DS$3,0,0,'Données projet'!$E$14+1,1))-AVERAGE(OFFSET($H$3,0,0,'Données projet'!$E$14+1,1))</f>
        <v>312.64506496298173</v>
      </c>
      <c r="DU44" s="59">
        <f t="shared" si="44"/>
        <v>259.97532509897508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36.718355234633485</v>
      </c>
      <c r="EB44" s="21">
        <f>EXP(-LN(2)/25)*EB43+(1-EXP(-LN(2)/25))/(LN(2)/25)*Calculateur!DW44*Calculateur!DY44*VLOOKUP('Données projet'!$B$14,Paramètres!$A$1:$I$89,3,0)*0.475*44/12</f>
        <v>14.429709670899596</v>
      </c>
      <c r="EC44" s="21">
        <f>EXP(-LN(2)/2)*EC43+(1-EXP(-LN(2)/2))/(LN(2)/2)*DW44*DZ44*VLOOKUP('Données projet'!$B$14,Paramètres!$A$1:$I$89,3,0)*0.475*44/12</f>
        <v>8.5094333610973447E-2</v>
      </c>
      <c r="ED44" s="22">
        <f t="shared" si="18"/>
        <v>51.233159239144058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8.4</v>
      </c>
      <c r="EJ44" s="12">
        <f>IF('Données projet'!$A$192&gt;35,EJ43+EI44-ER43,IF(A44&lt;'Données projet'!$A$192,$EG$205^A44,IF(A44='Données projet'!$A$192,'Données projet'!$B$192,EJ43+EI44-ER43)))</f>
        <v>124.40000000000003</v>
      </c>
      <c r="EK44" s="17">
        <f>EJ44*VLOOKUP('Données projet'!$B$15,Paramètres!$A$1:$I$89,3,0)*VLOOKUP('Données projet'!$B$15,Paramètres!$A$1:$I$89,5,0)</f>
        <v>112.55712000000003</v>
      </c>
      <c r="EL44" s="13">
        <f t="shared" si="45"/>
        <v>29.932653834140599</v>
      </c>
      <c r="EM44" s="20">
        <f t="shared" si="19"/>
        <v>248.16968942779496</v>
      </c>
      <c r="EN44" s="59">
        <f t="shared" si="20"/>
        <v>541.50302276112825</v>
      </c>
      <c r="EO44" s="59">
        <f ca="1">AVERAGE(OFFSET($EN$3,0,0,'Données projet'!$E$15+1,1))-AVERAGE(OFFSET($H$3,0,0,'Données projet'!$E$15+1,1))</f>
        <v>269.64423257646359</v>
      </c>
      <c r="EP44" s="59">
        <f t="shared" si="46"/>
        <v>161.0819079811821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16.875106502796541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16.875106502796541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10.8</v>
      </c>
      <c r="FE44" s="12">
        <f>IF('Données projet'!$A$218&gt;35,FE43+FD44-FM43,IF(A44&lt;'Données projet'!$A$218,$FB$205^A44,IF(A44='Données projet'!$A$218,'Données projet'!$B$218,FE43+FD44-FM43)))</f>
        <v>219.80000000000007</v>
      </c>
      <c r="FF44" s="17">
        <f>FE44*VLOOKUP('Données projet'!$B$16,Paramètres!$A$1:$I$89,3,0)*VLOOKUP('Données projet'!$B$16,Paramètres!$A$1:$I$89,5,0)</f>
        <v>171.44400000000005</v>
      </c>
      <c r="FG44" s="13">
        <f t="shared" si="47"/>
        <v>43.413272173627242</v>
      </c>
      <c r="FH44" s="20">
        <f t="shared" si="22"/>
        <v>374.20974903573415</v>
      </c>
      <c r="FI44" s="59">
        <f t="shared" si="23"/>
        <v>667.54308236906741</v>
      </c>
      <c r="FJ44" s="59">
        <f ca="1">AVERAGE(OFFSET($FI$3,0,0,'Données projet'!$E$16+1,1))-AVERAGE(OFFSET($H$3,0,0,'Données projet'!$E$16+1,1))</f>
        <v>283.77864672734273</v>
      </c>
      <c r="FK44" s="59">
        <f t="shared" si="48"/>
        <v>270.94620935643866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21.17992479822378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21.17992479822378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9.8000000000000007</v>
      </c>
      <c r="FZ44" s="12">
        <f>IF('Données projet'!$A$244&gt;35,FZ43+FY44-GH43,IF(A44&lt;'Données projet'!$A$244,$FW$205^A44,IF(A44='Données projet'!$A$244,'Données projet'!$B$244,FZ43+FY44-GH43)))</f>
        <v>202.8</v>
      </c>
      <c r="GA44" s="17">
        <f>FZ44*VLOOKUP('Données projet'!$B$17,Paramètres!$A$1:$I$89,3,0)*VLOOKUP('Données projet'!$B$17,Paramètres!$A$1:$I$89,5,0)</f>
        <v>196.14816000000002</v>
      </c>
      <c r="GB44" s="13">
        <f t="shared" si="49"/>
        <v>48.896694156917441</v>
      </c>
      <c r="GC44" s="20">
        <f t="shared" si="25"/>
        <v>426.7864543232979</v>
      </c>
      <c r="GD44" s="59">
        <f t="shared" si="26"/>
        <v>720.11978765663116</v>
      </c>
      <c r="GE44" s="59">
        <f ca="1">AVERAGE(OFFSET($GD$3,0,0,'Données projet'!$E$17+1,1))-AVERAGE(OFFSET($H$3,0,0,'Données projet'!$E$17+1,1))</f>
        <v>347.54503437087288</v>
      </c>
      <c r="GF44" s="59">
        <f t="shared" si="50"/>
        <v>340.05673244455954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30.064844918775457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30.064844918775457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24.2</v>
      </c>
      <c r="N45" s="13">
        <f>IF('Données projet'!$A$36&gt;35,N44+M45-V44,IF(A45&lt;'Données projet'!$A$36,$K$205^A45,IF(A45='Données projet'!$A$36,'Données projet'!$B$36,N44+M45-V44)))</f>
        <v>425.39999999999992</v>
      </c>
      <c r="O45" s="13">
        <f>N45*VLOOKUP('Données projet'!$B$9,Paramètres!$A$1:$I$89,3,0)*VLOOKUP('Données projet'!$B$9,Paramètres!$A$1:$I$89,5,0)</f>
        <v>199.08719999999997</v>
      </c>
      <c r="P45" s="13">
        <f t="shared" si="33"/>
        <v>49.543508536491395</v>
      </c>
      <c r="Q45" s="20">
        <f t="shared" si="53"/>
        <v>433.03181736772245</v>
      </c>
      <c r="R45" s="59">
        <f t="shared" si="0"/>
        <v>726.36515070105577</v>
      </c>
      <c r="S45" s="59">
        <f ca="1">AVERAGE(OFFSET($R$3,0,0,'Données projet'!$E$9+1,1))-AVERAGE(OFFSET($H$3,0,0,'Données projet'!$E$9+1,1))</f>
        <v>342.49944586217674</v>
      </c>
      <c r="T45" s="59">
        <f t="shared" si="34"/>
        <v>282.29766600872563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39.403578181646978</v>
      </c>
      <c r="AA45" s="21">
        <f>EXP(-LN(2)/25)*AA44+(1-EXP(-LN(2)/25))/(LN(2)/25)*Calculateur!V45*Calculateur!X45*VLOOKUP('Données projet'!$B$9,Paramètres!$A$1:$I$89,3,0)*0.475*44/12</f>
        <v>28.736848911087808</v>
      </c>
      <c r="AB45" s="21">
        <f>EXP(-LN(2)/2)*AB44+(1-EXP(-LN(2)/2))/(LN(2)/2)*V45*Y45*VLOOKUP('Données projet'!$B$9,Paramètres!$A$1:$I$89,3,0)*0.475*44/12</f>
        <v>1.2936638555722331E-3</v>
      </c>
      <c r="AC45" s="22">
        <f t="shared" si="3"/>
        <v>68.14172075659036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24.8</v>
      </c>
      <c r="AI45" s="13">
        <f>IF('Données projet'!$A$62&gt;35,AI44+AH45-AQ44,IF(A45&lt;'Données projet'!$A$62,$AF$205^A45,IF(A45='Données projet'!$A$62,'Données projet'!$B$62,AI44+AH45-AQ44)))</f>
        <v>611.5999999999998</v>
      </c>
      <c r="AJ45" s="13">
        <f>AI45*VLOOKUP('Données projet'!$B$10,Paramètres!$A$1:$I$89,3,0)*VLOOKUP('Données projet'!$B$10,Paramètres!$A$1:$I$89,5,0)</f>
        <v>341.88439999999986</v>
      </c>
      <c r="AK45" s="13">
        <f t="shared" si="35"/>
        <v>79.889150066970018</v>
      </c>
      <c r="AL45" s="20">
        <f t="shared" si="4"/>
        <v>734.58893303330581</v>
      </c>
      <c r="AM45" s="59">
        <f t="shared" si="5"/>
        <v>1027.9222663666392</v>
      </c>
      <c r="AN45" s="59">
        <f ca="1">AVERAGE(OFFSET($AM$3,0,0,'Données projet'!$E$10+1,1))-AVERAGE(OFFSET($H$3,0,0,'Données projet'!$E$10+1,1))</f>
        <v>490.96084572840579</v>
      </c>
      <c r="AO45" s="59">
        <f t="shared" si="36"/>
        <v>597.91658789908263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55.749079511611683</v>
      </c>
      <c r="AV45" s="21">
        <f>EXP(-LN(2)/25)*AV44+(1-EXP(-LN(2)/25))/(LN(2)/25)*Calculateur!AQ45*Calculateur!AS45*VLOOKUP('Données projet'!$B$10,Paramètres!$A$1:$I$89,3,0)*0.475*44/12</f>
        <v>41.428152981477126</v>
      </c>
      <c r="AW45" s="21">
        <f>EXP(-LN(2)/2)*AW44+(1-EXP(-LN(2)/2))/(LN(2)/2)*AQ45*AT45*VLOOKUP('Données projet'!$B$10,Paramètres!$A$1:$I$89,3,0)*0.475*44/12</f>
        <v>1.3288802605294768E-2</v>
      </c>
      <c r="AX45" s="21">
        <f t="shared" si="6"/>
        <v>97.190521295694097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6.4</v>
      </c>
      <c r="BD45" s="12">
        <f>IF('Données projet'!$A$88&gt;35,BD44+BC45-BL44,IF(A45&lt;'Données projet'!$A$88,$BA$205^A45,IF(A45='Données projet'!$A$88,'Données projet'!$B$88,BD44+BC45-BL44)))</f>
        <v>144.79999999999995</v>
      </c>
      <c r="BE45" s="13">
        <f>BD45*VLOOKUP('Données projet'!$B$11,Paramètres!$A$1:$I$89,3,0)*VLOOKUP('Données projet'!$B$11,Paramètres!$A$1:$I$89,5,0)</f>
        <v>115.20287999999998</v>
      </c>
      <c r="BF45" s="13">
        <f t="shared" si="37"/>
        <v>30.553507147925856</v>
      </c>
      <c r="BG45" s="20">
        <f t="shared" si="7"/>
        <v>253.85904094930413</v>
      </c>
      <c r="BH45" s="59">
        <f t="shared" si="8"/>
        <v>547.1923742826375</v>
      </c>
      <c r="BI45" s="59">
        <f ca="1">AVERAGE(OFFSET($BH$3,0,0,'Données projet'!$E$11+1,1))-AVERAGE(OFFSET($H$3,0,0,'Données projet'!$E$11+1,1))</f>
        <v>167.80254365106839</v>
      </c>
      <c r="BJ45" s="59">
        <f t="shared" si="38"/>
        <v>167.42302164950172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17.930618152355521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17.930618152355521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22</v>
      </c>
      <c r="BY45" s="12">
        <f>IF('Données projet'!$A$114&gt;35,BY44+BX45-CG44,IF(A45&lt;'Données projet'!$A$114,$BV$205^A45,IF(A45='Données projet'!$A$114,'Données projet'!$B$114,BY44+BX45-CG44)))</f>
        <v>379.99999999999994</v>
      </c>
      <c r="BZ45" s="13">
        <f>BY45*VLOOKUP('Données projet'!$B$12,Paramètres!$A$1:$I$89,3,0)*VLOOKUP('Données projet'!$B$12,Paramètres!$A$1:$I$89,5,0)</f>
        <v>187.71999999999997</v>
      </c>
      <c r="CA45" s="13">
        <f t="shared" si="39"/>
        <v>47.035523594581889</v>
      </c>
      <c r="CB45" s="20">
        <f t="shared" si="10"/>
        <v>408.86587026056333</v>
      </c>
      <c r="CC45" s="59">
        <f t="shared" si="11"/>
        <v>702.19920359389664</v>
      </c>
      <c r="CD45" s="59">
        <f ca="1">AVERAGE(OFFSET($CC$3,0,0,'Données projet'!$E$12+1,1))-AVERAGE(OFFSET($H$3,0,0,'Données projet'!$E$12+1,1))</f>
        <v>322.06606384496587</v>
      </c>
      <c r="CE45" s="59">
        <f t="shared" si="40"/>
        <v>267.71713177624713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36.971258540804563</v>
      </c>
      <c r="CL45" s="21">
        <f>EXP(-LN(2)/25)*CL44+(1-EXP(-LN(2)/25))/(LN(2)/25)*Calculateur!CG45*Calculateur!CI45*VLOOKUP('Données projet'!$B$12,Paramètres!$A$1:$I$89,3,0)*0.475*44/12</f>
        <v>14.414456298451055</v>
      </c>
      <c r="CM45" s="21">
        <f>EXP(-LN(2)/2)*CM44+(1-EXP(-LN(2)/2))/(LN(2)/2)*CG45*CJ45*VLOOKUP('Données projet'!$B$12,Paramètres!$A$1:$I$89,3,0)*0.475*44/12</f>
        <v>6.1797017643271661E-2</v>
      </c>
      <c r="CN45" s="22">
        <f t="shared" si="12"/>
        <v>51.447511856898892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330</v>
      </c>
      <c r="CR45" s="12">
        <f>VLOOKUP(A45,'Données projet'!$A$139:$I$159,9,0)</f>
        <v>13.9</v>
      </c>
      <c r="CS45" s="12">
        <f t="array" ref="CS45">INDEX(CR:CR,MIN(IF(ISNUMBER(CR45:CR241),ROW(CR45:CR241),"")))</f>
        <v>13.9</v>
      </c>
      <c r="CT45" s="12">
        <f>IF('Données projet'!$A$140&gt;35,CT44+CS45-DB44,IF(A45&lt;'Données projet'!$A$140,$CQ$205^A45,IF(A45='Données projet'!$A$140,'Données projet'!$B$140,CT44+CS45-DB44)))</f>
        <v>330.00000000000006</v>
      </c>
      <c r="CU45" s="17">
        <f>CT45*VLOOKUP('Données projet'!$B$13,Paramètres!$A$1:$I$89,3,0)*VLOOKUP('Données projet'!$B$13,Paramètres!$A$1:$I$89,5,0)</f>
        <v>205.92000000000004</v>
      </c>
      <c r="CV45" s="13">
        <f t="shared" si="41"/>
        <v>51.042987531485686</v>
      </c>
      <c r="CW45" s="20">
        <f t="shared" si="13"/>
        <v>447.54386995067097</v>
      </c>
      <c r="CX45" s="59">
        <f t="shared" si="14"/>
        <v>740.87720328400428</v>
      </c>
      <c r="CY45" s="59">
        <f ca="1">AVERAGE(OFFSET($CX$3,0,0,'Données projet'!$E$13+1,1))-AVERAGE(OFFSET($H$3,0,0,'Données projet'!$E$13+1,1))</f>
        <v>269.77739619445515</v>
      </c>
      <c r="CZ45" s="59">
        <f t="shared" si="42"/>
        <v>347.56964743629885</v>
      </c>
      <c r="DA45" s="15">
        <f>IF(ISNA(VLOOKUP(A45,'Données projet'!$A$139:$I$159,3,0)),0,VLOOKUP(A45,'Données projet'!$A$139:$I$159,3,0))</f>
        <v>6</v>
      </c>
      <c r="DB45" s="15">
        <f>IF(ISNA(VLOOKUP(A45,'Données projet'!$A$139:$I$159,4,0)),0,VLOOKUP(A45,'Données projet'!$A$139:$I$159,4,0))</f>
        <v>54.6</v>
      </c>
      <c r="DC45" s="16">
        <f>IF(ISNA(VLOOKUP(A45,'Données projet'!$A$139:$I$159,5,0)),0%,VLOOKUP(A45,'Données projet'!$A$139:$I$159,5,0)*VLOOKUP('Données projet'!$B$13,Paramètres!$A$1:$I$89,7,0))</f>
        <v>0.6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52.873562606793925</v>
      </c>
      <c r="DG45" s="21">
        <f>EXP(-LN(2)/25)*DG44+(1-EXP(-LN(2)/25))/(LN(2)/25)*Calculateur!DB45*Calculateur!DD45*VLOOKUP('Données projet'!$B$13,Paramètres!$A$1:$I$89,3,0)*0.475*44/12</f>
        <v>65.77709881371689</v>
      </c>
      <c r="DH45" s="21">
        <f>EXP(-LN(2)/2)*DH44+(1-EXP(-LN(2)/2))/(LN(2)/2)*DB45*DE45*VLOOKUP('Données projet'!$B$13,Paramètres!$A$1:$I$89,3,0)*0.475*44/12</f>
        <v>3.880991566716696E-4</v>
      </c>
      <c r="DI45" s="22">
        <f t="shared" si="15"/>
        <v>118.65104951966748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22</v>
      </c>
      <c r="DO45" s="12">
        <f>IF('Données projet'!$A$166&gt;35,DO44+DN45-DW44,IF(A45&lt;'Données projet'!$A$166,$DL$205^A45,IF(A45='Données projet'!$A$166,'Données projet'!$B$166,DO44+DN45-DW44)))</f>
        <v>379.99999999999994</v>
      </c>
      <c r="DP45" s="17">
        <f>DO45*VLOOKUP('Données projet'!$B$14,Paramètres!$A$1:$I$89,3,0)*VLOOKUP('Données projet'!$B$14,Paramètres!$A$1:$I$89,5,0)</f>
        <v>182.77999999999997</v>
      </c>
      <c r="DQ45" s="13">
        <f t="shared" si="43"/>
        <v>45.940132169554303</v>
      </c>
      <c r="DR45" s="20">
        <f t="shared" si="16"/>
        <v>398.35423019530703</v>
      </c>
      <c r="DS45" s="59">
        <f t="shared" si="17"/>
        <v>691.68756352864034</v>
      </c>
      <c r="DT45" s="59">
        <f ca="1">AVERAGE(OFFSET($DS$3,0,0,'Données projet'!$E$14+1,1))-AVERAGE(OFFSET($H$3,0,0,'Données projet'!$E$14+1,1))</f>
        <v>312.64506496298173</v>
      </c>
      <c r="DU45" s="59">
        <f t="shared" si="44"/>
        <v>259.97532509897508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35.998330684467597</v>
      </c>
      <c r="EB45" s="21">
        <f>EXP(-LN(2)/25)*EB44+(1-EXP(-LN(2)/25))/(LN(2)/25)*Calculateur!DW45*Calculateur!DY45*VLOOKUP('Données projet'!$B$14,Paramètres!$A$1:$I$89,3,0)*0.475*44/12</f>
        <v>14.035128501123395</v>
      </c>
      <c r="EC45" s="21">
        <f>EXP(-LN(2)/2)*EC44+(1-EXP(-LN(2)/2))/(LN(2)/2)*DW45*DZ45*VLOOKUP('Données projet'!$B$14,Paramètres!$A$1:$I$89,3,0)*0.475*44/12</f>
        <v>6.0170780336869678E-2</v>
      </c>
      <c r="ED45" s="22">
        <f t="shared" si="18"/>
        <v>50.09362996592786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8.4</v>
      </c>
      <c r="EJ45" s="12">
        <f>IF('Données projet'!$A$192&gt;35,EJ44+EI45-ER44,IF(A45&lt;'Données projet'!$A$192,$EG$205^A45,IF(A45='Données projet'!$A$192,'Données projet'!$B$192,EJ44+EI45-ER44)))</f>
        <v>132.80000000000004</v>
      </c>
      <c r="EK45" s="17">
        <f>EJ45*VLOOKUP('Données projet'!$B$15,Paramètres!$A$1:$I$89,3,0)*VLOOKUP('Données projet'!$B$15,Paramètres!$A$1:$I$89,5,0)</f>
        <v>120.15744000000002</v>
      </c>
      <c r="EL45" s="13">
        <f t="shared" si="45"/>
        <v>31.711716786129845</v>
      </c>
      <c r="EM45" s="20">
        <f t="shared" si="19"/>
        <v>264.50544806917623</v>
      </c>
      <c r="EN45" s="59">
        <f t="shared" si="20"/>
        <v>557.83878140250954</v>
      </c>
      <c r="EO45" s="59">
        <f ca="1">AVERAGE(OFFSET($EN$3,0,0,'Données projet'!$E$15+1,1))-AVERAGE(OFFSET($H$3,0,0,'Données projet'!$E$15+1,1))</f>
        <v>269.64423257646359</v>
      </c>
      <c r="EP45" s="59">
        <f t="shared" si="46"/>
        <v>161.0819079811821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16.544195957075338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16.544195957075338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10.8</v>
      </c>
      <c r="FE45" s="12">
        <f>IF('Données projet'!$A$218&gt;35,FE44+FD45-FM44,IF(A45&lt;'Données projet'!$A$218,$FB$205^A45,IF(A45='Données projet'!$A$218,'Données projet'!$B$218,FE44+FD45-FM44)))</f>
        <v>230.60000000000008</v>
      </c>
      <c r="FF45" s="17">
        <f>FE45*VLOOKUP('Données projet'!$B$16,Paramètres!$A$1:$I$89,3,0)*VLOOKUP('Données projet'!$B$16,Paramètres!$A$1:$I$89,5,0)</f>
        <v>179.86800000000008</v>
      </c>
      <c r="FG45" s="13">
        <f t="shared" si="47"/>
        <v>45.292817344769716</v>
      </c>
      <c r="FH45" s="20">
        <f t="shared" si="22"/>
        <v>392.15509020880739</v>
      </c>
      <c r="FI45" s="59">
        <f t="shared" si="23"/>
        <v>685.48842354214071</v>
      </c>
      <c r="FJ45" s="59">
        <f ca="1">AVERAGE(OFFSET($FI$3,0,0,'Données projet'!$E$16+1,1))-AVERAGE(OFFSET($H$3,0,0,'Données projet'!$E$16+1,1))</f>
        <v>283.77864672734273</v>
      </c>
      <c r="FK45" s="59">
        <f t="shared" si="48"/>
        <v>270.94620935643866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20.764599391409146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20.764599391409146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9.8000000000000007</v>
      </c>
      <c r="FZ45" s="12">
        <f>IF('Données projet'!$A$244&gt;35,FZ44+FY45-GH44,IF(A45&lt;'Données projet'!$A$244,$FW$205^A45,IF(A45='Données projet'!$A$244,'Données projet'!$B$244,FZ44+FY45-GH44)))</f>
        <v>212.60000000000002</v>
      </c>
      <c r="GA45" s="17">
        <f>FZ45*VLOOKUP('Données projet'!$B$17,Paramètres!$A$1:$I$89,3,0)*VLOOKUP('Données projet'!$B$17,Paramètres!$A$1:$I$89,5,0)</f>
        <v>205.62672000000003</v>
      </c>
      <c r="GB45" s="13">
        <f t="shared" si="49"/>
        <v>50.97874661509114</v>
      </c>
      <c r="GC45" s="20">
        <f t="shared" si="25"/>
        <v>446.92118768795041</v>
      </c>
      <c r="GD45" s="59">
        <f t="shared" si="26"/>
        <v>740.25452102128372</v>
      </c>
      <c r="GE45" s="59">
        <f ca="1">AVERAGE(OFFSET($GD$3,0,0,'Données projet'!$E$17+1,1))-AVERAGE(OFFSET($H$3,0,0,'Données projet'!$E$17+1,1))</f>
        <v>347.54503437087288</v>
      </c>
      <c r="GF45" s="59">
        <f t="shared" si="50"/>
        <v>340.05673244455954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29.475291647662967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29.475291647662967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24.2</v>
      </c>
      <c r="N46" s="13">
        <f>IF('Données projet'!$A$36&gt;35,N45+M46-V45,IF(A46&lt;'Données projet'!$A$36,$K$205^A46,IF(A46='Données projet'!$A$36,'Données projet'!$B$36,N45+M46-V45)))</f>
        <v>449.59999999999991</v>
      </c>
      <c r="O46" s="13">
        <f>N46*VLOOKUP('Données projet'!$B$9,Paramètres!$A$1:$I$89,3,0)*VLOOKUP('Données projet'!$B$9,Paramètres!$A$1:$I$89,5,0)</f>
        <v>210.41279999999998</v>
      </c>
      <c r="P46" s="13">
        <f t="shared" si="33"/>
        <v>52.025782571624553</v>
      </c>
      <c r="Q46" s="20">
        <f t="shared" si="53"/>
        <v>457.08053131224602</v>
      </c>
      <c r="R46" s="59">
        <f t="shared" si="0"/>
        <v>750.41386464557934</v>
      </c>
      <c r="S46" s="59">
        <f ca="1">AVERAGE(OFFSET($R$3,0,0,'Données projet'!$E$9+1,1))-AVERAGE(OFFSET($H$3,0,0,'Données projet'!$E$9+1,1))</f>
        <v>342.49944586217674</v>
      </c>
      <c r="T46" s="59">
        <f t="shared" si="34"/>
        <v>282.29766600872563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38.630898047314432</v>
      </c>
      <c r="AA46" s="21">
        <f>EXP(-LN(2)/25)*AA45+(1-EXP(-LN(2)/25))/(LN(2)/25)*Calculateur!V46*Calculateur!X46*VLOOKUP('Données projet'!$B$9,Paramètres!$A$1:$I$89,3,0)*0.475*44/12</f>
        <v>27.951038266408908</v>
      </c>
      <c r="AB46" s="21">
        <f>EXP(-LN(2)/2)*AB45+(1-EXP(-LN(2)/2))/(LN(2)/2)*V46*Y46*VLOOKUP('Données projet'!$B$9,Paramètres!$A$1:$I$89,3,0)*0.475*44/12</f>
        <v>9.1475848485106045E-4</v>
      </c>
      <c r="AC46" s="22">
        <f t="shared" si="3"/>
        <v>66.582851072208186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24.8</v>
      </c>
      <c r="AI46" s="13">
        <f>IF('Données projet'!$A$62&gt;35,AI45+AH46-AQ45,IF(A46&lt;'Données projet'!$A$62,$AF$205^A46,IF(A46='Données projet'!$A$62,'Données projet'!$B$62,AI45+AH46-AQ45)))</f>
        <v>636.39999999999975</v>
      </c>
      <c r="AJ46" s="13">
        <f>AI46*VLOOKUP('Données projet'!$B$10,Paramètres!$A$1:$I$89,3,0)*VLOOKUP('Données projet'!$B$10,Paramètres!$A$1:$I$89,5,0)</f>
        <v>355.74759999999986</v>
      </c>
      <c r="AK46" s="13">
        <f t="shared" si="35"/>
        <v>82.744877508992289</v>
      </c>
      <c r="AL46" s="20">
        <f t="shared" si="4"/>
        <v>763.70773166149456</v>
      </c>
      <c r="AM46" s="59">
        <f t="shared" si="5"/>
        <v>1057.0410649948278</v>
      </c>
      <c r="AN46" s="59">
        <f ca="1">AVERAGE(OFFSET($AM$3,0,0,'Données projet'!$E$10+1,1))-AVERAGE(OFFSET($H$3,0,0,'Données projet'!$E$10+1,1))</f>
        <v>490.96084572840579</v>
      </c>
      <c r="AO46" s="59">
        <f t="shared" si="36"/>
        <v>597.91658789908263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54.655874065969904</v>
      </c>
      <c r="AV46" s="21">
        <f>EXP(-LN(2)/25)*AV45+(1-EXP(-LN(2)/25))/(LN(2)/25)*Calculateur!AQ46*Calculateur!AS46*VLOOKUP('Données projet'!$B$10,Paramètres!$A$1:$I$89,3,0)*0.475*44/12</f>
        <v>40.295297959586755</v>
      </c>
      <c r="AW46" s="21">
        <f>EXP(-LN(2)/2)*AW45+(1-EXP(-LN(2)/2))/(LN(2)/2)*AQ46*AT46*VLOOKUP('Données projet'!$B$10,Paramètres!$A$1:$I$89,3,0)*0.475*44/12</f>
        <v>9.39660243605339E-3</v>
      </c>
      <c r="AX46" s="21">
        <f t="shared" si="6"/>
        <v>94.960568627992714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6.4</v>
      </c>
      <c r="BD46" s="12">
        <f>IF('Données projet'!$A$88&gt;35,BD45+BC46-BL45,IF(A46&lt;'Données projet'!$A$88,$BA$205^A46,IF(A46='Données projet'!$A$88,'Données projet'!$B$88,BD45+BC46-BL45)))</f>
        <v>151.19999999999996</v>
      </c>
      <c r="BE46" s="13">
        <f>BD46*VLOOKUP('Données projet'!$B$11,Paramètres!$A$1:$I$89,3,0)*VLOOKUP('Données projet'!$B$11,Paramètres!$A$1:$I$89,5,0)</f>
        <v>120.29471999999997</v>
      </c>
      <c r="BF46" s="13">
        <f t="shared" si="37"/>
        <v>31.743728077799098</v>
      </c>
      <c r="BG46" s="20">
        <f t="shared" si="7"/>
        <v>264.80029706883334</v>
      </c>
      <c r="BH46" s="59">
        <f t="shared" si="8"/>
        <v>558.13363040216666</v>
      </c>
      <c r="BI46" s="59">
        <f ca="1">AVERAGE(OFFSET($BH$3,0,0,'Données projet'!$E$11+1,1))-AVERAGE(OFFSET($H$3,0,0,'Données projet'!$E$11+1,1))</f>
        <v>167.80254365106839</v>
      </c>
      <c r="BJ46" s="59">
        <f t="shared" si="38"/>
        <v>167.42302164950172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17.579009666985002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17.579009666985002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22</v>
      </c>
      <c r="BY46" s="12">
        <f>IF('Données projet'!$A$114&gt;35,BY45+BX46-CG45,IF(A46&lt;'Données projet'!$A$114,$BV$205^A46,IF(A46='Données projet'!$A$114,'Données projet'!$B$114,BY45+BX46-CG45)))</f>
        <v>401.99999999999994</v>
      </c>
      <c r="BZ46" s="13">
        <f>BY46*VLOOKUP('Données projet'!$B$12,Paramètres!$A$1:$I$89,3,0)*VLOOKUP('Données projet'!$B$12,Paramètres!$A$1:$I$89,5,0)</f>
        <v>198.58799999999999</v>
      </c>
      <c r="CA46" s="13">
        <f t="shared" si="39"/>
        <v>49.433725020229133</v>
      </c>
      <c r="CB46" s="20">
        <f t="shared" si="10"/>
        <v>431.97117107689905</v>
      </c>
      <c r="CC46" s="59">
        <f t="shared" si="11"/>
        <v>725.30450441023231</v>
      </c>
      <c r="CD46" s="59">
        <f ca="1">AVERAGE(OFFSET($CC$3,0,0,'Données projet'!$E$12+1,1))-AVERAGE(OFFSET($H$3,0,0,'Données projet'!$E$12+1,1))</f>
        <v>322.06606384496587</v>
      </c>
      <c r="CE46" s="59">
        <f t="shared" si="40"/>
        <v>267.71713177624713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36.246274711060444</v>
      </c>
      <c r="CL46" s="21">
        <f>EXP(-LN(2)/25)*CL45+(1-EXP(-LN(2)/25))/(LN(2)/25)*Calculateur!CG46*Calculateur!CI46*VLOOKUP('Données projet'!$B$12,Paramètres!$A$1:$I$89,3,0)*0.475*44/12</f>
        <v>14.020292232946598</v>
      </c>
      <c r="CM46" s="21">
        <f>EXP(-LN(2)/2)*CM45+(1-EXP(-LN(2)/2))/(LN(2)/2)*CG46*CJ46*VLOOKUP('Données projet'!$B$12,Paramètres!$A$1:$I$89,3,0)*0.475*44/12</f>
        <v>4.3697090232662113E-2</v>
      </c>
      <c r="CN46" s="22">
        <f t="shared" si="12"/>
        <v>50.310264034239701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12.933333333333337</v>
      </c>
      <c r="CT46" s="12">
        <f>IF('Données projet'!$A$140&gt;35,CT45+CS46-DB45,IF(A46&lt;'Données projet'!$A$140,$CQ$205^A46,IF(A46='Données projet'!$A$140,'Données projet'!$B$140,CT45+CS46-DB45)))</f>
        <v>288.33333333333337</v>
      </c>
      <c r="CU46" s="17">
        <f>CT46*VLOOKUP('Données projet'!$B$13,Paramètres!$A$1:$I$89,3,0)*VLOOKUP('Données projet'!$B$13,Paramètres!$A$1:$I$89,5,0)</f>
        <v>179.92000000000002</v>
      </c>
      <c r="CV46" s="13">
        <f t="shared" si="41"/>
        <v>45.304387180011844</v>
      </c>
      <c r="CW46" s="20">
        <f t="shared" si="13"/>
        <v>392.26580767185396</v>
      </c>
      <c r="CX46" s="59">
        <f t="shared" si="14"/>
        <v>685.59914100518722</v>
      </c>
      <c r="CY46" s="59">
        <f ca="1">AVERAGE(OFFSET($CX$3,0,0,'Données projet'!$E$13+1,1))-AVERAGE(OFFSET($H$3,0,0,'Données projet'!$E$13+1,1))</f>
        <v>269.77739619445515</v>
      </c>
      <c r="CZ46" s="59">
        <f t="shared" si="42"/>
        <v>347.56964743629885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51.836744293763495</v>
      </c>
      <c r="DG46" s="21">
        <f>EXP(-LN(2)/25)*DG45+(1-EXP(-LN(2)/25))/(LN(2)/25)*Calculateur!DB46*Calculateur!DD46*VLOOKUP('Données projet'!$B$13,Paramètres!$A$1:$I$89,3,0)*0.475*44/12</f>
        <v>63.978420587588509</v>
      </c>
      <c r="DH46" s="21">
        <f>EXP(-LN(2)/2)*DH45+(1-EXP(-LN(2)/2))/(LN(2)/2)*DB46*DE46*VLOOKUP('Données projet'!$B$13,Paramètres!$A$1:$I$89,3,0)*0.475*44/12</f>
        <v>2.744275454553179E-4</v>
      </c>
      <c r="DI46" s="22">
        <f t="shared" si="15"/>
        <v>115.81543930889745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22</v>
      </c>
      <c r="DO46" s="12">
        <f>IF('Données projet'!$A$166&gt;35,DO45+DN46-DW45,IF(A46&lt;'Données projet'!$A$166,$DL$205^A46,IF(A46='Données projet'!$A$166,'Données projet'!$B$166,DO45+DN46-DW45)))</f>
        <v>401.99999999999994</v>
      </c>
      <c r="DP46" s="17">
        <f>DO46*VLOOKUP('Données projet'!$B$14,Paramètres!$A$1:$I$89,3,0)*VLOOKUP('Données projet'!$B$14,Paramètres!$A$1:$I$89,5,0)</f>
        <v>193.36199999999999</v>
      </c>
      <c r="DQ46" s="13">
        <f t="shared" si="43"/>
        <v>48.282482845036888</v>
      </c>
      <c r="DR46" s="20">
        <f t="shared" si="16"/>
        <v>420.86414095510594</v>
      </c>
      <c r="DS46" s="59">
        <f t="shared" si="17"/>
        <v>714.19747428843925</v>
      </c>
      <c r="DT46" s="59">
        <f ca="1">AVERAGE(OFFSET($DS$3,0,0,'Données projet'!$E$14+1,1))-AVERAGE(OFFSET($H$3,0,0,'Données projet'!$E$14+1,1))</f>
        <v>312.64506496298173</v>
      </c>
      <c r="DU46" s="59">
        <f t="shared" si="44"/>
        <v>259.97532509897508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35.292425376558846</v>
      </c>
      <c r="EB46" s="21">
        <f>EXP(-LN(2)/25)*EB45+(1-EXP(-LN(2)/25))/(LN(2)/25)*Calculateur!DW46*Calculateur!DY46*VLOOKUP('Données projet'!$B$14,Paramètres!$A$1:$I$89,3,0)*0.475*44/12</f>
        <v>13.651337174184846</v>
      </c>
      <c r="EC46" s="21">
        <f>EXP(-LN(2)/2)*EC45+(1-EXP(-LN(2)/2))/(LN(2)/2)*DW46*DZ46*VLOOKUP('Données projet'!$B$14,Paramètres!$A$1:$I$89,3,0)*0.475*44/12</f>
        <v>4.2547166805486723E-2</v>
      </c>
      <c r="ED46" s="22">
        <f t="shared" si="18"/>
        <v>48.986309717549176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8.4</v>
      </c>
      <c r="EJ46" s="12">
        <f>IF('Données projet'!$A$192&gt;35,EJ45+EI46-ER45,IF(A46&lt;'Données projet'!$A$192,$EG$205^A46,IF(A46='Données projet'!$A$192,'Données projet'!$B$192,EJ45+EI46-ER45)))</f>
        <v>141.20000000000005</v>
      </c>
      <c r="EK46" s="17">
        <f>EJ46*VLOOKUP('Données projet'!$B$15,Paramètres!$A$1:$I$89,3,0)*VLOOKUP('Données projet'!$B$15,Paramètres!$A$1:$I$89,5,0)</f>
        <v>127.75776000000003</v>
      </c>
      <c r="EL46" s="13">
        <f t="shared" si="45"/>
        <v>33.477720030956604</v>
      </c>
      <c r="EM46" s="20">
        <f t="shared" si="19"/>
        <v>280.81846105391611</v>
      </c>
      <c r="EN46" s="59">
        <f t="shared" si="20"/>
        <v>574.15179438724942</v>
      </c>
      <c r="EO46" s="59">
        <f ca="1">AVERAGE(OFFSET($EN$3,0,0,'Données projet'!$E$15+1,1))-AVERAGE(OFFSET($H$3,0,0,'Données projet'!$E$15+1,1))</f>
        <v>269.64423257646359</v>
      </c>
      <c r="EP46" s="59">
        <f t="shared" si="46"/>
        <v>161.0819079811821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16.219774365320227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16.219774365320227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10.8</v>
      </c>
      <c r="FE46" s="12">
        <f>IF('Données projet'!$A$218&gt;35,FE45+FD46-FM45,IF(A46&lt;'Données projet'!$A$218,$FB$205^A46,IF(A46='Données projet'!$A$218,'Données projet'!$B$218,FE45+FD46-FM45)))</f>
        <v>241.40000000000009</v>
      </c>
      <c r="FF46" s="17">
        <f>FE46*VLOOKUP('Données projet'!$B$16,Paramètres!$A$1:$I$89,3,0)*VLOOKUP('Données projet'!$B$16,Paramètres!$A$1:$I$89,5,0)</f>
        <v>188.29200000000009</v>
      </c>
      <c r="FG46" s="13">
        <f t="shared" si="47"/>
        <v>47.162140074549271</v>
      </c>
      <c r="FH46" s="20">
        <f t="shared" si="22"/>
        <v>410.0826272965067</v>
      </c>
      <c r="FI46" s="59">
        <f t="shared" si="23"/>
        <v>703.41596062984001</v>
      </c>
      <c r="FJ46" s="59">
        <f ca="1">AVERAGE(OFFSET($FI$3,0,0,'Données projet'!$E$16+1,1))-AVERAGE(OFFSET($H$3,0,0,'Données projet'!$E$16+1,1))</f>
        <v>283.77864672734273</v>
      </c>
      <c r="FK46" s="59">
        <f t="shared" si="48"/>
        <v>270.94620935643866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20.357418262498662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20.357418262498662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9.8000000000000007</v>
      </c>
      <c r="FZ46" s="12">
        <f>IF('Données projet'!$A$244&gt;35,FZ45+FY46-GH45,IF(A46&lt;'Données projet'!$A$244,$FW$205^A46,IF(A46='Données projet'!$A$244,'Données projet'!$B$244,FZ45+FY46-GH45)))</f>
        <v>222.40000000000003</v>
      </c>
      <c r="GA46" s="17">
        <f>FZ46*VLOOKUP('Données projet'!$B$17,Paramètres!$A$1:$I$89,3,0)*VLOOKUP('Données projet'!$B$17,Paramètres!$A$1:$I$89,5,0)</f>
        <v>215.10528000000005</v>
      </c>
      <c r="GB46" s="13">
        <f t="shared" si="49"/>
        <v>53.049653425970028</v>
      </c>
      <c r="GC46" s="20">
        <f t="shared" si="25"/>
        <v>467.03650905023113</v>
      </c>
      <c r="GD46" s="59">
        <f t="shared" si="26"/>
        <v>760.36984238356445</v>
      </c>
      <c r="GE46" s="59">
        <f ca="1">AVERAGE(OFFSET($GD$3,0,0,'Données projet'!$E$17+1,1))-AVERAGE(OFFSET($H$3,0,0,'Données projet'!$E$17+1,1))</f>
        <v>347.54503437087288</v>
      </c>
      <c r="GF46" s="59">
        <f t="shared" si="50"/>
        <v>340.05673244455954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28.897299156605005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28.897299156605005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24.2</v>
      </c>
      <c r="N47" s="13">
        <f>IF('Données projet'!$A$36&gt;35,N46+M47-V46,IF(A47&lt;'Données projet'!$A$36,$K$205^A47,IF(A47='Données projet'!$A$36,'Données projet'!$B$36,N46+M47-V46)))</f>
        <v>473.7999999999999</v>
      </c>
      <c r="O47" s="13">
        <f>N47*VLOOKUP('Données projet'!$B$9,Paramètres!$A$1:$I$89,3,0)*VLOOKUP('Données projet'!$B$9,Paramètres!$A$1:$I$89,5,0)</f>
        <v>221.73839999999996</v>
      </c>
      <c r="P47" s="13">
        <f t="shared" si="33"/>
        <v>54.492545120441747</v>
      </c>
      <c r="Q47" s="20">
        <f t="shared" si="53"/>
        <v>481.10222941810252</v>
      </c>
      <c r="R47" s="59">
        <f t="shared" si="0"/>
        <v>774.43556275143578</v>
      </c>
      <c r="S47" s="59">
        <f ca="1">AVERAGE(OFFSET($R$3,0,0,'Données projet'!$E$9+1,1))-AVERAGE(OFFSET($H$3,0,0,'Données projet'!$E$9+1,1))</f>
        <v>342.49944586217674</v>
      </c>
      <c r="T47" s="59">
        <f t="shared" si="34"/>
        <v>282.29766600872563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37.873369699127799</v>
      </c>
      <c r="AA47" s="21">
        <f>EXP(-LN(2)/25)*AA46+(1-EXP(-LN(2)/25))/(LN(2)/25)*Calculateur!V47*Calculateur!X47*VLOOKUP('Données projet'!$B$9,Paramètres!$A$1:$I$89,3,0)*0.475*44/12</f>
        <v>27.186715655132737</v>
      </c>
      <c r="AB47" s="21">
        <f>EXP(-LN(2)/2)*AB46+(1-EXP(-LN(2)/2))/(LN(2)/2)*V47*Y47*VLOOKUP('Données projet'!$B$9,Paramètres!$A$1:$I$89,3,0)*0.475*44/12</f>
        <v>6.4683192778611654E-4</v>
      </c>
      <c r="AC47" s="22">
        <f t="shared" si="3"/>
        <v>65.060732186188318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24.8</v>
      </c>
      <c r="AI47" s="13">
        <f>IF('Données projet'!$A$62&gt;35,AI46+AH47-AQ46,IF(A47&lt;'Données projet'!$A$62,$AF$205^A47,IF(A47='Données projet'!$A$62,'Données projet'!$B$62,AI46+AH47-AQ46)))</f>
        <v>661.1999999999997</v>
      </c>
      <c r="AJ47" s="13">
        <f>AI47*VLOOKUP('Données projet'!$B$10,Paramètres!$A$1:$I$89,3,0)*VLOOKUP('Données projet'!$B$10,Paramètres!$A$1:$I$89,5,0)</f>
        <v>369.61079999999981</v>
      </c>
      <c r="AK47" s="13">
        <f t="shared" si="35"/>
        <v>85.587677206936931</v>
      </c>
      <c r="AL47" s="20">
        <f t="shared" si="4"/>
        <v>792.80401446874805</v>
      </c>
      <c r="AM47" s="59">
        <f t="shared" si="5"/>
        <v>1086.1373478020814</v>
      </c>
      <c r="AN47" s="59">
        <f ca="1">AVERAGE(OFFSET($AM$3,0,0,'Données projet'!$E$10+1,1))-AVERAGE(OFFSET($H$3,0,0,'Données projet'!$E$10+1,1))</f>
        <v>490.96084572840579</v>
      </c>
      <c r="AO47" s="59">
        <f t="shared" si="36"/>
        <v>597.91658789908263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53.584105712327677</v>
      </c>
      <c r="AV47" s="21">
        <f>EXP(-LN(2)/25)*AV46+(1-EXP(-LN(2)/25))/(LN(2)/25)*Calculateur!AQ47*Calculateur!AS47*VLOOKUP('Données projet'!$B$10,Paramètres!$A$1:$I$89,3,0)*0.475*44/12</f>
        <v>39.193420917844229</v>
      </c>
      <c r="AW47" s="21">
        <f>EXP(-LN(2)/2)*AW46+(1-EXP(-LN(2)/2))/(LN(2)/2)*AQ47*AT47*VLOOKUP('Données projet'!$B$10,Paramètres!$A$1:$I$89,3,0)*0.475*44/12</f>
        <v>6.644401302647384E-3</v>
      </c>
      <c r="AX47" s="21">
        <f t="shared" si="6"/>
        <v>92.784171031474557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6.4</v>
      </c>
      <c r="BD47" s="12">
        <f>IF('Données projet'!$A$88&gt;35,BD46+BC47-BL46,IF(A47&lt;'Données projet'!$A$88,$BA$205^A47,IF(A47='Données projet'!$A$88,'Données projet'!$B$88,BD46+BC47-BL46)))</f>
        <v>157.59999999999997</v>
      </c>
      <c r="BE47" s="13">
        <f>BD47*VLOOKUP('Données projet'!$B$11,Paramètres!$A$1:$I$89,3,0)*VLOOKUP('Données projet'!$B$11,Paramètres!$A$1:$I$89,5,0)</f>
        <v>125.38655999999999</v>
      </c>
      <c r="BF47" s="13">
        <f t="shared" si="37"/>
        <v>32.928097385453498</v>
      </c>
      <c r="BG47" s="20">
        <f t="shared" si="7"/>
        <v>275.73136161299811</v>
      </c>
      <c r="BH47" s="59">
        <f t="shared" si="8"/>
        <v>569.06469494633143</v>
      </c>
      <c r="BI47" s="59">
        <f ca="1">AVERAGE(OFFSET($BH$3,0,0,'Données projet'!$E$11+1,1))-AVERAGE(OFFSET($H$3,0,0,'Données projet'!$E$11+1,1))</f>
        <v>167.80254365106839</v>
      </c>
      <c r="BJ47" s="59">
        <f t="shared" si="38"/>
        <v>167.42302164950172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17.234296009552601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17.234296009552601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22</v>
      </c>
      <c r="BY47" s="12">
        <f>IF('Données projet'!$A$114&gt;35,BY46+BX47-CG46,IF(A47&lt;'Données projet'!$A$114,$BV$205^A47,IF(A47='Données projet'!$A$114,'Données projet'!$B$114,BY46+BX47-CG46)))</f>
        <v>423.99999999999994</v>
      </c>
      <c r="BZ47" s="13">
        <f>BY47*VLOOKUP('Données projet'!$B$12,Paramètres!$A$1:$I$89,3,0)*VLOOKUP('Données projet'!$B$12,Paramètres!$A$1:$I$89,5,0)</f>
        <v>209.45599999999999</v>
      </c>
      <c r="CA47" s="13">
        <f t="shared" si="39"/>
        <v>51.816690071479755</v>
      </c>
      <c r="CB47" s="20">
        <f t="shared" si="10"/>
        <v>455.04993520782722</v>
      </c>
      <c r="CC47" s="59">
        <f t="shared" si="11"/>
        <v>748.38326854116053</v>
      </c>
      <c r="CD47" s="59">
        <f ca="1">AVERAGE(OFFSET($CC$3,0,0,'Données projet'!$E$12+1,1))-AVERAGE(OFFSET($H$3,0,0,'Données projet'!$E$12+1,1))</f>
        <v>322.06606384496587</v>
      </c>
      <c r="CE47" s="59">
        <f t="shared" si="40"/>
        <v>267.71713177624713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35.535507372021137</v>
      </c>
      <c r="CL47" s="21">
        <f>EXP(-LN(2)/25)*CL46+(1-EXP(-LN(2)/25))/(LN(2)/25)*Calculateur!CG47*Calculateur!CI47*VLOOKUP('Données projet'!$B$12,Paramètres!$A$1:$I$89,3,0)*0.475*44/12</f>
        <v>13.636906604541549</v>
      </c>
      <c r="CM47" s="21">
        <f>EXP(-LN(2)/2)*CM46+(1-EXP(-LN(2)/2))/(LN(2)/2)*CG47*CJ47*VLOOKUP('Données projet'!$B$12,Paramètres!$A$1:$I$89,3,0)*0.475*44/12</f>
        <v>3.0898508821635834E-2</v>
      </c>
      <c r="CN47" s="22">
        <f t="shared" si="12"/>
        <v>49.203312485384323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12.933333333333337</v>
      </c>
      <c r="CT47" s="12">
        <f>IF('Données projet'!$A$140&gt;35,CT46+CS47-DB46,IF(A47&lt;'Données projet'!$A$140,$CQ$205^A47,IF(A47='Données projet'!$A$140,'Données projet'!$B$140,CT46+CS47-DB46)))</f>
        <v>301.26666666666671</v>
      </c>
      <c r="CU47" s="17">
        <f>CT47*VLOOKUP('Données projet'!$B$13,Paramètres!$A$1:$I$89,3,0)*VLOOKUP('Données projet'!$B$13,Paramètres!$A$1:$I$89,5,0)</f>
        <v>187.99040000000002</v>
      </c>
      <c r="CV47" s="13">
        <f t="shared" si="41"/>
        <v>47.095384246362833</v>
      </c>
      <c r="CW47" s="20">
        <f t="shared" si="13"/>
        <v>409.44107422908195</v>
      </c>
      <c r="CX47" s="59">
        <f t="shared" si="14"/>
        <v>702.77440756241526</v>
      </c>
      <c r="CY47" s="59">
        <f ca="1">AVERAGE(OFFSET($CX$3,0,0,'Données projet'!$E$13+1,1))-AVERAGE(OFFSET($H$3,0,0,'Données projet'!$E$13+1,1))</f>
        <v>269.77739619445515</v>
      </c>
      <c r="CZ47" s="59">
        <f t="shared" si="42"/>
        <v>347.56964743629885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50.820257355454864</v>
      </c>
      <c r="DG47" s="21">
        <f>EXP(-LN(2)/25)*DG46+(1-EXP(-LN(2)/25))/(LN(2)/25)*Calculateur!DB47*Calculateur!DD47*VLOOKUP('Données projet'!$B$13,Paramètres!$A$1:$I$89,3,0)*0.475*44/12</f>
        <v>62.228927312141984</v>
      </c>
      <c r="DH47" s="21">
        <f>EXP(-LN(2)/2)*DH46+(1-EXP(-LN(2)/2))/(LN(2)/2)*DB47*DE47*VLOOKUP('Données projet'!$B$13,Paramètres!$A$1:$I$89,3,0)*0.475*44/12</f>
        <v>1.940495783358348E-4</v>
      </c>
      <c r="DI47" s="22">
        <f t="shared" si="15"/>
        <v>113.04937871717519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22</v>
      </c>
      <c r="DO47" s="12">
        <f>IF('Données projet'!$A$166&gt;35,DO46+DN47-DW46,IF(A47&lt;'Données projet'!$A$166,$DL$205^A47,IF(A47='Données projet'!$A$166,'Données projet'!$B$166,DO46+DN47-DW46)))</f>
        <v>423.99999999999994</v>
      </c>
      <c r="DP47" s="17">
        <f>DO47*VLOOKUP('Données projet'!$B$14,Paramètres!$A$1:$I$89,3,0)*VLOOKUP('Données projet'!$B$14,Paramètres!$A$1:$I$89,5,0)</f>
        <v>203.94399999999996</v>
      </c>
      <c r="DQ47" s="13">
        <f t="shared" si="43"/>
        <v>50.609951979929065</v>
      </c>
      <c r="DR47" s="20">
        <f t="shared" si="16"/>
        <v>443.34813303170972</v>
      </c>
      <c r="DS47" s="59">
        <f t="shared" si="17"/>
        <v>736.68146636504298</v>
      </c>
      <c r="DT47" s="59">
        <f ca="1">AVERAGE(OFFSET($DS$3,0,0,'Données projet'!$E$14+1,1))-AVERAGE(OFFSET($H$3,0,0,'Données projet'!$E$14+1,1))</f>
        <v>312.64506496298173</v>
      </c>
      <c r="DU47" s="59">
        <f t="shared" si="44"/>
        <v>259.97532509897508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34.600362441178468</v>
      </c>
      <c r="EB47" s="21">
        <f>EXP(-LN(2)/25)*EB46+(1-EXP(-LN(2)/25))/(LN(2)/25)*Calculateur!DW47*Calculateur!DY47*VLOOKUP('Données projet'!$B$14,Paramètres!$A$1:$I$89,3,0)*0.475*44/12</f>
        <v>13.278040641264139</v>
      </c>
      <c r="EC47" s="21">
        <f>EXP(-LN(2)/2)*EC46+(1-EXP(-LN(2)/2))/(LN(2)/2)*DW47*DZ47*VLOOKUP('Données projet'!$B$14,Paramètres!$A$1:$I$89,3,0)*0.475*44/12</f>
        <v>3.0085390168434839E-2</v>
      </c>
      <c r="ED47" s="22">
        <f t="shared" si="18"/>
        <v>47.908488472611047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8.4</v>
      </c>
      <c r="EJ47" s="12">
        <f>IF('Données projet'!$A$192&gt;35,EJ46+EI47-ER46,IF(A47&lt;'Données projet'!$A$192,$EG$205^A47,IF(A47='Données projet'!$A$192,'Données projet'!$B$192,EJ46+EI47-ER46)))</f>
        <v>149.60000000000005</v>
      </c>
      <c r="EK47" s="17">
        <f>EJ47*VLOOKUP('Données projet'!$B$15,Paramètres!$A$1:$I$89,3,0)*VLOOKUP('Données projet'!$B$15,Paramètres!$A$1:$I$89,5,0)</f>
        <v>135.35808000000006</v>
      </c>
      <c r="EL47" s="13">
        <f t="shared" si="45"/>
        <v>35.231528980112834</v>
      </c>
      <c r="EM47" s="20">
        <f t="shared" si="19"/>
        <v>297.11023564036327</v>
      </c>
      <c r="EN47" s="59">
        <f t="shared" si="20"/>
        <v>590.44356897369653</v>
      </c>
      <c r="EO47" s="59">
        <f ca="1">AVERAGE(OFFSET($EN$3,0,0,'Données projet'!$E$15+1,1))-AVERAGE(OFFSET($H$3,0,0,'Données projet'!$E$15+1,1))</f>
        <v>269.64423257646359</v>
      </c>
      <c r="EP47" s="59">
        <f t="shared" si="46"/>
        <v>161.0819079811821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15.901714483101799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15.901714483101799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10.8</v>
      </c>
      <c r="FE47" s="12">
        <f>IF('Données projet'!$A$218&gt;35,FE46+FD47-FM46,IF(A47&lt;'Données projet'!$A$218,$FB$205^A47,IF(A47='Données projet'!$A$218,'Données projet'!$B$218,FE46+FD47-FM46)))</f>
        <v>252.2000000000001</v>
      </c>
      <c r="FF47" s="17">
        <f>FE47*VLOOKUP('Données projet'!$B$16,Paramètres!$A$1:$I$89,3,0)*VLOOKUP('Données projet'!$B$16,Paramètres!$A$1:$I$89,5,0)</f>
        <v>196.71600000000009</v>
      </c>
      <c r="FG47" s="13">
        <f t="shared" si="47"/>
        <v>49.021749959730052</v>
      </c>
      <c r="FH47" s="20">
        <f t="shared" si="22"/>
        <v>427.99324784652998</v>
      </c>
      <c r="FI47" s="59">
        <f t="shared" si="23"/>
        <v>721.3265811798633</v>
      </c>
      <c r="FJ47" s="59">
        <f ca="1">AVERAGE(OFFSET($FI$3,0,0,'Données projet'!$E$16+1,1))-AVERAGE(OFFSET($H$3,0,0,'Données projet'!$E$16+1,1))</f>
        <v>283.77864672734273</v>
      </c>
      <c r="FK47" s="59">
        <f t="shared" si="48"/>
        <v>270.94620935643866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19.958221707170146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19.958221707170146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9.8000000000000007</v>
      </c>
      <c r="FZ47" s="12">
        <f>IF('Données projet'!$A$244&gt;35,FZ46+FY47-GH46,IF(A47&lt;'Données projet'!$A$244,$FW$205^A47,IF(A47='Données projet'!$A$244,'Données projet'!$B$244,FZ46+FY47-GH46)))</f>
        <v>232.20000000000005</v>
      </c>
      <c r="GA47" s="17">
        <f>FZ47*VLOOKUP('Données projet'!$B$17,Paramètres!$A$1:$I$89,3,0)*VLOOKUP('Données projet'!$B$17,Paramètres!$A$1:$I$89,5,0)</f>
        <v>224.58384000000004</v>
      </c>
      <c r="GB47" s="13">
        <f t="shared" si="49"/>
        <v>55.109961845140433</v>
      </c>
      <c r="GC47" s="20">
        <f t="shared" si="25"/>
        <v>487.13337154695296</v>
      </c>
      <c r="GD47" s="59">
        <f t="shared" si="26"/>
        <v>780.46670488028622</v>
      </c>
      <c r="GE47" s="59">
        <f ca="1">AVERAGE(OFFSET($GD$3,0,0,'Données projet'!$E$17+1,1))-AVERAGE(OFFSET($H$3,0,0,'Données projet'!$E$17+1,1))</f>
        <v>347.54503437087288</v>
      </c>
      <c r="GF47" s="59">
        <f t="shared" si="50"/>
        <v>340.05673244455954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28.330640745756082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28.330640745756082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498</v>
      </c>
      <c r="L48" s="12">
        <f>VLOOKUP(A48,'Données projet'!$A$35:$I$55,9,0)</f>
        <v>24.2</v>
      </c>
      <c r="M48" s="12">
        <f t="array" ref="M48">INDEX(L:L,MIN(IF(ISNUMBER(L48:L244),ROW(L48:L244),"")))</f>
        <v>24.2</v>
      </c>
      <c r="N48" s="13">
        <f>IF('Données projet'!$A$36&gt;35,N47+M48-V47,IF(A48&lt;'Données projet'!$A$36,$K$205^A48,IF(A48='Données projet'!$A$36,'Données projet'!$B$36,N47+M48-V47)))</f>
        <v>497.99999999999989</v>
      </c>
      <c r="O48" s="13">
        <f>N48*VLOOKUP('Données projet'!$B$9,Paramètres!$A$1:$I$89,3,0)*VLOOKUP('Données projet'!$B$9,Paramètres!$A$1:$I$89,5,0)</f>
        <v>233.06399999999994</v>
      </c>
      <c r="P48" s="13">
        <f t="shared" si="33"/>
        <v>56.944678836622806</v>
      </c>
      <c r="Q48" s="20">
        <f t="shared" si="53"/>
        <v>505.09844897378457</v>
      </c>
      <c r="R48" s="59">
        <f t="shared" si="0"/>
        <v>798.43178230711783</v>
      </c>
      <c r="S48" s="59">
        <f ca="1">AVERAGE(OFFSET($R$3,0,0,'Données projet'!$E$9+1,1))-AVERAGE(OFFSET($H$3,0,0,'Données projet'!$E$9+1,1))</f>
        <v>342.49944586217674</v>
      </c>
      <c r="T48" s="59">
        <f t="shared" si="34"/>
        <v>282.29766600872563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63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58.642530542101113</v>
      </c>
      <c r="AA48" s="21">
        <f>EXP(-LN(2)/25)*AA47+(1-EXP(-LN(2)/25))/(LN(2)/25)*Calculateur!V48*Calculateur!X48*VLOOKUP('Données projet'!$B$9,Paramètres!$A$1:$I$89,3,0)*0.475*44/12</f>
        <v>26.443293485855893</v>
      </c>
      <c r="AB48" s="21">
        <f>EXP(-LN(2)/2)*AB47+(1-EXP(-LN(2)/2))/(LN(2)/2)*V48*Y48*VLOOKUP('Données projet'!$B$9,Paramètres!$A$1:$I$89,3,0)*0.475*44/12</f>
        <v>4.5737924242553022E-4</v>
      </c>
      <c r="AC48" s="22">
        <f t="shared" si="3"/>
        <v>85.086281407199422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686</v>
      </c>
      <c r="AG48" s="12">
        <f>VLOOKUP(A48,'Données projet'!$A$61:$I$81,9,0)</f>
        <v>24.8</v>
      </c>
      <c r="AH48" s="12">
        <f t="array" ref="AH48">INDEX(AG:AG,MIN(IF(ISNUMBER(AG48:AG244),ROW(AG48:AG244),"")))</f>
        <v>24.8</v>
      </c>
      <c r="AI48" s="13">
        <f>IF('Données projet'!$A$62&gt;35,AI47+AH48-AQ47,IF(A48&lt;'Données projet'!$A$62,$AF$205^A48,IF(A48='Données projet'!$A$62,'Données projet'!$B$62,AI47+AH48-AQ47)))</f>
        <v>685.99999999999966</v>
      </c>
      <c r="AJ48" s="13">
        <f>AI48*VLOOKUP('Données projet'!$B$10,Paramètres!$A$1:$I$89,3,0)*VLOOKUP('Données projet'!$B$10,Paramètres!$A$1:$I$89,5,0)</f>
        <v>383.47399999999982</v>
      </c>
      <c r="AK48" s="13">
        <f t="shared" si="35"/>
        <v>88.418089567872116</v>
      </c>
      <c r="AL48" s="20">
        <f t="shared" si="4"/>
        <v>821.87872266404372</v>
      </c>
      <c r="AM48" s="59">
        <f t="shared" si="5"/>
        <v>1115.2120559973771</v>
      </c>
      <c r="AN48" s="59">
        <f ca="1">AVERAGE(OFFSET($AM$3,0,0,'Données projet'!$E$10+1,1))-AVERAGE(OFFSET($H$3,0,0,'Données projet'!$E$10+1,1))</f>
        <v>490.96084572840579</v>
      </c>
      <c r="AO48" s="59">
        <f t="shared" si="36"/>
        <v>597.91658789908263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64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78.635897559178972</v>
      </c>
      <c r="AV48" s="21">
        <f>EXP(-LN(2)/25)*AV47+(1-EXP(-LN(2)/25))/(LN(2)/25)*Calculateur!AQ48*Calculateur!AS48*VLOOKUP('Données projet'!$B$10,Paramètres!$A$1:$I$89,3,0)*0.475*44/12</f>
        <v>38.121674761753347</v>
      </c>
      <c r="AW48" s="21">
        <f>EXP(-LN(2)/2)*AW47+(1-EXP(-LN(2)/2))/(LN(2)/2)*AQ48*AT48*VLOOKUP('Données projet'!$B$10,Paramètres!$A$1:$I$89,3,0)*0.475*44/12</f>
        <v>4.698301218026695E-3</v>
      </c>
      <c r="AX48" s="21">
        <f t="shared" si="6"/>
        <v>116.76227062215035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164</v>
      </c>
      <c r="BB48" s="12">
        <f>VLOOKUP(A48,'Données projet'!$A$87:$I$107,9,0)</f>
        <v>6.4</v>
      </c>
      <c r="BC48" s="12">
        <f t="array" ref="BC48">INDEX(BB:BB,MIN(IF(ISNUMBER(BB48:BB244),ROW(BB48:BB244),"")))</f>
        <v>6.4</v>
      </c>
      <c r="BD48" s="12">
        <f>IF('Données projet'!$A$88&gt;35,BD47+BC48-BL47,IF(A48&lt;'Données projet'!$A$88,$BA$205^A48,IF(A48='Données projet'!$A$88,'Données projet'!$B$88,BD47+BC48-BL47)))</f>
        <v>163.99999999999997</v>
      </c>
      <c r="BE48" s="13">
        <f>BD48*VLOOKUP('Données projet'!$B$11,Paramètres!$A$1:$I$89,3,0)*VLOOKUP('Données projet'!$B$11,Paramètres!$A$1:$I$89,5,0)</f>
        <v>130.47839999999999</v>
      </c>
      <c r="BF48" s="13">
        <f t="shared" si="37"/>
        <v>34.106879882626828</v>
      </c>
      <c r="BG48" s="20">
        <f t="shared" si="7"/>
        <v>286.65269579557503</v>
      </c>
      <c r="BH48" s="59">
        <f t="shared" si="8"/>
        <v>579.98602912890829</v>
      </c>
      <c r="BI48" s="59">
        <f ca="1">AVERAGE(OFFSET($BH$3,0,0,'Données projet'!$E$11+1,1))-AVERAGE(OFFSET($H$3,0,0,'Données projet'!$E$11+1,1))</f>
        <v>167.80254365106839</v>
      </c>
      <c r="BJ48" s="59">
        <f t="shared" si="38"/>
        <v>167.42302164950172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18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25.286888688632079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25.286888688632079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446</v>
      </c>
      <c r="BW48" s="12">
        <f>VLOOKUP(A48,'Données projet'!$A$113:$I$133,9,0)</f>
        <v>22</v>
      </c>
      <c r="BX48" s="12">
        <f t="array" ref="BX48">INDEX(BW:BW,MIN(IF(ISNUMBER(BW48:BW244),ROW(BW48:BW244),"")))</f>
        <v>22</v>
      </c>
      <c r="BY48" s="12">
        <f>IF('Données projet'!$A$114&gt;35,BY47+BX48-CG47,IF(A48&lt;'Données projet'!$A$114,$BV$205^A48,IF(A48='Données projet'!$A$114,'Données projet'!$B$114,BY47+BX48-CG47)))</f>
        <v>445.99999999999994</v>
      </c>
      <c r="BZ48" s="13">
        <f>BY48*VLOOKUP('Données projet'!$B$12,Paramètres!$A$1:$I$89,3,0)*VLOOKUP('Données projet'!$B$12,Paramètres!$A$1:$I$89,5,0)</f>
        <v>220.32399999999998</v>
      </c>
      <c r="CA48" s="13">
        <f t="shared" si="39"/>
        <v>54.185299487207274</v>
      </c>
      <c r="CB48" s="20">
        <f t="shared" si="10"/>
        <v>478.10369660688599</v>
      </c>
      <c r="CC48" s="59">
        <f t="shared" si="11"/>
        <v>771.4370299402193</v>
      </c>
      <c r="CD48" s="59">
        <f ca="1">AVERAGE(OFFSET($CC$3,0,0,'Données projet'!$E$12+1,1))-AVERAGE(OFFSET($H$3,0,0,'Données projet'!$E$12+1,1))</f>
        <v>322.06606384496587</v>
      </c>
      <c r="CE48" s="59">
        <f t="shared" si="40"/>
        <v>267.71713177624713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56</v>
      </c>
      <c r="CH48" s="16">
        <f>IF(ISNA(VLOOKUP(A48,'Données projet'!$A$113:$I$133,5,0)),0%,VLOOKUP(A48,'Données projet'!$A$113:$I$133,5,0)*VLOOKUP('Données projet'!$B$12,Paramètres!$A$1:$I$89,7,0))</f>
        <v>0.55000000000000004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55.022621249378808</v>
      </c>
      <c r="CL48" s="21">
        <f>EXP(-LN(2)/25)*CL47+(1-EXP(-LN(2)/25))/(LN(2)/25)*Calculateur!CG48*Calculateur!CI48*VLOOKUP('Données projet'!$B$12,Paramètres!$A$1:$I$89,3,0)*0.475*44/12</f>
        <v>13.264004676306609</v>
      </c>
      <c r="CM48" s="21">
        <f>EXP(-LN(2)/2)*CM47+(1-EXP(-LN(2)/2))/(LN(2)/2)*CG48*CJ48*VLOOKUP('Données projet'!$B$12,Paramètres!$A$1:$I$89,3,0)*0.475*44/12</f>
        <v>2.184854511633106E-2</v>
      </c>
      <c r="CN48" s="22">
        <f t="shared" si="12"/>
        <v>68.308474470801741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12.933333333333337</v>
      </c>
      <c r="CT48" s="12">
        <f>IF('Données projet'!$A$140&gt;35,CT47+CS48-DB47,IF(A48&lt;'Données projet'!$A$140,$CQ$205^A48,IF(A48='Données projet'!$A$140,'Données projet'!$B$140,CT47+CS48-DB47)))</f>
        <v>314.20000000000005</v>
      </c>
      <c r="CU48" s="17">
        <f>CT48*VLOOKUP('Données projet'!$B$13,Paramètres!$A$1:$I$89,3,0)*VLOOKUP('Données projet'!$B$13,Paramètres!$A$1:$I$89,5,0)</f>
        <v>196.0608</v>
      </c>
      <c r="CV48" s="13">
        <f t="shared" si="41"/>
        <v>48.877451065142239</v>
      </c>
      <c r="CW48" s="20">
        <f t="shared" si="13"/>
        <v>426.60078727178939</v>
      </c>
      <c r="CX48" s="59">
        <f t="shared" si="14"/>
        <v>719.93412060512264</v>
      </c>
      <c r="CY48" s="59">
        <f ca="1">AVERAGE(OFFSET($CX$3,0,0,'Données projet'!$E$13+1,1))-AVERAGE(OFFSET($H$3,0,0,'Données projet'!$E$13+1,1))</f>
        <v>269.77739619445515</v>
      </c>
      <c r="CZ48" s="59">
        <f t="shared" si="42"/>
        <v>347.56964743629885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49.823703106010655</v>
      </c>
      <c r="DG48" s="21">
        <f>EXP(-LN(2)/25)*DG47+(1-EXP(-LN(2)/25))/(LN(2)/25)*Calculateur!DB48*Calculateur!DD48*VLOOKUP('Données projet'!$B$13,Paramètres!$A$1:$I$89,3,0)*0.475*44/12</f>
        <v>60.527274022314401</v>
      </c>
      <c r="DH48" s="21">
        <f>EXP(-LN(2)/2)*DH47+(1-EXP(-LN(2)/2))/(LN(2)/2)*DB48*DE48*VLOOKUP('Données projet'!$B$13,Paramètres!$A$1:$I$89,3,0)*0.475*44/12</f>
        <v>1.3721377272765895E-4</v>
      </c>
      <c r="DI48" s="22">
        <f t="shared" si="15"/>
        <v>110.35111434209779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446</v>
      </c>
      <c r="DM48" s="12">
        <f>VLOOKUP(A48,'Données projet'!$A$165:$I$185,9,0)</f>
        <v>22</v>
      </c>
      <c r="DN48" s="12">
        <f t="array" ref="DN48">INDEX(DM:DM,MIN(IF(ISNUMBER(DM48:DM244),ROW(DM48:DM244),"")))</f>
        <v>22</v>
      </c>
      <c r="DO48" s="12">
        <f>IF('Données projet'!$A$166&gt;35,DO47+DN48-DW47,IF(A48&lt;'Données projet'!$A$166,$DL$205^A48,IF(A48='Données projet'!$A$166,'Données projet'!$B$166,DO47+DN48-DW47)))</f>
        <v>445.99999999999994</v>
      </c>
      <c r="DP48" s="17">
        <f>DO48*VLOOKUP('Données projet'!$B$14,Paramètres!$A$1:$I$89,3,0)*VLOOKUP('Données projet'!$B$14,Paramètres!$A$1:$I$89,5,0)</f>
        <v>214.52599999999998</v>
      </c>
      <c r="DQ48" s="13">
        <f t="shared" si="43"/>
        <v>52.923399801930294</v>
      </c>
      <c r="DR48" s="20">
        <f t="shared" si="16"/>
        <v>465.80770465502854</v>
      </c>
      <c r="DS48" s="59">
        <f t="shared" si="17"/>
        <v>759.14103798836186</v>
      </c>
      <c r="DT48" s="59">
        <f ca="1">AVERAGE(OFFSET($DS$3,0,0,'Données projet'!$E$14+1,1))-AVERAGE(OFFSET($H$3,0,0,'Données projet'!$E$14+1,1))</f>
        <v>312.64506496298173</v>
      </c>
      <c r="DU48" s="59">
        <f t="shared" si="44"/>
        <v>259.97532509897508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56</v>
      </c>
      <c r="DX48" s="16">
        <f>IF(ISNA(VLOOKUP(A48,'Données projet'!$A$165:$I$185,5,0)),0%,VLOOKUP(A48,'Données projet'!$A$165:$I$185,5,0)*VLOOKUP('Données projet'!$B$14,Paramètres!$A$1:$I$89,7,0))</f>
        <v>0.55000000000000004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53.574657532289876</v>
      </c>
      <c r="EB48" s="21">
        <f>EXP(-LN(2)/25)*EB47+(1-EXP(-LN(2)/25))/(LN(2)/25)*Calculateur!DW48*Calculateur!DY48*VLOOKUP('Données projet'!$B$14,Paramètres!$A$1:$I$89,3,0)*0.475*44/12</f>
        <v>12.914951921666962</v>
      </c>
      <c r="EC48" s="21">
        <f>EXP(-LN(2)/2)*EC47+(1-EXP(-LN(2)/2))/(LN(2)/2)*DW48*DZ48*VLOOKUP('Données projet'!$B$14,Paramètres!$A$1:$I$89,3,0)*0.475*44/12</f>
        <v>2.1273583402743362E-2</v>
      </c>
      <c r="ED48" s="22">
        <f t="shared" si="18"/>
        <v>66.510883037359577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158</v>
      </c>
      <c r="EH48" s="12">
        <f>VLOOKUP(A48,'Données projet'!$A$191:$I$211,9,0)</f>
        <v>8.4</v>
      </c>
      <c r="EI48" s="12">
        <f t="array" ref="EI48">INDEX(EH:EH,MIN(IF(ISNUMBER(EH48:EH244),ROW(EH48:EH244),"")))</f>
        <v>8.4</v>
      </c>
      <c r="EJ48" s="12">
        <f>IF('Données projet'!$A$192&gt;35,EJ47+EI48-ER47,IF(A48&lt;'Données projet'!$A$192,$EG$205^A48,IF(A48='Données projet'!$A$192,'Données projet'!$B$192,EJ47+EI48-ER47)))</f>
        <v>158.00000000000006</v>
      </c>
      <c r="EK48" s="17">
        <f>EJ48*VLOOKUP('Données projet'!$B$15,Paramètres!$A$1:$I$89,3,0)*VLOOKUP('Données projet'!$B$15,Paramètres!$A$1:$I$89,5,0)</f>
        <v>142.95840000000004</v>
      </c>
      <c r="EL48" s="13">
        <f t="shared" si="45"/>
        <v>36.973906370811264</v>
      </c>
      <c r="EM48" s="20">
        <f t="shared" si="19"/>
        <v>313.38210026249641</v>
      </c>
      <c r="EN48" s="59">
        <f t="shared" si="20"/>
        <v>606.71543359582972</v>
      </c>
      <c r="EO48" s="59">
        <f ca="1">AVERAGE(OFFSET($EN$3,0,0,'Données projet'!$E$15+1,1))-AVERAGE(OFFSET($H$3,0,0,'Données projet'!$E$15+1,1))</f>
        <v>269.64423257646359</v>
      </c>
      <c r="EP48" s="59">
        <f t="shared" si="46"/>
        <v>161.0819079811821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21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24.62196484377106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24.62196484377106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263</v>
      </c>
      <c r="FC48" s="12">
        <f>VLOOKUP(A48,'Données projet'!$A$217:$I$237,9,0)</f>
        <v>10.8</v>
      </c>
      <c r="FD48" s="12">
        <f t="array" ref="FD48">INDEX(FC:FC,MIN(IF(ISNUMBER(FC48:FC244),ROW(FC48:FC244),"")))</f>
        <v>10.8</v>
      </c>
      <c r="FE48" s="12">
        <f>IF('Données projet'!$A$218&gt;35,FE47+FD48-FM47,IF(A48&lt;'Données projet'!$A$218,$FB$205^A48,IF(A48='Données projet'!$A$218,'Données projet'!$B$218,FE47+FD48-FM47)))</f>
        <v>263.00000000000011</v>
      </c>
      <c r="FF48" s="17">
        <f>FE48*VLOOKUP('Données projet'!$B$16,Paramètres!$A$1:$I$89,3,0)*VLOOKUP('Données projet'!$B$16,Paramètres!$A$1:$I$89,5,0)</f>
        <v>205.1400000000001</v>
      </c>
      <c r="FG48" s="13">
        <f t="shared" si="47"/>
        <v>50.872110483472362</v>
      </c>
      <c r="FH48" s="20">
        <f t="shared" si="22"/>
        <v>445.88775909204782</v>
      </c>
      <c r="FI48" s="59">
        <f t="shared" si="23"/>
        <v>739.22109242538113</v>
      </c>
      <c r="FJ48" s="59">
        <f ca="1">AVERAGE(OFFSET($FI$3,0,0,'Données projet'!$E$16+1,1))-AVERAGE(OFFSET($H$3,0,0,'Données projet'!$E$16+1,1))</f>
        <v>283.77864672734273</v>
      </c>
      <c r="FK48" s="59">
        <f t="shared" si="48"/>
        <v>270.94620935643866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36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32.914744703438416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32.914744703438416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242</v>
      </c>
      <c r="FX48" s="12">
        <f>VLOOKUP(A48,'Données projet'!$A$243:$I$263,9,0)</f>
        <v>9.8000000000000007</v>
      </c>
      <c r="FY48" s="12">
        <f t="array" ref="FY48">INDEX(FX:FX,MIN(IF(ISNUMBER(FX48:FX244),ROW(FX48:FX244),"")))</f>
        <v>9.8000000000000007</v>
      </c>
      <c r="FZ48" s="12">
        <f>IF('Données projet'!$A$244&gt;35,FZ47+FY48-GH47,IF(A48&lt;'Données projet'!$A$244,$FW$205^A48,IF(A48='Données projet'!$A$244,'Données projet'!$B$244,FZ47+FY48-GH47)))</f>
        <v>242.00000000000006</v>
      </c>
      <c r="GA48" s="17">
        <f>FZ48*VLOOKUP('Données projet'!$B$17,Paramètres!$A$1:$I$89,3,0)*VLOOKUP('Données projet'!$B$17,Paramètres!$A$1:$I$89,5,0)</f>
        <v>234.06240000000005</v>
      </c>
      <c r="GB48" s="13">
        <f t="shared" si="49"/>
        <v>57.160170321263926</v>
      </c>
      <c r="GC48" s="20">
        <f t="shared" si="25"/>
        <v>507.21264330953471</v>
      </c>
      <c r="GD48" s="59">
        <f t="shared" si="26"/>
        <v>800.54597664286803</v>
      </c>
      <c r="GE48" s="59">
        <f ca="1">AVERAGE(OFFSET($GD$3,0,0,'Données projet'!$E$17+1,1))-AVERAGE(OFFSET($H$3,0,0,'Données projet'!$E$17+1,1))</f>
        <v>347.54503437087288</v>
      </c>
      <c r="GF48" s="59">
        <f t="shared" si="50"/>
        <v>340.05673244455954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24</v>
      </c>
      <c r="GI48" s="16">
        <f>IF(ISNA(VLOOKUP(A48,'Données projet'!$A$243:$I$263,5,0)),0%,VLOOKUP(A48,'Données projet'!$A$243:$I$263,5,0)*VLOOKUP('Données projet'!$B$17,Paramètres!$A$1:$I$89,7,0))</f>
        <v>0.43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38.809351175906066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38.809351175906066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457.79999999999984</v>
      </c>
      <c r="O49" s="13">
        <f>N49*VLOOKUP('Données projet'!$B$9,Paramètres!$A$1:$I$89,3,0)*VLOOKUP('Données projet'!$B$9,Paramètres!$A$1:$I$89,5,0)</f>
        <v>214.25039999999993</v>
      </c>
      <c r="P49" s="13">
        <f t="shared" si="33"/>
        <v>52.863319071079268</v>
      </c>
      <c r="Q49" s="20">
        <f t="shared" si="53"/>
        <v>465.22306071546291</v>
      </c>
      <c r="R49" s="59">
        <f t="shared" si="0"/>
        <v>758.55639404879616</v>
      </c>
      <c r="S49" s="59">
        <f ca="1">AVERAGE(OFFSET($R$3,0,0,'Données projet'!$E$9+1,1))-AVERAGE(OFFSET($H$3,0,0,'Données projet'!$E$9+1,1))</f>
        <v>342.49944586217674</v>
      </c>
      <c r="T49" s="59">
        <f t="shared" si="34"/>
        <v>282.29766600872563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57.492586286582302</v>
      </c>
      <c r="AA49" s="21">
        <f>EXP(-LN(2)/25)*AA48+(1-EXP(-LN(2)/25))/(LN(2)/25)*Calculateur!V49*Calculateur!X49*VLOOKUP('Données projet'!$B$9,Paramètres!$A$1:$I$89,3,0)*0.475*44/12</f>
        <v>25.720200234892797</v>
      </c>
      <c r="AB49" s="21">
        <f>EXP(-LN(2)/2)*AB48+(1-EXP(-LN(2)/2))/(LN(2)/2)*V49*Y49*VLOOKUP('Données projet'!$B$9,Paramètres!$A$1:$I$89,3,0)*0.475*44/12</f>
        <v>3.2341596389305827E-4</v>
      </c>
      <c r="AC49" s="22">
        <f t="shared" si="3"/>
        <v>83.213109937438986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20.399999999999999</v>
      </c>
      <c r="AI49" s="13">
        <f>IF('Données projet'!$A$62&gt;35,AI48+AH49-AQ48,IF(A49&lt;'Données projet'!$A$62,$AF$205^A49,IF(A49='Données projet'!$A$62,'Données projet'!$B$62,AI48+AH49-AQ48)))</f>
        <v>642.39999999999964</v>
      </c>
      <c r="AJ49" s="13">
        <f>AI49*VLOOKUP('Données projet'!$B$10,Paramètres!$A$1:$I$89,3,0)*VLOOKUP('Données projet'!$B$10,Paramètres!$A$1:$I$89,5,0)</f>
        <v>359.10159999999985</v>
      </c>
      <c r="AK49" s="13">
        <f t="shared" si="35"/>
        <v>83.433815871723468</v>
      </c>
      <c r="AL49" s="20">
        <f t="shared" si="4"/>
        <v>770.74918264325152</v>
      </c>
      <c r="AM49" s="59">
        <f t="shared" si="5"/>
        <v>1064.0825159765848</v>
      </c>
      <c r="AN49" s="59">
        <f ca="1">AVERAGE(OFFSET($AM$3,0,0,'Données projet'!$E$10+1,1))-AVERAGE(OFFSET($H$3,0,0,'Données projet'!$E$10+1,1))</f>
        <v>490.96084572840579</v>
      </c>
      <c r="AO49" s="59">
        <f t="shared" si="36"/>
        <v>597.91658789908263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77.09389557120501</v>
      </c>
      <c r="AV49" s="21">
        <f>EXP(-LN(2)/25)*AV48+(1-EXP(-LN(2)/25))/(LN(2)/25)*Calculateur!AQ49*Calculateur!AS49*VLOOKUP('Données projet'!$B$10,Paramètres!$A$1:$I$89,3,0)*0.475*44/12</f>
        <v>37.079235560661452</v>
      </c>
      <c r="AW49" s="21">
        <f>EXP(-LN(2)/2)*AW48+(1-EXP(-LN(2)/2))/(LN(2)/2)*AQ49*AT49*VLOOKUP('Données projet'!$B$10,Paramètres!$A$1:$I$89,3,0)*0.475*44/12</f>
        <v>3.322200651323692E-3</v>
      </c>
      <c r="AX49" s="21">
        <f t="shared" si="6"/>
        <v>114.17645333251778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151.59999999999997</v>
      </c>
      <c r="BE49" s="13">
        <f>BD49*VLOOKUP('Données projet'!$B$11,Paramètres!$A$1:$I$89,3,0)*VLOOKUP('Données projet'!$B$11,Paramètres!$A$1:$I$89,5,0)</f>
        <v>120.61295999999999</v>
      </c>
      <c r="BF49" s="13">
        <f t="shared" si="37"/>
        <v>31.817919727949569</v>
      </c>
      <c r="BG49" s="20">
        <f t="shared" si="7"/>
        <v>265.48378219284547</v>
      </c>
      <c r="BH49" s="59">
        <f t="shared" si="8"/>
        <v>558.81711552617878</v>
      </c>
      <c r="BI49" s="59">
        <f ca="1">AVERAGE(OFFSET($BH$3,0,0,'Données projet'!$E$11+1,1))-AVERAGE(OFFSET($H$3,0,0,'Données projet'!$E$11+1,1))</f>
        <v>167.80254365106839</v>
      </c>
      <c r="BJ49" s="59">
        <f t="shared" si="38"/>
        <v>167.42302164950172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24.79102822492716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24.79102822492716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20.8</v>
      </c>
      <c r="BY49" s="12">
        <f>IF('Données projet'!$A$114&gt;35,BY48+BX49-CG48,IF(A49&lt;'Données projet'!$A$114,$BV$205^A49,IF(A49='Données projet'!$A$114,'Données projet'!$B$114,BY48+BX49-CG48)))</f>
        <v>410.79999999999995</v>
      </c>
      <c r="BZ49" s="13">
        <f>BY49*VLOOKUP('Données projet'!$B$12,Paramètres!$A$1:$I$89,3,0)*VLOOKUP('Données projet'!$B$12,Paramètres!$A$1:$I$89,5,0)</f>
        <v>202.93519999999998</v>
      </c>
      <c r="CA49" s="13">
        <f t="shared" si="39"/>
        <v>50.388687851154245</v>
      </c>
      <c r="CB49" s="20">
        <f t="shared" si="10"/>
        <v>441.20577134076024</v>
      </c>
      <c r="CC49" s="59">
        <f t="shared" si="11"/>
        <v>734.53910467409355</v>
      </c>
      <c r="CD49" s="59">
        <f ca="1">AVERAGE(OFFSET($CC$3,0,0,'Données projet'!$E$12+1,1))-AVERAGE(OFFSET($H$3,0,0,'Données projet'!$E$12+1,1))</f>
        <v>322.06606384496587</v>
      </c>
      <c r="CE49" s="59">
        <f t="shared" si="40"/>
        <v>267.71713177624713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53.943661207163629</v>
      </c>
      <c r="CL49" s="21">
        <f>EXP(-LN(2)/25)*CL48+(1-EXP(-LN(2)/25))/(LN(2)/25)*Calculateur!CG49*Calculateur!CI49*VLOOKUP('Données projet'!$B$12,Paramètres!$A$1:$I$89,3,0)*0.475*44/12</f>
        <v>12.901299770909313</v>
      </c>
      <c r="CM49" s="21">
        <f>EXP(-LN(2)/2)*CM48+(1-EXP(-LN(2)/2))/(LN(2)/2)*CG49*CJ49*VLOOKUP('Données projet'!$B$12,Paramètres!$A$1:$I$89,3,0)*0.475*44/12</f>
        <v>1.5449254410817919E-2</v>
      </c>
      <c r="CN49" s="22">
        <f t="shared" si="12"/>
        <v>66.860410232483758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12.933333333333337</v>
      </c>
      <c r="CT49" s="12">
        <f>IF('Données projet'!$A$140&gt;35,CT48+CS49-DB48,IF(A49&lt;'Données projet'!$A$140,$CQ$205^A49,IF(A49='Données projet'!$A$140,'Données projet'!$B$140,CT48+CS49-DB48)))</f>
        <v>327.13333333333338</v>
      </c>
      <c r="CU49" s="17">
        <f>CT49*VLOOKUP('Données projet'!$B$13,Paramètres!$A$1:$I$89,3,0)*VLOOKUP('Données projet'!$B$13,Paramètres!$A$1:$I$89,5,0)</f>
        <v>204.13120000000004</v>
      </c>
      <c r="CV49" s="13">
        <f t="shared" si="41"/>
        <v>50.650997272003906</v>
      </c>
      <c r="CW49" s="20">
        <f t="shared" si="13"/>
        <v>443.74566024874019</v>
      </c>
      <c r="CX49" s="59">
        <f t="shared" si="14"/>
        <v>737.07899358207351</v>
      </c>
      <c r="CY49" s="59">
        <f ca="1">AVERAGE(OFFSET($CX$3,0,0,'Données projet'!$E$13+1,1))-AVERAGE(OFFSET($H$3,0,0,'Données projet'!$E$13+1,1))</f>
        <v>269.77739619445515</v>
      </c>
      <c r="CZ49" s="59">
        <f t="shared" si="42"/>
        <v>347.56964743629885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48.84669067755997</v>
      </c>
      <c r="DG49" s="21">
        <f>EXP(-LN(2)/25)*DG48+(1-EXP(-LN(2)/25))/(LN(2)/25)*Calculateur!DB49*Calculateur!DD49*VLOOKUP('Données projet'!$B$13,Paramètres!$A$1:$I$89,3,0)*0.475*44/12</f>
        <v>58.872152531183211</v>
      </c>
      <c r="DH49" s="21">
        <f>EXP(-LN(2)/2)*DH48+(1-EXP(-LN(2)/2))/(LN(2)/2)*DB49*DE49*VLOOKUP('Données projet'!$B$13,Paramètres!$A$1:$I$89,3,0)*0.475*44/12</f>
        <v>9.70247891679174E-5</v>
      </c>
      <c r="DI49" s="22">
        <f t="shared" si="15"/>
        <v>107.71894023353235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20.8</v>
      </c>
      <c r="DO49" s="12">
        <f>IF('Données projet'!$A$166&gt;35,DO48+DN49-DW48,IF(A49&lt;'Données projet'!$A$166,$DL$205^A49,IF(A49='Données projet'!$A$166,'Données projet'!$B$166,DO48+DN49-DW48)))</f>
        <v>410.79999999999995</v>
      </c>
      <c r="DP49" s="17">
        <f>DO49*VLOOKUP('Données projet'!$B$14,Paramètres!$A$1:$I$89,3,0)*VLOOKUP('Données projet'!$B$14,Paramètres!$A$1:$I$89,5,0)</f>
        <v>197.59479999999999</v>
      </c>
      <c r="DQ49" s="13">
        <f t="shared" si="43"/>
        <v>49.215205929993992</v>
      </c>
      <c r="DR49" s="20">
        <f t="shared" si="16"/>
        <v>429.8607603280729</v>
      </c>
      <c r="DS49" s="59">
        <f t="shared" si="17"/>
        <v>723.19409366140621</v>
      </c>
      <c r="DT49" s="59">
        <f ca="1">AVERAGE(OFFSET($DS$3,0,0,'Données projet'!$E$14+1,1))-AVERAGE(OFFSET($H$3,0,0,'Données projet'!$E$14+1,1))</f>
        <v>312.64506496298173</v>
      </c>
      <c r="DU49" s="59">
        <f t="shared" si="44"/>
        <v>259.97532509897508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52.524091175396151</v>
      </c>
      <c r="EB49" s="21">
        <f>EXP(-LN(2)/25)*EB48+(1-EXP(-LN(2)/25))/(LN(2)/25)*Calculateur!DW49*Calculateur!DY49*VLOOKUP('Données projet'!$B$14,Paramètres!$A$1:$I$89,3,0)*0.475*44/12</f>
        <v>12.561791882201174</v>
      </c>
      <c r="EC49" s="21">
        <f>EXP(-LN(2)/2)*EC48+(1-EXP(-LN(2)/2))/(LN(2)/2)*DW49*DZ49*VLOOKUP('Données projet'!$B$14,Paramètres!$A$1:$I$89,3,0)*0.475*44/12</f>
        <v>1.504269508421742E-2</v>
      </c>
      <c r="ED49" s="22">
        <f t="shared" si="18"/>
        <v>65.100925752681547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8.1999999999999993</v>
      </c>
      <c r="EJ49" s="12">
        <f>IF('Données projet'!$A$192&gt;35,EJ48+EI49-ER48,IF(A49&lt;'Données projet'!$A$192,$EG$205^A49,IF(A49='Données projet'!$A$192,'Données projet'!$B$192,EJ48+EI49-ER48)))</f>
        <v>145.20000000000005</v>
      </c>
      <c r="EK49" s="17">
        <f>EJ49*VLOOKUP('Données projet'!$B$15,Paramètres!$A$1:$I$89,3,0)*VLOOKUP('Données projet'!$B$15,Paramètres!$A$1:$I$89,5,0)</f>
        <v>131.37696000000003</v>
      </c>
      <c r="EL49" s="13">
        <f t="shared" si="45"/>
        <v>34.314338988223334</v>
      </c>
      <c r="EM49" s="20">
        <f t="shared" si="19"/>
        <v>288.57901240448905</v>
      </c>
      <c r="EN49" s="59">
        <f t="shared" si="20"/>
        <v>581.91234573782231</v>
      </c>
      <c r="EO49" s="59">
        <f ca="1">AVERAGE(OFFSET($EN$3,0,0,'Données projet'!$E$15+1,1))-AVERAGE(OFFSET($H$3,0,0,'Données projet'!$E$15+1,1))</f>
        <v>269.64423257646359</v>
      </c>
      <c r="EP49" s="59">
        <f t="shared" si="46"/>
        <v>161.0819079811821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24.139143131100369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24.139143131100369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11.2</v>
      </c>
      <c r="FE49" s="12">
        <f>IF('Données projet'!$A$218&gt;35,FE48+FD49-FM48,IF(A49&lt;'Données projet'!$A$218,$FB$205^A49,IF(A49='Données projet'!$A$218,'Données projet'!$B$218,FE48+FD49-FM48)))</f>
        <v>238.2000000000001</v>
      </c>
      <c r="FF49" s="17">
        <f>FE49*VLOOKUP('Données projet'!$B$16,Paramètres!$A$1:$I$89,3,0)*VLOOKUP('Données projet'!$B$16,Paramètres!$A$1:$I$89,5,0)</f>
        <v>185.79600000000008</v>
      </c>
      <c r="FG49" s="13">
        <f t="shared" si="47"/>
        <v>46.60930127448345</v>
      </c>
      <c r="FH49" s="20">
        <f t="shared" si="22"/>
        <v>404.7725663863921</v>
      </c>
      <c r="FI49" s="59">
        <f t="shared" si="23"/>
        <v>698.10589971972536</v>
      </c>
      <c r="FJ49" s="59">
        <f ca="1">AVERAGE(OFFSET($FI$3,0,0,'Données projet'!$E$16+1,1))-AVERAGE(OFFSET($H$3,0,0,'Données projet'!$E$16+1,1))</f>
        <v>283.77864672734273</v>
      </c>
      <c r="FK49" s="59">
        <f t="shared" si="48"/>
        <v>270.94620935643866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32.269306635815916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32.269306635815916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8.6</v>
      </c>
      <c r="FZ49" s="12">
        <f>IF('Données projet'!$A$244&gt;35,FZ48+FY49-GH48,IF(A49&lt;'Données projet'!$A$244,$FW$205^A49,IF(A49='Données projet'!$A$244,'Données projet'!$B$244,FZ48+FY49-GH48)))</f>
        <v>226.60000000000005</v>
      </c>
      <c r="GA49" s="17">
        <f>FZ49*VLOOKUP('Données projet'!$B$17,Paramètres!$A$1:$I$89,3,0)*VLOOKUP('Données projet'!$B$17,Paramètres!$A$1:$I$89,5,0)</f>
        <v>219.16752000000002</v>
      </c>
      <c r="GB49" s="13">
        <f t="shared" si="49"/>
        <v>53.933910402305209</v>
      </c>
      <c r="GC49" s="20">
        <f t="shared" si="25"/>
        <v>475.65165795068168</v>
      </c>
      <c r="GD49" s="59">
        <f t="shared" si="26"/>
        <v>768.984991284015</v>
      </c>
      <c r="GE49" s="59">
        <f ca="1">AVERAGE(OFFSET($GD$3,0,0,'Données projet'!$E$17+1,1))-AVERAGE(OFFSET($H$3,0,0,'Données projet'!$E$17+1,1))</f>
        <v>347.54503437087288</v>
      </c>
      <c r="GF49" s="59">
        <f t="shared" si="50"/>
        <v>340.05673244455954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38.048323470713413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38.048323470713413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480.59999999999985</v>
      </c>
      <c r="O50" s="13">
        <f>N50*VLOOKUP('Données projet'!$B$9,Paramètres!$A$1:$I$89,3,0)*VLOOKUP('Données projet'!$B$9,Paramètres!$A$1:$I$89,5,0)</f>
        <v>224.92079999999993</v>
      </c>
      <c r="P50" s="13">
        <f t="shared" si="33"/>
        <v>55.1830164775604</v>
      </c>
      <c r="Q50" s="20">
        <f t="shared" si="53"/>
        <v>487.84748036508421</v>
      </c>
      <c r="R50" s="59">
        <f t="shared" si="0"/>
        <v>781.18081369841752</v>
      </c>
      <c r="S50" s="59">
        <f ca="1">AVERAGE(OFFSET($R$3,0,0,'Données projet'!$E$9+1,1))-AVERAGE(OFFSET($H$3,0,0,'Données projet'!$E$9+1,1))</f>
        <v>342.49944586217674</v>
      </c>
      <c r="T50" s="59">
        <f t="shared" si="34"/>
        <v>282.29766600872563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56.365191736517481</v>
      </c>
      <c r="AA50" s="21">
        <f>EXP(-LN(2)/25)*AA49+(1-EXP(-LN(2)/25))/(LN(2)/25)*Calculateur!V50*Calculateur!X50*VLOOKUP('Données projet'!$B$9,Paramètres!$A$1:$I$89,3,0)*0.475*44/12</f>
        <v>25.016880006903108</v>
      </c>
      <c r="AB50" s="21">
        <f>EXP(-LN(2)/2)*AB49+(1-EXP(-LN(2)/2))/(LN(2)/2)*V50*Y50*VLOOKUP('Données projet'!$B$9,Paramètres!$A$1:$I$89,3,0)*0.475*44/12</f>
        <v>2.2868962121276511E-4</v>
      </c>
      <c r="AC50" s="22">
        <f t="shared" si="3"/>
        <v>81.382300433041806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20.399999999999999</v>
      </c>
      <c r="AI50" s="13">
        <f>IF('Données projet'!$A$62&gt;35,AI49+AH50-AQ49,IF(A50&lt;'Données projet'!$A$62,$AF$205^A50,IF(A50='Données projet'!$A$62,'Données projet'!$B$62,AI49+AH50-AQ49)))</f>
        <v>662.79999999999961</v>
      </c>
      <c r="AJ50" s="13">
        <f>AI50*VLOOKUP('Données projet'!$B$10,Paramètres!$A$1:$I$89,3,0)*VLOOKUP('Données projet'!$B$10,Paramètres!$A$1:$I$89,5,0)</f>
        <v>370.50519999999983</v>
      </c>
      <c r="AK50" s="13">
        <f t="shared" si="35"/>
        <v>85.770652719303072</v>
      </c>
      <c r="AL50" s="20">
        <f t="shared" si="4"/>
        <v>794.6804434861192</v>
      </c>
      <c r="AM50" s="59">
        <f t="shared" si="5"/>
        <v>1088.0137768194525</v>
      </c>
      <c r="AN50" s="59">
        <f ca="1">AVERAGE(OFFSET($AM$3,0,0,'Données projet'!$E$10+1,1))-AVERAGE(OFFSET($H$3,0,0,'Données projet'!$E$10+1,1))</f>
        <v>490.96084572840579</v>
      </c>
      <c r="AO50" s="59">
        <f t="shared" si="36"/>
        <v>597.91658789908263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75.582131301686886</v>
      </c>
      <c r="AV50" s="21">
        <f>EXP(-LN(2)/25)*AV49+(1-EXP(-LN(2)/25))/(LN(2)/25)*Calculateur!AQ50*Calculateur!AS50*VLOOKUP('Données projet'!$B$10,Paramètres!$A$1:$I$89,3,0)*0.475*44/12</f>
        <v>36.065301914342911</v>
      </c>
      <c r="AW50" s="21">
        <f>EXP(-LN(2)/2)*AW49+(1-EXP(-LN(2)/2))/(LN(2)/2)*AQ50*AT50*VLOOKUP('Données projet'!$B$10,Paramètres!$A$1:$I$89,3,0)*0.475*44/12</f>
        <v>2.3491506090133475E-3</v>
      </c>
      <c r="AX50" s="21">
        <f t="shared" si="6"/>
        <v>111.6497823666388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157.19999999999996</v>
      </c>
      <c r="BE50" s="13">
        <f>BD50*VLOOKUP('Données projet'!$B$11,Paramètres!$A$1:$I$89,3,0)*VLOOKUP('Données projet'!$B$11,Paramètres!$A$1:$I$89,5,0)</f>
        <v>125.06831999999997</v>
      </c>
      <c r="BF50" s="13">
        <f t="shared" si="37"/>
        <v>32.854240611993333</v>
      </c>
      <c r="BG50" s="20">
        <f t="shared" si="7"/>
        <v>275.04845973255499</v>
      </c>
      <c r="BH50" s="59">
        <f t="shared" si="8"/>
        <v>568.38179306588836</v>
      </c>
      <c r="BI50" s="59">
        <f ca="1">AVERAGE(OFFSET($BH$3,0,0,'Données projet'!$E$11+1,1))-AVERAGE(OFFSET($H$3,0,0,'Données projet'!$E$11+1,1))</f>
        <v>167.80254365106839</v>
      </c>
      <c r="BJ50" s="59">
        <f t="shared" si="38"/>
        <v>167.42302164950172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24.304891282470479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24.304891282470479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20.8</v>
      </c>
      <c r="BY50" s="12">
        <f>IF('Données projet'!$A$114&gt;35,BY49+BX50-CG49,IF(A50&lt;'Données projet'!$A$114,$BV$205^A50,IF(A50='Données projet'!$A$114,'Données projet'!$B$114,BY49+BX50-CG49)))</f>
        <v>431.59999999999997</v>
      </c>
      <c r="BZ50" s="13">
        <f>BY50*VLOOKUP('Données projet'!$B$12,Paramètres!$A$1:$I$89,3,0)*VLOOKUP('Données projet'!$B$12,Paramètres!$A$1:$I$89,5,0)</f>
        <v>213.21039999999999</v>
      </c>
      <c r="CA50" s="13">
        <f t="shared" si="39"/>
        <v>52.636518193907911</v>
      </c>
      <c r="CB50" s="20">
        <f t="shared" si="10"/>
        <v>463.01671585438959</v>
      </c>
      <c r="CC50" s="59">
        <f t="shared" si="11"/>
        <v>756.3500491877229</v>
      </c>
      <c r="CD50" s="59">
        <f ca="1">AVERAGE(OFFSET($CC$3,0,0,'Données projet'!$E$12+1,1))-AVERAGE(OFFSET($H$3,0,0,'Données projet'!$E$12+1,1))</f>
        <v>322.06606384496587</v>
      </c>
      <c r="CE50" s="59">
        <f t="shared" si="40"/>
        <v>267.71713177624713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52.885858913275648</v>
      </c>
      <c r="CL50" s="21">
        <f>EXP(-LN(2)/25)*CL49+(1-EXP(-LN(2)/25))/(LN(2)/25)*Calculateur!CG50*Calculateur!CI50*VLOOKUP('Données projet'!$B$12,Paramètres!$A$1:$I$89,3,0)*0.475*44/12</f>
        <v>12.54851305022393</v>
      </c>
      <c r="CM50" s="21">
        <f>EXP(-LN(2)/2)*CM49+(1-EXP(-LN(2)/2))/(LN(2)/2)*CG50*CJ50*VLOOKUP('Données projet'!$B$12,Paramètres!$A$1:$I$89,3,0)*0.475*44/12</f>
        <v>1.0924272558165532E-2</v>
      </c>
      <c r="CN50" s="22">
        <f t="shared" si="12"/>
        <v>65.445296236057743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12.933333333333337</v>
      </c>
      <c r="CT50" s="12">
        <f>IF('Données projet'!$A$140&gt;35,CT49+CS50-DB49,IF(A50&lt;'Données projet'!$A$140,$CQ$205^A50,IF(A50='Données projet'!$A$140,'Données projet'!$B$140,CT49+CS50-DB49)))</f>
        <v>340.06666666666672</v>
      </c>
      <c r="CU50" s="17">
        <f>CT50*VLOOKUP('Données projet'!$B$13,Paramètres!$A$1:$I$89,3,0)*VLOOKUP('Données projet'!$B$13,Paramètres!$A$1:$I$89,5,0)</f>
        <v>212.20160000000004</v>
      </c>
      <c r="CV50" s="13">
        <f t="shared" si="41"/>
        <v>52.416398278764817</v>
      </c>
      <c r="CW50" s="20">
        <f t="shared" si="13"/>
        <v>460.87634700218206</v>
      </c>
      <c r="CX50" s="59">
        <f t="shared" si="14"/>
        <v>754.20968033551537</v>
      </c>
      <c r="CY50" s="59">
        <f ca="1">AVERAGE(OFFSET($CX$3,0,0,'Données projet'!$E$13+1,1))-AVERAGE(OFFSET($H$3,0,0,'Données projet'!$E$13+1,1))</f>
        <v>269.77739619445515</v>
      </c>
      <c r="CZ50" s="59">
        <f t="shared" si="42"/>
        <v>347.56964743629885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47.888836866912463</v>
      </c>
      <c r="DG50" s="21">
        <f>EXP(-LN(2)/25)*DG49+(1-EXP(-LN(2)/25))/(LN(2)/25)*Calculateur!DB50*Calculateur!DD50*VLOOKUP('Données projet'!$B$13,Paramètres!$A$1:$I$89,3,0)*0.475*44/12</f>
        <v>57.262290424266055</v>
      </c>
      <c r="DH50" s="21">
        <f>EXP(-LN(2)/2)*DH49+(1-EXP(-LN(2)/2))/(LN(2)/2)*DB50*DE50*VLOOKUP('Données projet'!$B$13,Paramètres!$A$1:$I$89,3,0)*0.475*44/12</f>
        <v>6.8606886363829474E-5</v>
      </c>
      <c r="DI50" s="22">
        <f t="shared" si="15"/>
        <v>105.15119589806487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20.8</v>
      </c>
      <c r="DO50" s="12">
        <f>IF('Données projet'!$A$166&gt;35,DO49+DN50-DW49,IF(A50&lt;'Données projet'!$A$166,$DL$205^A50,IF(A50='Données projet'!$A$166,'Données projet'!$B$166,DO49+DN50-DW49)))</f>
        <v>431.59999999999997</v>
      </c>
      <c r="DP50" s="17">
        <f>DO50*VLOOKUP('Données projet'!$B$14,Paramètres!$A$1:$I$89,3,0)*VLOOKUP('Données projet'!$B$14,Paramètres!$A$1:$I$89,5,0)</f>
        <v>207.59959999999998</v>
      </c>
      <c r="DQ50" s="13">
        <f t="shared" si="43"/>
        <v>51.410687454361153</v>
      </c>
      <c r="DR50" s="20">
        <f t="shared" si="16"/>
        <v>451.10958398301227</v>
      </c>
      <c r="DS50" s="59">
        <f t="shared" si="17"/>
        <v>744.44291731634553</v>
      </c>
      <c r="DT50" s="59">
        <f ca="1">AVERAGE(OFFSET($DS$3,0,0,'Données projet'!$E$14+1,1))-AVERAGE(OFFSET($H$3,0,0,'Données projet'!$E$14+1,1))</f>
        <v>312.64506496298173</v>
      </c>
      <c r="DU50" s="59">
        <f t="shared" si="44"/>
        <v>259.97532509897508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51.494125783978902</v>
      </c>
      <c r="EB50" s="21">
        <f>EXP(-LN(2)/25)*EB49+(1-EXP(-LN(2)/25))/(LN(2)/25)*Calculateur!DW50*Calculateur!DY50*VLOOKUP('Données projet'!$B$14,Paramètres!$A$1:$I$89,3,0)*0.475*44/12</f>
        <v>12.218289022586458</v>
      </c>
      <c r="EC50" s="21">
        <f>EXP(-LN(2)/2)*EC49+(1-EXP(-LN(2)/2))/(LN(2)/2)*DW50*DZ50*VLOOKUP('Données projet'!$B$14,Paramètres!$A$1:$I$89,3,0)*0.475*44/12</f>
        <v>1.0636791701371681E-2</v>
      </c>
      <c r="ED50" s="22">
        <f t="shared" si="18"/>
        <v>63.723051598266736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8.1999999999999993</v>
      </c>
      <c r="EJ50" s="12">
        <f>IF('Données projet'!$A$192&gt;35,EJ49+EI50-ER49,IF(A50&lt;'Données projet'!$A$192,$EG$205^A50,IF(A50='Données projet'!$A$192,'Données projet'!$B$192,EJ49+EI50-ER49)))</f>
        <v>153.40000000000003</v>
      </c>
      <c r="EK50" s="17">
        <f>EJ50*VLOOKUP('Données projet'!$B$15,Paramètres!$A$1:$I$89,3,0)*VLOOKUP('Données projet'!$B$15,Paramètres!$A$1:$I$89,5,0)</f>
        <v>138.79632000000001</v>
      </c>
      <c r="EL50" s="13">
        <f t="shared" si="45"/>
        <v>36.021120886354588</v>
      </c>
      <c r="EM50" s="20">
        <f t="shared" si="19"/>
        <v>304.47370954373423</v>
      </c>
      <c r="EN50" s="59">
        <f t="shared" si="20"/>
        <v>597.80704287706749</v>
      </c>
      <c r="EO50" s="59">
        <f ca="1">AVERAGE(OFFSET($EN$3,0,0,'Données projet'!$E$15+1,1))-AVERAGE(OFFSET($H$3,0,0,'Données projet'!$E$15+1,1))</f>
        <v>269.64423257646359</v>
      </c>
      <c r="EP50" s="59">
        <f t="shared" si="46"/>
        <v>161.0819079811821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23.665789257722984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23.665789257722984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11.2</v>
      </c>
      <c r="FE50" s="12">
        <f>IF('Données projet'!$A$218&gt;35,FE49+FD50-FM49,IF(A50&lt;'Données projet'!$A$218,$FB$205^A50,IF(A50='Données projet'!$A$218,'Données projet'!$B$218,FE49+FD50-FM49)))</f>
        <v>249.40000000000009</v>
      </c>
      <c r="FF50" s="17">
        <f>FE50*VLOOKUP('Données projet'!$B$16,Paramètres!$A$1:$I$89,3,0)*VLOOKUP('Données projet'!$B$16,Paramètres!$A$1:$I$89,5,0)</f>
        <v>194.53200000000007</v>
      </c>
      <c r="FG50" s="13">
        <f t="shared" si="47"/>
        <v>48.540534952652621</v>
      </c>
      <c r="FH50" s="20">
        <f t="shared" si="22"/>
        <v>423.35133170920341</v>
      </c>
      <c r="FI50" s="59">
        <f t="shared" si="23"/>
        <v>716.68466504253672</v>
      </c>
      <c r="FJ50" s="59">
        <f ca="1">AVERAGE(OFFSET($FI$3,0,0,'Données projet'!$E$16+1,1))-AVERAGE(OFFSET($H$3,0,0,'Données projet'!$E$16+1,1))</f>
        <v>283.77864672734273</v>
      </c>
      <c r="FK50" s="59">
        <f t="shared" si="48"/>
        <v>270.94620935643866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31.636525215021145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31.636525215021145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8.6</v>
      </c>
      <c r="FZ50" s="12">
        <f>IF('Données projet'!$A$244&gt;35,FZ49+FY50-GH49,IF(A50&lt;'Données projet'!$A$244,$FW$205^A50,IF(A50='Données projet'!$A$244,'Données projet'!$B$244,FZ49+FY50-GH49)))</f>
        <v>235.20000000000005</v>
      </c>
      <c r="GA50" s="17">
        <f>FZ50*VLOOKUP('Données projet'!$B$17,Paramètres!$A$1:$I$89,3,0)*VLOOKUP('Données projet'!$B$17,Paramètres!$A$1:$I$89,5,0)</f>
        <v>227.48544000000007</v>
      </c>
      <c r="GB50" s="13">
        <f t="shared" si="49"/>
        <v>55.738627496252377</v>
      </c>
      <c r="GC50" s="20">
        <f t="shared" si="25"/>
        <v>493.281917555973</v>
      </c>
      <c r="GD50" s="59">
        <f t="shared" si="26"/>
        <v>786.61525088930625</v>
      </c>
      <c r="GE50" s="59">
        <f ca="1">AVERAGE(OFFSET($GD$3,0,0,'Données projet'!$E$17+1,1))-AVERAGE(OFFSET($H$3,0,0,'Données projet'!$E$17+1,1))</f>
        <v>347.54503437087288</v>
      </c>
      <c r="GF50" s="59">
        <f t="shared" si="50"/>
        <v>340.05673244455954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37.30221905463852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37.30221905463852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503.39999999999986</v>
      </c>
      <c r="O51" s="13">
        <f>N51*VLOOKUP('Données projet'!$B$9,Paramètres!$A$1:$I$89,3,0)*VLOOKUP('Données projet'!$B$9,Paramètres!$A$1:$I$89,5,0)</f>
        <v>235.59119999999993</v>
      </c>
      <c r="P51" s="13">
        <f t="shared" si="33"/>
        <v>57.489934530644327</v>
      </c>
      <c r="Q51" s="20">
        <f t="shared" si="53"/>
        <v>510.44964264087201</v>
      </c>
      <c r="R51" s="59">
        <f t="shared" si="0"/>
        <v>803.78297597420533</v>
      </c>
      <c r="S51" s="59">
        <f ca="1">AVERAGE(OFFSET($R$3,0,0,'Données projet'!$E$9+1,1))-AVERAGE(OFFSET($H$3,0,0,'Données projet'!$E$9+1,1))</f>
        <v>342.49944586217674</v>
      </c>
      <c r="T51" s="59">
        <f t="shared" si="34"/>
        <v>282.29766600872563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55.259904705936648</v>
      </c>
      <c r="AA51" s="21">
        <f>EXP(-LN(2)/25)*AA50+(1-EXP(-LN(2)/25))/(LN(2)/25)*Calculateur!V51*Calculateur!X51*VLOOKUP('Données projet'!$B$9,Paramètres!$A$1:$I$89,3,0)*0.475*44/12</f>
        <v>24.332792107533798</v>
      </c>
      <c r="AB51" s="21">
        <f>EXP(-LN(2)/2)*AB50+(1-EXP(-LN(2)/2))/(LN(2)/2)*V51*Y51*VLOOKUP('Données projet'!$B$9,Paramètres!$A$1:$I$89,3,0)*0.475*44/12</f>
        <v>1.6170798194652914E-4</v>
      </c>
      <c r="AC51" s="22">
        <f t="shared" si="3"/>
        <v>79.592858521452385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20.399999999999999</v>
      </c>
      <c r="AI51" s="13">
        <f>IF('Données projet'!$A$62&gt;35,AI50+AH51-AQ50,IF(A51&lt;'Données projet'!$A$62,$AF$205^A51,IF(A51='Données projet'!$A$62,'Données projet'!$B$62,AI50+AH51-AQ50)))</f>
        <v>683.19999999999959</v>
      </c>
      <c r="AJ51" s="13">
        <f>AI51*VLOOKUP('Données projet'!$B$10,Paramètres!$A$1:$I$89,3,0)*VLOOKUP('Données projet'!$B$10,Paramètres!$A$1:$I$89,5,0)</f>
        <v>381.90879999999981</v>
      </c>
      <c r="AK51" s="13">
        <f t="shared" si="35"/>
        <v>88.099131154986978</v>
      </c>
      <c r="AL51" s="20">
        <f t="shared" si="4"/>
        <v>818.59714676160195</v>
      </c>
      <c r="AM51" s="59">
        <f t="shared" si="5"/>
        <v>1111.9304800949353</v>
      </c>
      <c r="AN51" s="59">
        <f ca="1">AVERAGE(OFFSET($AM$3,0,0,'Données projet'!$E$10+1,1))-AVERAGE(OFFSET($H$3,0,0,'Données projet'!$E$10+1,1))</f>
        <v>490.96084572840579</v>
      </c>
      <c r="AO51" s="59">
        <f t="shared" si="36"/>
        <v>597.91658789908263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74.100011807408848</v>
      </c>
      <c r="AV51" s="21">
        <f>EXP(-LN(2)/25)*AV50+(1-EXP(-LN(2)/25))/(LN(2)/25)*Calculateur!AQ51*Calculateur!AS51*VLOOKUP('Données projet'!$B$10,Paramètres!$A$1:$I$89,3,0)*0.475*44/12</f>
        <v>35.079094336903403</v>
      </c>
      <c r="AW51" s="21">
        <f>EXP(-LN(2)/2)*AW50+(1-EXP(-LN(2)/2))/(LN(2)/2)*AQ51*AT51*VLOOKUP('Données projet'!$B$10,Paramètres!$A$1:$I$89,3,0)*0.475*44/12</f>
        <v>1.661100325661846E-3</v>
      </c>
      <c r="AX51" s="21">
        <f t="shared" si="6"/>
        <v>109.18076724463791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162.79999999999995</v>
      </c>
      <c r="BE51" s="13">
        <f>BD51*VLOOKUP('Données projet'!$B$11,Paramètres!$A$1:$I$89,3,0)*VLOOKUP('Données projet'!$B$11,Paramètres!$A$1:$I$89,5,0)</f>
        <v>129.52367999999996</v>
      </c>
      <c r="BF51" s="13">
        <f t="shared" si="37"/>
        <v>33.886272262901727</v>
      </c>
      <c r="BG51" s="20">
        <f t="shared" si="7"/>
        <v>284.60566685788712</v>
      </c>
      <c r="BH51" s="59">
        <f t="shared" si="8"/>
        <v>577.93900019122043</v>
      </c>
      <c r="BI51" s="59">
        <f ca="1">AVERAGE(OFFSET($BH$3,0,0,'Données projet'!$E$11+1,1))-AVERAGE(OFFSET($H$3,0,0,'Données projet'!$E$11+1,1))</f>
        <v>167.80254365106839</v>
      </c>
      <c r="BJ51" s="59">
        <f t="shared" si="38"/>
        <v>167.42302164950172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23.828287188941115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23.828287188941115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20.8</v>
      </c>
      <c r="BY51" s="12">
        <f>IF('Données projet'!$A$114&gt;35,BY50+BX51-CG50,IF(A51&lt;'Données projet'!$A$114,$BV$205^A51,IF(A51='Données projet'!$A$114,'Données projet'!$B$114,BY50+BX51-CG50)))</f>
        <v>452.4</v>
      </c>
      <c r="BZ51" s="13">
        <f>BY51*VLOOKUP('Données projet'!$B$12,Paramètres!$A$1:$I$89,3,0)*VLOOKUP('Données projet'!$B$12,Paramètres!$A$1:$I$89,5,0)</f>
        <v>223.48560000000001</v>
      </c>
      <c r="CA51" s="13">
        <f t="shared" si="39"/>
        <v>54.87176918107798</v>
      </c>
      <c r="CB51" s="20">
        <f t="shared" si="10"/>
        <v>484.80575132371069</v>
      </c>
      <c r="CC51" s="59">
        <f t="shared" si="11"/>
        <v>778.13908465704401</v>
      </c>
      <c r="CD51" s="59">
        <f ca="1">AVERAGE(OFFSET($CC$3,0,0,'Données projet'!$E$12+1,1))-AVERAGE(OFFSET($H$3,0,0,'Données projet'!$E$12+1,1))</f>
        <v>322.06606384496587</v>
      </c>
      <c r="CE51" s="59">
        <f t="shared" si="40"/>
        <v>267.71713177624713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51.848799477175113</v>
      </c>
      <c r="CL51" s="21">
        <f>EXP(-LN(2)/25)*CL50+(1-EXP(-LN(2)/25))/(LN(2)/25)*Calculateur!CG51*Calculateur!CI51*VLOOKUP('Données projet'!$B$12,Paramètres!$A$1:$I$89,3,0)*0.475*44/12</f>
        <v>12.205373300967935</v>
      </c>
      <c r="CM51" s="21">
        <f>EXP(-LN(2)/2)*CM50+(1-EXP(-LN(2)/2))/(LN(2)/2)*CG51*CJ51*VLOOKUP('Données projet'!$B$12,Paramètres!$A$1:$I$89,3,0)*0.475*44/12</f>
        <v>7.7246272054089611E-3</v>
      </c>
      <c r="CN51" s="22">
        <f t="shared" si="12"/>
        <v>64.061897405348461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353</v>
      </c>
      <c r="CR51" s="12">
        <f>VLOOKUP(A51,'Données projet'!$A$139:$I$159,9,0)</f>
        <v>12.933333333333337</v>
      </c>
      <c r="CS51" s="12">
        <f t="array" ref="CS51">INDEX(CR:CR,MIN(IF(ISNUMBER(CR51:CR247),ROW(CR51:CR247),"")))</f>
        <v>12.933333333333337</v>
      </c>
      <c r="CT51" s="12">
        <f>IF('Données projet'!$A$140&gt;35,CT50+CS51-DB50,IF(A51&lt;'Données projet'!$A$140,$CQ$205^A51,IF(A51='Données projet'!$A$140,'Données projet'!$B$140,CT50+CS51-DB50)))</f>
        <v>353.00000000000006</v>
      </c>
      <c r="CU51" s="17">
        <f>CT51*VLOOKUP('Données projet'!$B$13,Paramètres!$A$1:$I$89,3,0)*VLOOKUP('Données projet'!$B$13,Paramètres!$A$1:$I$89,5,0)</f>
        <v>220.27200000000005</v>
      </c>
      <c r="CV51" s="13">
        <f t="shared" si="41"/>
        <v>54.173999324746809</v>
      </c>
      <c r="CW51" s="20">
        <f t="shared" si="13"/>
        <v>477.99344882393416</v>
      </c>
      <c r="CX51" s="59">
        <f t="shared" si="14"/>
        <v>771.32678215726742</v>
      </c>
      <c r="CY51" s="59">
        <f ca="1">AVERAGE(OFFSET($CX$3,0,0,'Données projet'!$E$13+1,1))-AVERAGE(OFFSET($H$3,0,0,'Données projet'!$E$13+1,1))</f>
        <v>269.77739619445515</v>
      </c>
      <c r="CZ51" s="59">
        <f t="shared" si="42"/>
        <v>347.56964743629885</v>
      </c>
      <c r="DA51" s="15">
        <f>IF(ISNA(VLOOKUP(A51,'Données projet'!$A$139:$I$159,3,0)),0,VLOOKUP(A51,'Données projet'!$A$139:$I$159,3,0))</f>
        <v>7</v>
      </c>
      <c r="DB51" s="15">
        <f>IF(ISNA(VLOOKUP(A51,'Données projet'!$A$139:$I$159,4,0)),0,VLOOKUP(A51,'Données projet'!$A$139:$I$159,4,0))</f>
        <v>48.2</v>
      </c>
      <c r="DC51" s="16">
        <f>IF(ISNA(VLOOKUP(A51,'Données projet'!$A$139:$I$159,5,0)),0%,VLOOKUP(A51,'Données projet'!$A$139:$I$159,5,0)*VLOOKUP('Données projet'!$B$13,Paramètres!$A$1:$I$89,7,0))</f>
        <v>0.6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70.889054273276997</v>
      </c>
      <c r="DG51" s="21">
        <f>EXP(-LN(2)/25)*DG50+(1-EXP(-LN(2)/25))/(LN(2)/25)*Calculateur!DB51*Calculateur!DD51*VLOOKUP('Données projet'!$B$13,Paramètres!$A$1:$I$89,3,0)*0.475*44/12</f>
        <v>55.696450081321522</v>
      </c>
      <c r="DH51" s="21">
        <f>EXP(-LN(2)/2)*DH50+(1-EXP(-LN(2)/2))/(LN(2)/2)*DB51*DE51*VLOOKUP('Données projet'!$B$13,Paramètres!$A$1:$I$89,3,0)*0.475*44/12</f>
        <v>4.85123945839587E-5</v>
      </c>
      <c r="DI51" s="22">
        <f t="shared" si="15"/>
        <v>126.58555286699311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20.8</v>
      </c>
      <c r="DO51" s="12">
        <f>IF('Données projet'!$A$166&gt;35,DO50+DN51-DW50,IF(A51&lt;'Données projet'!$A$166,$DL$205^A51,IF(A51='Données projet'!$A$166,'Données projet'!$B$166,DO50+DN51-DW50)))</f>
        <v>452.4</v>
      </c>
      <c r="DP51" s="17">
        <f>DO51*VLOOKUP('Données projet'!$B$14,Paramètres!$A$1:$I$89,3,0)*VLOOKUP('Données projet'!$B$14,Paramètres!$A$1:$I$89,5,0)</f>
        <v>217.60439999999997</v>
      </c>
      <c r="DQ51" s="13">
        <f t="shared" si="43"/>
        <v>53.593882578706356</v>
      </c>
      <c r="DR51" s="20">
        <f t="shared" si="16"/>
        <v>472.33700882458015</v>
      </c>
      <c r="DS51" s="59">
        <f t="shared" si="17"/>
        <v>765.67034215791341</v>
      </c>
      <c r="DT51" s="59">
        <f ca="1">AVERAGE(OFFSET($DS$3,0,0,'Données projet'!$E$14+1,1))-AVERAGE(OFFSET($H$3,0,0,'Données projet'!$E$14+1,1))</f>
        <v>312.64506496298173</v>
      </c>
      <c r="DU51" s="59">
        <f t="shared" si="44"/>
        <v>259.97532509897508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50.484357385670492</v>
      </c>
      <c r="EB51" s="21">
        <f>EXP(-LN(2)/25)*EB50+(1-EXP(-LN(2)/25))/(LN(2)/25)*Calculateur!DW51*Calculateur!DY51*VLOOKUP('Données projet'!$B$14,Paramètres!$A$1:$I$89,3,0)*0.475*44/12</f>
        <v>11.884179266731936</v>
      </c>
      <c r="EC51" s="21">
        <f>EXP(-LN(2)/2)*EC50+(1-EXP(-LN(2)/2))/(LN(2)/2)*DW51*DZ51*VLOOKUP('Données projet'!$B$14,Paramètres!$A$1:$I$89,3,0)*0.475*44/12</f>
        <v>7.5213475421087098E-3</v>
      </c>
      <c r="ED51" s="22">
        <f t="shared" si="18"/>
        <v>62.376057999944535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8.1999999999999993</v>
      </c>
      <c r="EJ51" s="12">
        <f>IF('Données projet'!$A$192&gt;35,EJ50+EI51-ER50,IF(A51&lt;'Données projet'!$A$192,$EG$205^A51,IF(A51='Données projet'!$A$192,'Données projet'!$B$192,EJ50+EI51-ER50)))</f>
        <v>161.60000000000002</v>
      </c>
      <c r="EK51" s="17">
        <f>EJ51*VLOOKUP('Données projet'!$B$15,Paramètres!$A$1:$I$89,3,0)*VLOOKUP('Données projet'!$B$15,Paramètres!$A$1:$I$89,5,0)</f>
        <v>146.21568000000002</v>
      </c>
      <c r="EL51" s="13">
        <f t="shared" si="45"/>
        <v>37.717310552893402</v>
      </c>
      <c r="EM51" s="20">
        <f t="shared" si="19"/>
        <v>320.34995854628937</v>
      </c>
      <c r="EN51" s="59">
        <f t="shared" si="20"/>
        <v>613.68329187962263</v>
      </c>
      <c r="EO51" s="59">
        <f ca="1">AVERAGE(OFFSET($EN$3,0,0,'Données projet'!$E$15+1,1))-AVERAGE(OFFSET($H$3,0,0,'Données projet'!$E$15+1,1))</f>
        <v>269.64423257646359</v>
      </c>
      <c r="EP51" s="59">
        <f t="shared" si="46"/>
        <v>161.0819079811821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23.201717565085175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23.201717565085175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11.2</v>
      </c>
      <c r="FE51" s="12">
        <f>IF('Données projet'!$A$218&gt;35,FE50+FD51-FM50,IF(A51&lt;'Données projet'!$A$218,$FB$205^A51,IF(A51='Données projet'!$A$218,'Données projet'!$B$218,FE50+FD51-FM50)))</f>
        <v>260.60000000000008</v>
      </c>
      <c r="FF51" s="17">
        <f>FE51*VLOOKUP('Données projet'!$B$16,Paramètres!$A$1:$I$89,3,0)*VLOOKUP('Données projet'!$B$16,Paramètres!$A$1:$I$89,5,0)</f>
        <v>203.26800000000006</v>
      </c>
      <c r="FG51" s="13">
        <f t="shared" si="47"/>
        <v>50.461696323746594</v>
      </c>
      <c r="FH51" s="20">
        <f t="shared" si="22"/>
        <v>441.9125544305254</v>
      </c>
      <c r="FI51" s="59">
        <f t="shared" si="23"/>
        <v>735.24588776385872</v>
      </c>
      <c r="FJ51" s="59">
        <f ca="1">AVERAGE(OFFSET($FI$3,0,0,'Données projet'!$E$16+1,1))-AVERAGE(OFFSET($H$3,0,0,'Données projet'!$E$16+1,1))</f>
        <v>283.77864672734273</v>
      </c>
      <c r="FK51" s="59">
        <f t="shared" si="48"/>
        <v>270.94620935643866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31.016152251929601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31.016152251929601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8.6</v>
      </c>
      <c r="FZ51" s="12">
        <f>IF('Données projet'!$A$244&gt;35,FZ50+FY51-GH50,IF(A51&lt;'Données projet'!$A$244,$FW$205^A51,IF(A51='Données projet'!$A$244,'Données projet'!$B$244,FZ50+FY51-GH50)))</f>
        <v>243.80000000000004</v>
      </c>
      <c r="GA51" s="17">
        <f>FZ51*VLOOKUP('Données projet'!$B$17,Paramètres!$A$1:$I$89,3,0)*VLOOKUP('Données projet'!$B$17,Paramètres!$A$1:$I$89,5,0)</f>
        <v>235.80336000000005</v>
      </c>
      <c r="GB51" s="13">
        <f t="shared" si="49"/>
        <v>57.535678011442229</v>
      </c>
      <c r="GC51" s="20">
        <f t="shared" si="25"/>
        <v>510.89882453659533</v>
      </c>
      <c r="GD51" s="59">
        <f t="shared" si="26"/>
        <v>804.23215786992864</v>
      </c>
      <c r="GE51" s="59">
        <f ca="1">AVERAGE(OFFSET($GD$3,0,0,'Données projet'!$E$17+1,1))-AVERAGE(OFFSET($H$3,0,0,'Données projet'!$E$17+1,1))</f>
        <v>347.54503437087288</v>
      </c>
      <c r="GF51" s="59">
        <f t="shared" si="50"/>
        <v>340.05673244455954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36.570745291084101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36.570745291084101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526.19999999999982</v>
      </c>
      <c r="O52" s="13">
        <f>N52*VLOOKUP('Données projet'!$B$9,Paramètres!$A$1:$I$89,3,0)*VLOOKUP('Données projet'!$B$9,Paramètres!$A$1:$I$89,5,0)</f>
        <v>246.26159999999993</v>
      </c>
      <c r="P52" s="13">
        <f t="shared" si="33"/>
        <v>59.784718155826617</v>
      </c>
      <c r="Q52" s="20">
        <f t="shared" si="53"/>
        <v>533.03067078806453</v>
      </c>
      <c r="R52" s="59">
        <f t="shared" si="0"/>
        <v>826.36400412139778</v>
      </c>
      <c r="S52" s="59">
        <f ca="1">AVERAGE(OFFSET($R$3,0,0,'Données projet'!$E$9+1,1))-AVERAGE(OFFSET($H$3,0,0,'Données projet'!$E$9+1,1))</f>
        <v>342.49944586217674</v>
      </c>
      <c r="T52" s="59">
        <f t="shared" si="34"/>
        <v>282.29766600872563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54.176291679866985</v>
      </c>
      <c r="AA52" s="21">
        <f>EXP(-LN(2)/25)*AA51+(1-EXP(-LN(2)/25))/(LN(2)/25)*Calculateur!V52*Calculateur!X52*VLOOKUP('Données projet'!$B$9,Paramètres!$A$1:$I$89,3,0)*0.475*44/12</f>
        <v>23.667410627747362</v>
      </c>
      <c r="AB52" s="21">
        <f>EXP(-LN(2)/2)*AB51+(1-EXP(-LN(2)/2))/(LN(2)/2)*V52*Y52*VLOOKUP('Données projet'!$B$9,Paramètres!$A$1:$I$89,3,0)*0.475*44/12</f>
        <v>1.1434481060638256E-4</v>
      </c>
      <c r="AC52" s="22">
        <f t="shared" si="3"/>
        <v>77.843816652424962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20.399999999999999</v>
      </c>
      <c r="AI52" s="13">
        <f>IF('Données projet'!$A$62&gt;35,AI51+AH52-AQ51,IF(A52&lt;'Données projet'!$A$62,$AF$205^A52,IF(A52='Données projet'!$A$62,'Données projet'!$B$62,AI51+AH52-AQ51)))</f>
        <v>703.59999999999957</v>
      </c>
      <c r="AJ52" s="13">
        <f>AI52*VLOOKUP('Données projet'!$B$10,Paramètres!$A$1:$I$89,3,0)*VLOOKUP('Données projet'!$B$10,Paramètres!$A$1:$I$89,5,0)</f>
        <v>393.3123999999998</v>
      </c>
      <c r="AK52" s="13">
        <f t="shared" si="35"/>
        <v>90.419529407700907</v>
      </c>
      <c r="AL52" s="20">
        <f t="shared" si="4"/>
        <v>842.49977705174535</v>
      </c>
      <c r="AM52" s="59">
        <f t="shared" si="5"/>
        <v>1135.8331103850787</v>
      </c>
      <c r="AN52" s="59">
        <f ca="1">AVERAGE(OFFSET($AM$3,0,0,'Données projet'!$E$10+1,1))-AVERAGE(OFFSET($H$3,0,0,'Données projet'!$E$10+1,1))</f>
        <v>490.96084572840579</v>
      </c>
      <c r="AO52" s="59">
        <f t="shared" si="36"/>
        <v>597.91658789908263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72.646955772409981</v>
      </c>
      <c r="AV52" s="21">
        <f>EXP(-LN(2)/25)*AV51+(1-EXP(-LN(2)/25))/(LN(2)/25)*Calculateur!AQ52*Calculateur!AS52*VLOOKUP('Données projet'!$B$10,Paramètres!$A$1:$I$89,3,0)*0.475*44/12</f>
        <v>34.119854657531384</v>
      </c>
      <c r="AW52" s="21">
        <f>EXP(-LN(2)/2)*AW51+(1-EXP(-LN(2)/2))/(LN(2)/2)*AQ52*AT52*VLOOKUP('Données projet'!$B$10,Paramètres!$A$1:$I$89,3,0)*0.475*44/12</f>
        <v>1.1745753045066738E-3</v>
      </c>
      <c r="AX52" s="21">
        <f t="shared" si="6"/>
        <v>106.76798500524586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168.39999999999995</v>
      </c>
      <c r="BE52" s="13">
        <f>BD52*VLOOKUP('Données projet'!$B$11,Paramètres!$A$1:$I$89,3,0)*VLOOKUP('Données projet'!$B$11,Paramètres!$A$1:$I$89,5,0)</f>
        <v>133.97903999999997</v>
      </c>
      <c r="BF52" s="13">
        <f t="shared" si="37"/>
        <v>34.914179132249863</v>
      </c>
      <c r="BG52" s="20">
        <f t="shared" si="7"/>
        <v>294.15568998866848</v>
      </c>
      <c r="BH52" s="59">
        <f t="shared" si="8"/>
        <v>587.4890233220018</v>
      </c>
      <c r="BI52" s="59">
        <f ca="1">AVERAGE(OFFSET($BH$3,0,0,'Données projet'!$E$11+1,1))-AVERAGE(OFFSET($H$3,0,0,'Données projet'!$E$11+1,1))</f>
        <v>167.80254365106839</v>
      </c>
      <c r="BJ52" s="59">
        <f t="shared" si="38"/>
        <v>167.42302164950172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23.361029010986069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23.361029010986069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20.8</v>
      </c>
      <c r="BY52" s="12">
        <f>IF('Données projet'!$A$114&gt;35,BY51+BX52-CG51,IF(A52&lt;'Données projet'!$A$114,$BV$205^A52,IF(A52='Données projet'!$A$114,'Données projet'!$B$114,BY51+BX52-CG51)))</f>
        <v>473.2</v>
      </c>
      <c r="BZ52" s="13">
        <f>BY52*VLOOKUP('Données projet'!$B$12,Paramètres!$A$1:$I$89,3,0)*VLOOKUP('Données projet'!$B$12,Paramètres!$A$1:$I$89,5,0)</f>
        <v>233.76080000000002</v>
      </c>
      <c r="CA52" s="13">
        <f t="shared" si="39"/>
        <v>57.095085234466836</v>
      </c>
      <c r="CB52" s="20">
        <f t="shared" si="10"/>
        <v>506.57400011669642</v>
      </c>
      <c r="CC52" s="59">
        <f t="shared" si="11"/>
        <v>799.90733345002968</v>
      </c>
      <c r="CD52" s="59">
        <f ca="1">AVERAGE(OFFSET($CC$3,0,0,'Données projet'!$E$12+1,1))-AVERAGE(OFFSET($H$3,0,0,'Données projet'!$E$12+1,1))</f>
        <v>322.06606384496587</v>
      </c>
      <c r="CE52" s="59">
        <f t="shared" si="40"/>
        <v>267.71713177624713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50.832076144072715</v>
      </c>
      <c r="CL52" s="21">
        <f>EXP(-LN(2)/25)*CL51+(1-EXP(-LN(2)/25))/(LN(2)/25)*Calculateur!CG52*Calculateur!CI52*VLOOKUP('Données projet'!$B$12,Paramètres!$A$1:$I$89,3,0)*0.475*44/12</f>
        <v>11.87161672620028</v>
      </c>
      <c r="CM52" s="21">
        <f>EXP(-LN(2)/2)*CM51+(1-EXP(-LN(2)/2))/(LN(2)/2)*CG52*CJ52*VLOOKUP('Données projet'!$B$12,Paramètres!$A$1:$I$89,3,0)*0.475*44/12</f>
        <v>5.4621362790827667E-3</v>
      </c>
      <c r="CN52" s="22">
        <f t="shared" si="12"/>
        <v>62.709155006552081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11.533333333333331</v>
      </c>
      <c r="CT52" s="12">
        <f>IF('Données projet'!$A$140&gt;35,CT51+CS52-DB51,IF(A52&lt;'Données projet'!$A$140,$CQ$205^A52,IF(A52='Données projet'!$A$140,'Données projet'!$B$140,CT51+CS52-DB51)))</f>
        <v>316.33333333333343</v>
      </c>
      <c r="CU52" s="17">
        <f>CT52*VLOOKUP('Données projet'!$B$13,Paramètres!$A$1:$I$89,3,0)*VLOOKUP('Données projet'!$B$13,Paramètres!$A$1:$I$89,5,0)</f>
        <v>197.39200000000005</v>
      </c>
      <c r="CV52" s="13">
        <f t="shared" si="41"/>
        <v>49.170571149417825</v>
      </c>
      <c r="CW52" s="20">
        <f t="shared" si="13"/>
        <v>429.42981141856944</v>
      </c>
      <c r="CX52" s="59">
        <f t="shared" si="14"/>
        <v>722.7631447519027</v>
      </c>
      <c r="CY52" s="59">
        <f ca="1">AVERAGE(OFFSET($CX$3,0,0,'Données projet'!$E$13+1,1))-AVERAGE(OFFSET($H$3,0,0,'Données projet'!$E$13+1,1))</f>
        <v>269.77739619445515</v>
      </c>
      <c r="CZ52" s="59">
        <f t="shared" si="42"/>
        <v>347.56964743629885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69.498963157031739</v>
      </c>
      <c r="DG52" s="21">
        <f>EXP(-LN(2)/25)*DG51+(1-EXP(-LN(2)/25))/(LN(2)/25)*Calculateur!DB52*Calculateur!DD52*VLOOKUP('Données projet'!$B$13,Paramètres!$A$1:$I$89,3,0)*0.475*44/12</f>
        <v>54.173427724898772</v>
      </c>
      <c r="DH52" s="21">
        <f>EXP(-LN(2)/2)*DH51+(1-EXP(-LN(2)/2))/(LN(2)/2)*DB52*DE52*VLOOKUP('Données projet'!$B$13,Paramètres!$A$1:$I$89,3,0)*0.475*44/12</f>
        <v>3.4303443181914737E-5</v>
      </c>
      <c r="DI52" s="22">
        <f t="shared" si="15"/>
        <v>123.6724251853737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20.8</v>
      </c>
      <c r="DO52" s="12">
        <f>IF('Données projet'!$A$166&gt;35,DO51+DN52-DW51,IF(A52&lt;'Données projet'!$A$166,$DL$205^A52,IF(A52='Données projet'!$A$166,'Données projet'!$B$166,DO51+DN52-DW51)))</f>
        <v>473.2</v>
      </c>
      <c r="DP52" s="17">
        <f>DO52*VLOOKUP('Données projet'!$B$14,Paramètres!$A$1:$I$89,3,0)*VLOOKUP('Données projet'!$B$14,Paramètres!$A$1:$I$89,5,0)</f>
        <v>227.60920000000002</v>
      </c>
      <c r="DQ52" s="13">
        <f t="shared" si="43"/>
        <v>55.765420717151656</v>
      </c>
      <c r="DR52" s="20">
        <f t="shared" si="16"/>
        <v>493.54413108237253</v>
      </c>
      <c r="DS52" s="59">
        <f t="shared" si="17"/>
        <v>786.87746441570584</v>
      </c>
      <c r="DT52" s="59">
        <f ca="1">AVERAGE(OFFSET($DS$3,0,0,'Données projet'!$E$14+1,1))-AVERAGE(OFFSET($H$3,0,0,'Données projet'!$E$14+1,1))</f>
        <v>312.64506496298173</v>
      </c>
      <c r="DU52" s="59">
        <f t="shared" si="44"/>
        <v>259.97532509897508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49.494389929755002</v>
      </c>
      <c r="EB52" s="21">
        <f>EXP(-LN(2)/25)*EB51+(1-EXP(-LN(2)/25))/(LN(2)/25)*Calculateur!DW52*Calculateur!DY52*VLOOKUP('Données projet'!$B$14,Paramètres!$A$1:$I$89,3,0)*0.475*44/12</f>
        <v>11.559205759721324</v>
      </c>
      <c r="EC52" s="21">
        <f>EXP(-LN(2)/2)*EC51+(1-EXP(-LN(2)/2))/(LN(2)/2)*DW52*DZ52*VLOOKUP('Données projet'!$B$14,Paramètres!$A$1:$I$89,3,0)*0.475*44/12</f>
        <v>5.3183958506858404E-3</v>
      </c>
      <c r="ED52" s="22">
        <f t="shared" si="18"/>
        <v>61.058914085327011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8.1999999999999993</v>
      </c>
      <c r="EJ52" s="12">
        <f>IF('Données projet'!$A$192&gt;35,EJ51+EI52-ER51,IF(A52&lt;'Données projet'!$A$192,$EG$205^A52,IF(A52='Données projet'!$A$192,'Données projet'!$B$192,EJ51+EI52-ER51)))</f>
        <v>169.8</v>
      </c>
      <c r="EK52" s="17">
        <f>EJ52*VLOOKUP('Données projet'!$B$15,Paramètres!$A$1:$I$89,3,0)*VLOOKUP('Données projet'!$B$15,Paramètres!$A$1:$I$89,5,0)</f>
        <v>153.63504</v>
      </c>
      <c r="EL52" s="13">
        <f t="shared" si="45"/>
        <v>39.403506785222667</v>
      </c>
      <c r="EM52" s="20">
        <f t="shared" si="19"/>
        <v>336.20880231759617</v>
      </c>
      <c r="EN52" s="59">
        <f t="shared" si="20"/>
        <v>629.54213565092948</v>
      </c>
      <c r="EO52" s="59">
        <f ca="1">AVERAGE(OFFSET($EN$3,0,0,'Données projet'!$E$15+1,1))-AVERAGE(OFFSET($H$3,0,0,'Données projet'!$E$15+1,1))</f>
        <v>269.64423257646359</v>
      </c>
      <c r="EP52" s="59">
        <f t="shared" si="46"/>
        <v>161.0819079811821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22.746746035284211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22.746746035284211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11.2</v>
      </c>
      <c r="FE52" s="12">
        <f>IF('Données projet'!$A$218&gt;35,FE51+FD52-FM51,IF(A52&lt;'Données projet'!$A$218,$FB$205^A52,IF(A52='Données projet'!$A$218,'Données projet'!$B$218,FE51+FD52-FM51)))</f>
        <v>271.80000000000007</v>
      </c>
      <c r="FF52" s="17">
        <f>FE52*VLOOKUP('Données projet'!$B$16,Paramètres!$A$1:$I$89,3,0)*VLOOKUP('Données projet'!$B$16,Paramètres!$A$1:$I$89,5,0)</f>
        <v>212.00400000000005</v>
      </c>
      <c r="FG52" s="13">
        <f t="shared" si="47"/>
        <v>52.373267756879777</v>
      </c>
      <c r="FH52" s="20">
        <f t="shared" si="22"/>
        <v>460.45707467656558</v>
      </c>
      <c r="FI52" s="59">
        <f t="shared" si="23"/>
        <v>753.7904080098989</v>
      </c>
      <c r="FJ52" s="59">
        <f ca="1">AVERAGE(OFFSET($FI$3,0,0,'Données projet'!$E$16+1,1))-AVERAGE(OFFSET($H$3,0,0,'Données projet'!$E$16+1,1))</f>
        <v>283.77864672734273</v>
      </c>
      <c r="FK52" s="59">
        <f t="shared" si="48"/>
        <v>270.94620935643866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30.40794442425414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30.40794442425414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8.6</v>
      </c>
      <c r="FZ52" s="12">
        <f>IF('Données projet'!$A$244&gt;35,FZ51+FY52-GH51,IF(A52&lt;'Données projet'!$A$244,$FW$205^A52,IF(A52='Données projet'!$A$244,'Données projet'!$B$244,FZ51+FY52-GH51)))</f>
        <v>252.40000000000003</v>
      </c>
      <c r="GA52" s="17">
        <f>FZ52*VLOOKUP('Données projet'!$B$17,Paramètres!$A$1:$I$89,3,0)*VLOOKUP('Données projet'!$B$17,Paramètres!$A$1:$I$89,5,0)</f>
        <v>244.12128000000004</v>
      </c>
      <c r="GB52" s="13">
        <f t="shared" si="49"/>
        <v>59.325363372015651</v>
      </c>
      <c r="GC52" s="20">
        <f t="shared" si="25"/>
        <v>528.50290387292728</v>
      </c>
      <c r="GD52" s="59">
        <f t="shared" si="26"/>
        <v>821.83623720626065</v>
      </c>
      <c r="GE52" s="59">
        <f ca="1">AVERAGE(OFFSET($GD$3,0,0,'Données projet'!$E$17+1,1))-AVERAGE(OFFSET($H$3,0,0,'Données projet'!$E$17+1,1))</f>
        <v>347.54503437087288</v>
      </c>
      <c r="GF52" s="59">
        <f t="shared" si="50"/>
        <v>340.05673244455954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35.853615281878042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35.853615281878042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549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548.99999999999977</v>
      </c>
      <c r="O53" s="13">
        <f>N53*VLOOKUP('Données projet'!$B$9,Paramètres!$A$1:$I$89,3,0)*VLOOKUP('Données projet'!$B$9,Paramètres!$A$1:$I$89,5,0)</f>
        <v>256.9319999999999</v>
      </c>
      <c r="P53" s="13">
        <f t="shared" si="33"/>
        <v>62.067953229346557</v>
      </c>
      <c r="Q53" s="20">
        <f t="shared" si="53"/>
        <v>555.59158520777839</v>
      </c>
      <c r="R53" s="59">
        <f t="shared" si="0"/>
        <v>848.92491854111177</v>
      </c>
      <c r="S53" s="59">
        <f ca="1">AVERAGE(OFFSET($R$3,0,0,'Données projet'!$E$9+1,1))-AVERAGE(OFFSET($H$3,0,0,'Données projet'!$E$9+1,1))</f>
        <v>342.49944586217674</v>
      </c>
      <c r="T53" s="59">
        <f t="shared" si="34"/>
        <v>282.29766600872563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63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74.625762166598534</v>
      </c>
      <c r="AA53" s="21">
        <f>EXP(-LN(2)/25)*AA52+(1-EXP(-LN(2)/25))/(LN(2)/25)*Calculateur!V53*Calculateur!X53*VLOOKUP('Données projet'!$B$9,Paramètres!$A$1:$I$89,3,0)*0.475*44/12</f>
        <v>23.020224039516577</v>
      </c>
      <c r="AB53" s="21">
        <f>EXP(-LN(2)/2)*AB52+(1-EXP(-LN(2)/2))/(LN(2)/2)*V53*Y53*VLOOKUP('Données projet'!$B$9,Paramètres!$A$1:$I$89,3,0)*0.475*44/12</f>
        <v>8.0853990973264568E-5</v>
      </c>
      <c r="AC53" s="22">
        <f t="shared" si="3"/>
        <v>97.646067060106091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724</v>
      </c>
      <c r="AG53" s="12">
        <f>VLOOKUP(A53,'Données projet'!$A$61:$I$81,9,0)</f>
        <v>20.399999999999999</v>
      </c>
      <c r="AH53" s="12">
        <f t="array" ref="AH53">INDEX(AG:AG,MIN(IF(ISNUMBER(AG53:AG249),ROW(AG53:AG249),"")))</f>
        <v>20.399999999999999</v>
      </c>
      <c r="AI53" s="13">
        <f>IF('Données projet'!$A$62&gt;35,AI52+AH53-AQ52,IF(A53&lt;'Données projet'!$A$62,$AF$205^A53,IF(A53='Données projet'!$A$62,'Données projet'!$B$62,AI52+AH53-AQ52)))</f>
        <v>723.99999999999955</v>
      </c>
      <c r="AJ53" s="13">
        <f>AI53*VLOOKUP('Données projet'!$B$10,Paramètres!$A$1:$I$89,3,0)*VLOOKUP('Données projet'!$B$10,Paramètres!$A$1:$I$89,5,0)</f>
        <v>404.71599999999978</v>
      </c>
      <c r="AK53" s="13">
        <f t="shared" si="35"/>
        <v>92.732108655131142</v>
      </c>
      <c r="AL53" s="20">
        <f t="shared" si="4"/>
        <v>866.38878924101971</v>
      </c>
      <c r="AM53" s="59">
        <f t="shared" si="5"/>
        <v>1159.7221225743531</v>
      </c>
      <c r="AN53" s="59">
        <f ca="1">AVERAGE(OFFSET($AM$3,0,0,'Données projet'!$E$10+1,1))-AVERAGE(OFFSET($H$3,0,0,'Données projet'!$E$10+1,1))</f>
        <v>490.96084572840579</v>
      </c>
      <c r="AO53" s="59">
        <f t="shared" si="36"/>
        <v>597.91658789908263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62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96.509232273123743</v>
      </c>
      <c r="AV53" s="21">
        <f>EXP(-LN(2)/25)*AV52+(1-EXP(-LN(2)/25))/(LN(2)/25)*Calculateur!AQ53*Calculateur!AS53*VLOOKUP('Données projet'!$B$10,Paramètres!$A$1:$I$89,3,0)*0.475*44/12</f>
        <v>33.186845437636016</v>
      </c>
      <c r="AW53" s="21">
        <f>EXP(-LN(2)/2)*AW52+(1-EXP(-LN(2)/2))/(LN(2)/2)*AQ53*AT53*VLOOKUP('Données projet'!$B$10,Paramètres!$A$1:$I$89,3,0)*0.475*44/12</f>
        <v>8.30550162830923E-4</v>
      </c>
      <c r="AX53" s="21">
        <f t="shared" si="6"/>
        <v>129.69690826092258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174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173.99999999999994</v>
      </c>
      <c r="BE53" s="13">
        <f>BD53*VLOOKUP('Données projet'!$B$11,Paramètres!$A$1:$I$89,3,0)*VLOOKUP('Données projet'!$B$11,Paramètres!$A$1:$I$89,5,0)</f>
        <v>138.43439999999995</v>
      </c>
      <c r="BF53" s="13">
        <f t="shared" si="37"/>
        <v>35.938114113553581</v>
      </c>
      <c r="BG53" s="20">
        <f t="shared" si="7"/>
        <v>303.69879541443908</v>
      </c>
      <c r="BH53" s="59">
        <f t="shared" si="8"/>
        <v>597.03212874777239</v>
      </c>
      <c r="BI53" s="59">
        <f ca="1">AVERAGE(OFFSET($BH$3,0,0,'Données projet'!$E$11+1,1))-AVERAGE(OFFSET($H$3,0,0,'Données projet'!$E$11+1,1))</f>
        <v>167.80254365106839</v>
      </c>
      <c r="BJ53" s="59">
        <f t="shared" si="38"/>
        <v>167.42302164950172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13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28.962772772861076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28.962772772861076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494</v>
      </c>
      <c r="BW53" s="12">
        <f>VLOOKUP(A53,'Données projet'!$A$113:$I$133,9,0)</f>
        <v>20.8</v>
      </c>
      <c r="BX53" s="12">
        <f t="array" ref="BX53">INDEX(BW:BW,MIN(IF(ISNUMBER(BW53:BW249),ROW(BW53:BW249),"")))</f>
        <v>20.8</v>
      </c>
      <c r="BY53" s="12">
        <f>IF('Données projet'!$A$114&gt;35,BY52+BX53-CG52,IF(A53&lt;'Données projet'!$A$114,$BV$205^A53,IF(A53='Données projet'!$A$114,'Données projet'!$B$114,BY52+BX53-CG52)))</f>
        <v>494</v>
      </c>
      <c r="BZ53" s="13">
        <f>BY53*VLOOKUP('Données projet'!$B$12,Paramètres!$A$1:$I$89,3,0)*VLOOKUP('Données projet'!$B$12,Paramètres!$A$1:$I$89,5,0)</f>
        <v>244.036</v>
      </c>
      <c r="CA53" s="13">
        <f t="shared" si="39"/>
        <v>59.307050920061414</v>
      </c>
      <c r="CB53" s="20">
        <f t="shared" si="10"/>
        <v>528.32248035244027</v>
      </c>
      <c r="CC53" s="59">
        <f t="shared" si="11"/>
        <v>821.65581368577364</v>
      </c>
      <c r="CD53" s="59">
        <f ca="1">AVERAGE(OFFSET($CC$3,0,0,'Données projet'!$E$12+1,1))-AVERAGE(OFFSET($H$3,0,0,'Données projet'!$E$12+1,1))</f>
        <v>322.06606384496587</v>
      </c>
      <c r="CE53" s="59">
        <f t="shared" si="40"/>
        <v>267.71713177624713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0.55000000000000004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70.019233637796148</v>
      </c>
      <c r="CL53" s="21">
        <f>EXP(-LN(2)/25)*CL52+(1-EXP(-LN(2)/25))/(LN(2)/25)*Calculateur!CG53*Calculateur!CI53*VLOOKUP('Données projet'!$B$12,Paramètres!$A$1:$I$89,3,0)*0.475*44/12</f>
        <v>11.546986742521142</v>
      </c>
      <c r="CM53" s="21">
        <f>EXP(-LN(2)/2)*CM52+(1-EXP(-LN(2)/2))/(LN(2)/2)*CG53*CJ53*VLOOKUP('Données projet'!$B$12,Paramètres!$A$1:$I$89,3,0)*0.475*44/12</f>
        <v>3.862313602704481E-3</v>
      </c>
      <c r="CN53" s="22">
        <f t="shared" si="12"/>
        <v>81.57008269392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11.533333333333331</v>
      </c>
      <c r="CT53" s="12">
        <f>IF('Données projet'!$A$140&gt;35,CT52+CS53-DB52,IF(A53&lt;'Données projet'!$A$140,$CQ$205^A53,IF(A53='Données projet'!$A$140,'Données projet'!$B$140,CT52+CS53-DB52)))</f>
        <v>327.86666666666679</v>
      </c>
      <c r="CU53" s="17">
        <f>CT53*VLOOKUP('Données projet'!$B$13,Paramètres!$A$1:$I$89,3,0)*VLOOKUP('Données projet'!$B$13,Paramètres!$A$1:$I$89,5,0)</f>
        <v>204.58880000000008</v>
      </c>
      <c r="CV53" s="13">
        <f t="shared" si="41"/>
        <v>50.751311773101563</v>
      </c>
      <c r="CW53" s="20">
        <f t="shared" si="13"/>
        <v>444.71736133815199</v>
      </c>
      <c r="CX53" s="59">
        <f t="shared" si="14"/>
        <v>738.0506946714853</v>
      </c>
      <c r="CY53" s="59">
        <f ca="1">AVERAGE(OFFSET($CX$3,0,0,'Données projet'!$E$13+1,1))-AVERAGE(OFFSET($H$3,0,0,'Données projet'!$E$13+1,1))</f>
        <v>269.77739619445515</v>
      </c>
      <c r="CZ53" s="59">
        <f t="shared" si="42"/>
        <v>347.56964743629885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68.136130879704183</v>
      </c>
      <c r="DG53" s="21">
        <f>EXP(-LN(2)/25)*DG52+(1-EXP(-LN(2)/25))/(LN(2)/25)*Calculateur!DB53*Calculateur!DD53*VLOOKUP('Données projet'!$B$13,Paramètres!$A$1:$I$89,3,0)*0.475*44/12</f>
        <v>52.692052494904665</v>
      </c>
      <c r="DH53" s="21">
        <f>EXP(-LN(2)/2)*DH52+(1-EXP(-LN(2)/2))/(LN(2)/2)*DB53*DE53*VLOOKUP('Données projet'!$B$13,Paramètres!$A$1:$I$89,3,0)*0.475*44/12</f>
        <v>2.425619729197935E-5</v>
      </c>
      <c r="DI53" s="22">
        <f t="shared" si="15"/>
        <v>120.82820763080613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494</v>
      </c>
      <c r="DM53" s="12">
        <f>VLOOKUP(A53,'Données projet'!$A$165:$I$185,9,0)</f>
        <v>20.8</v>
      </c>
      <c r="DN53" s="12">
        <f t="array" ref="DN53">INDEX(DM:DM,MIN(IF(ISNUMBER(DM53:DM249),ROW(DM53:DM249),"")))</f>
        <v>20.8</v>
      </c>
      <c r="DO53" s="12">
        <f>IF('Données projet'!$A$166&gt;35,DO52+DN53-DW52,IF(A53&lt;'Données projet'!$A$166,$DL$205^A53,IF(A53='Données projet'!$A$166,'Données projet'!$B$166,DO52+DN53-DW52)))</f>
        <v>494</v>
      </c>
      <c r="DP53" s="17">
        <f>DO53*VLOOKUP('Données projet'!$B$14,Paramètres!$A$1:$I$89,3,0)*VLOOKUP('Données projet'!$B$14,Paramètres!$A$1:$I$89,5,0)</f>
        <v>237.614</v>
      </c>
      <c r="DQ53" s="13">
        <f t="shared" si="43"/>
        <v>57.92587282196115</v>
      </c>
      <c r="DR53" s="20">
        <f t="shared" si="16"/>
        <v>514.7319451649156</v>
      </c>
      <c r="DS53" s="59">
        <f t="shared" si="17"/>
        <v>808.06527849824897</v>
      </c>
      <c r="DT53" s="59">
        <f ca="1">AVERAGE(OFFSET($DS$3,0,0,'Données projet'!$E$14+1,1))-AVERAGE(OFFSET($H$3,0,0,'Données projet'!$E$14+1,1))</f>
        <v>312.64506496298173</v>
      </c>
      <c r="DU53" s="59">
        <f t="shared" si="44"/>
        <v>259.97532509897508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56</v>
      </c>
      <c r="DX53" s="16">
        <f>IF(ISNA(VLOOKUP(A53,'Données projet'!$A$165:$I$185,5,0)),0%,VLOOKUP(A53,'Données projet'!$A$165:$I$185,5,0)*VLOOKUP('Données projet'!$B$14,Paramètres!$A$1:$I$89,7,0))</f>
        <v>0.55000000000000004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68.176622226275185</v>
      </c>
      <c r="EB53" s="21">
        <f>EXP(-LN(2)/25)*EB52+(1-EXP(-LN(2)/25))/(LN(2)/25)*Calculateur!DW53*Calculateur!DY53*VLOOKUP('Données projet'!$B$14,Paramètres!$A$1:$I$89,3,0)*0.475*44/12</f>
        <v>11.243118670349533</v>
      </c>
      <c r="EC53" s="21">
        <f>EXP(-LN(2)/2)*EC52+(1-EXP(-LN(2)/2))/(LN(2)/2)*DW53*DZ53*VLOOKUP('Données projet'!$B$14,Paramètres!$A$1:$I$89,3,0)*0.475*44/12</f>
        <v>3.7606737710543549E-3</v>
      </c>
      <c r="ED53" s="22">
        <f t="shared" si="18"/>
        <v>79.423501570395771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178</v>
      </c>
      <c r="EH53" s="12">
        <f>VLOOKUP(A53,'Données projet'!$A$191:$I$211,9,0)</f>
        <v>8.1999999999999993</v>
      </c>
      <c r="EI53" s="12">
        <f t="array" ref="EI53">INDEX(EH:EH,MIN(IF(ISNUMBER(EH53:EH249),ROW(EH53:EH249),"")))</f>
        <v>8.1999999999999993</v>
      </c>
      <c r="EJ53" s="12">
        <f>IF('Données projet'!$A$192&gt;35,EJ52+EI53-ER52,IF(A53&lt;'Données projet'!$A$192,$EG$205^A53,IF(A53='Données projet'!$A$192,'Données projet'!$B$192,EJ52+EI53-ER52)))</f>
        <v>178</v>
      </c>
      <c r="EK53" s="17">
        <f>EJ53*VLOOKUP('Données projet'!$B$15,Paramètres!$A$1:$I$89,3,0)*VLOOKUP('Données projet'!$B$15,Paramètres!$A$1:$I$89,5,0)</f>
        <v>161.05439999999999</v>
      </c>
      <c r="EL53" s="13">
        <f t="shared" si="45"/>
        <v>41.080247278685491</v>
      </c>
      <c r="EM53" s="20">
        <f t="shared" si="19"/>
        <v>352.05117734371055</v>
      </c>
      <c r="EN53" s="59">
        <f t="shared" si="20"/>
        <v>645.38451067704386</v>
      </c>
      <c r="EO53" s="59">
        <f ca="1">AVERAGE(OFFSET($EN$3,0,0,'Données projet'!$E$15+1,1))-AVERAGE(OFFSET($H$3,0,0,'Données projet'!$E$15+1,1))</f>
        <v>269.64423257646359</v>
      </c>
      <c r="EP53" s="59">
        <f t="shared" si="46"/>
        <v>161.0819079811821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21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31.332769502272171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31.332769502272171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283</v>
      </c>
      <c r="FC53" s="12">
        <f>VLOOKUP(A53,'Données projet'!$A$217:$I$237,9,0)</f>
        <v>11.2</v>
      </c>
      <c r="FD53" s="12">
        <f t="array" ref="FD53">INDEX(FC:FC,MIN(IF(ISNUMBER(FC53:FC249),ROW(FC53:FC249),"")))</f>
        <v>11.2</v>
      </c>
      <c r="FE53" s="12">
        <f>IF('Données projet'!$A$218&gt;35,FE52+FD53-FM52,IF(A53&lt;'Données projet'!$A$218,$FB$205^A53,IF(A53='Données projet'!$A$218,'Données projet'!$B$218,FE52+FD53-FM52)))</f>
        <v>283.00000000000006</v>
      </c>
      <c r="FF53" s="17">
        <f>FE53*VLOOKUP('Données projet'!$B$16,Paramètres!$A$1:$I$89,3,0)*VLOOKUP('Données projet'!$B$16,Paramètres!$A$1:$I$89,5,0)</f>
        <v>220.74000000000007</v>
      </c>
      <c r="FG53" s="13">
        <f t="shared" si="47"/>
        <v>54.275689618029304</v>
      </c>
      <c r="FH53" s="20">
        <f t="shared" si="22"/>
        <v>478.98565941806777</v>
      </c>
      <c r="FI53" s="59">
        <f t="shared" si="23"/>
        <v>772.31899275140108</v>
      </c>
      <c r="FJ53" s="59">
        <f ca="1">AVERAGE(OFFSET($FI$3,0,0,'Données projet'!$E$16+1,1))-AVERAGE(OFFSET($H$3,0,0,'Données projet'!$E$16+1,1))</f>
        <v>283.77864672734273</v>
      </c>
      <c r="FK53" s="59">
        <f t="shared" si="48"/>
        <v>270.94620935643866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35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42.788779966446555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42.788779966446555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261</v>
      </c>
      <c r="FX53" s="12">
        <f>VLOOKUP(A53,'Données projet'!$A$243:$I$263,9,0)</f>
        <v>8.6</v>
      </c>
      <c r="FY53" s="12">
        <f t="array" ref="FY53">INDEX(FX:FX,MIN(IF(ISNUMBER(FX53:FX249),ROW(FX53:FX249),"")))</f>
        <v>8.6</v>
      </c>
      <c r="FZ53" s="12">
        <f>IF('Données projet'!$A$244&gt;35,FZ52+FY53-GH52,IF(A53&lt;'Données projet'!$A$244,$FW$205^A53,IF(A53='Données projet'!$A$244,'Données projet'!$B$244,FZ52+FY53-GH52)))</f>
        <v>261.00000000000006</v>
      </c>
      <c r="GA53" s="17">
        <f>FZ53*VLOOKUP('Données projet'!$B$17,Paramètres!$A$1:$I$89,3,0)*VLOOKUP('Données projet'!$B$17,Paramètres!$A$1:$I$89,5,0)</f>
        <v>252.43920000000006</v>
      </c>
      <c r="GB53" s="13">
        <f t="shared" si="49"/>
        <v>61.107963296116274</v>
      </c>
      <c r="GC53" s="20">
        <f t="shared" si="25"/>
        <v>546.09464274073594</v>
      </c>
      <c r="GD53" s="59">
        <f t="shared" si="26"/>
        <v>839.42797607406919</v>
      </c>
      <c r="GE53" s="59">
        <f ca="1">AVERAGE(OFFSET($GD$3,0,0,'Données projet'!$E$17+1,1))-AVERAGE(OFFSET($H$3,0,0,'Données projet'!$E$17+1,1))</f>
        <v>347.54503437087288</v>
      </c>
      <c r="GF53" s="59">
        <f t="shared" si="50"/>
        <v>340.05673244455954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19</v>
      </c>
      <c r="GI53" s="16">
        <f>IF(ISNA(VLOOKUP(A53,'Données projet'!$A$243:$I$263,5,0)),0%,VLOOKUP(A53,'Données projet'!$A$243:$I$263,5,0)*VLOOKUP('Données projet'!$B$17,Paramètres!$A$1:$I$89,7,0))</f>
        <v>0.43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43.886001225104877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43.886001225104877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21.6</v>
      </c>
      <c r="N54" s="13">
        <f>IF('Données projet'!$A$36&gt;35,N53+M54-V53,IF(A54&lt;'Données projet'!$A$36,$K$205^A54,IF(A54='Données projet'!$A$36,'Données projet'!$B$36,N53+M54-V53)))</f>
        <v>507.5999999999998</v>
      </c>
      <c r="O54" s="13">
        <f>N54*VLOOKUP('Données projet'!$B$9,Paramètres!$A$1:$I$89,3,0)*VLOOKUP('Données projet'!$B$9,Paramètres!$A$1:$I$89,5,0)</f>
        <v>237.55679999999992</v>
      </c>
      <c r="P54" s="13">
        <f t="shared" si="33"/>
        <v>57.913551469467308</v>
      </c>
      <c r="Q54" s="20">
        <f t="shared" si="53"/>
        <v>514.61086214265538</v>
      </c>
      <c r="R54" s="59">
        <f t="shared" si="0"/>
        <v>807.94419547598864</v>
      </c>
      <c r="S54" s="59">
        <f ca="1">AVERAGE(OFFSET($R$3,0,0,'Données projet'!$E$9+1,1))-AVERAGE(OFFSET($H$3,0,0,'Données projet'!$E$9+1,1))</f>
        <v>342.49944586217674</v>
      </c>
      <c r="T54" s="59">
        <f t="shared" si="34"/>
        <v>282.29766600872563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73.162396487732011</v>
      </c>
      <c r="AA54" s="21">
        <f>EXP(-LN(2)/25)*AA53+(1-EXP(-LN(2)/25))/(LN(2)/25)*Calculateur!V54*Calculateur!X54*VLOOKUP('Données projet'!$B$9,Paramètres!$A$1:$I$89,3,0)*0.475*44/12</f>
        <v>22.390734802575029</v>
      </c>
      <c r="AB54" s="21">
        <f>EXP(-LN(2)/2)*AB53+(1-EXP(-LN(2)/2))/(LN(2)/2)*V54*Y54*VLOOKUP('Données projet'!$B$9,Paramètres!$A$1:$I$89,3,0)*0.475*44/12</f>
        <v>5.7172405303191278E-5</v>
      </c>
      <c r="AC54" s="22">
        <f t="shared" si="3"/>
        <v>95.553188462712342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15.4</v>
      </c>
      <c r="AI54" s="13">
        <f>IF('Données projet'!$A$62&gt;35,AI53+AH54-AQ53,IF(A54&lt;'Données projet'!$A$62,$AF$205^A54,IF(A54='Données projet'!$A$62,'Données projet'!$B$62,AI53+AH54-AQ53)))</f>
        <v>677.39999999999952</v>
      </c>
      <c r="AJ54" s="13">
        <f>AI54*VLOOKUP('Données projet'!$B$10,Paramètres!$A$1:$I$89,3,0)*VLOOKUP('Données projet'!$B$10,Paramètres!$A$1:$I$89,5,0)</f>
        <v>378.66659999999979</v>
      </c>
      <c r="AK54" s="13">
        <f t="shared" si="35"/>
        <v>87.437946637883755</v>
      </c>
      <c r="AL54" s="20">
        <f t="shared" si="4"/>
        <v>811.79875206098052</v>
      </c>
      <c r="AM54" s="59">
        <f t="shared" si="5"/>
        <v>1105.1320853943139</v>
      </c>
      <c r="AN54" s="59">
        <f ca="1">AVERAGE(OFFSET($AM$3,0,0,'Données projet'!$E$10+1,1))-AVERAGE(OFFSET($H$3,0,0,'Données projet'!$E$10+1,1))</f>
        <v>490.96084572840579</v>
      </c>
      <c r="AO54" s="59">
        <f t="shared" si="36"/>
        <v>597.91658789908263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94.616745093067053</v>
      </c>
      <c r="AV54" s="21">
        <f>EXP(-LN(2)/25)*AV53+(1-EXP(-LN(2)/25))/(LN(2)/25)*Calculateur!AQ54*Calculateur!AS54*VLOOKUP('Données projet'!$B$10,Paramètres!$A$1:$I$89,3,0)*0.475*44/12</f>
        <v>32.279349403923504</v>
      </c>
      <c r="AW54" s="21">
        <f>EXP(-LN(2)/2)*AW53+(1-EXP(-LN(2)/2))/(LN(2)/2)*AQ54*AT54*VLOOKUP('Données projet'!$B$10,Paramètres!$A$1:$I$89,3,0)*0.475*44/12</f>
        <v>5.8728765225333688E-4</v>
      </c>
      <c r="AX54" s="21">
        <f t="shared" si="6"/>
        <v>126.89668178464281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4.8</v>
      </c>
      <c r="BD54" s="12">
        <f>IF('Données projet'!$A$88&gt;35,BD53+BC54-BL53,IF(A54&lt;'Données projet'!$A$88,$BA$205^A54,IF(A54='Données projet'!$A$88,'Données projet'!$B$88,BD53+BC54-BL53)))</f>
        <v>165.79999999999995</v>
      </c>
      <c r="BE54" s="13">
        <f>BD54*VLOOKUP('Données projet'!$B$11,Paramètres!$A$1:$I$89,3,0)*VLOOKUP('Données projet'!$B$11,Paramètres!$A$1:$I$89,5,0)</f>
        <v>131.91047999999998</v>
      </c>
      <c r="BF54" s="13">
        <f t="shared" si="37"/>
        <v>34.437439635950163</v>
      </c>
      <c r="BG54" s="20">
        <f t="shared" si="7"/>
        <v>289.72262669927983</v>
      </c>
      <c r="BH54" s="59">
        <f t="shared" si="8"/>
        <v>583.05596003261314</v>
      </c>
      <c r="BI54" s="59">
        <f ca="1">AVERAGE(OFFSET($BH$3,0,0,'Données projet'!$E$11+1,1))-AVERAGE(OFFSET($H$3,0,0,'Données projet'!$E$11+1,1))</f>
        <v>167.80254365106839</v>
      </c>
      <c r="BJ54" s="59">
        <f t="shared" si="38"/>
        <v>167.42302164950172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28.394830464332333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28.394830464332333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19.8</v>
      </c>
      <c r="BY54" s="12">
        <f>IF('Données projet'!$A$114&gt;35,BY53+BX54-CG53,IF(A54&lt;'Données projet'!$A$114,$BV$205^A54,IF(A54='Données projet'!$A$114,'Données projet'!$B$114,BY53+BX54-CG53)))</f>
        <v>457.79999999999995</v>
      </c>
      <c r="BZ54" s="13">
        <f>BY54*VLOOKUP('Données projet'!$B$12,Paramètres!$A$1:$I$89,3,0)*VLOOKUP('Données projet'!$B$12,Paramètres!$A$1:$I$89,5,0)</f>
        <v>226.1532</v>
      </c>
      <c r="CA54" s="13">
        <f t="shared" si="39"/>
        <v>55.450098699178824</v>
      </c>
      <c r="CB54" s="20">
        <f t="shared" si="10"/>
        <v>490.45907856773647</v>
      </c>
      <c r="CC54" s="59">
        <f t="shared" si="11"/>
        <v>783.79241190106973</v>
      </c>
      <c r="CD54" s="59">
        <f ca="1">AVERAGE(OFFSET($CC$3,0,0,'Données projet'!$E$12+1,1))-AVERAGE(OFFSET($H$3,0,0,'Données projet'!$E$12+1,1))</f>
        <v>322.06606384496587</v>
      </c>
      <c r="CE54" s="59">
        <f t="shared" si="40"/>
        <v>267.71713177624713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68.646199173674461</v>
      </c>
      <c r="CL54" s="21">
        <f>EXP(-LN(2)/25)*CL53+(1-EXP(-LN(2)/25))/(LN(2)/25)*Calculateur!CG54*Calculateur!CI54*VLOOKUP('Données projet'!$B$12,Paramètres!$A$1:$I$89,3,0)*0.475*44/12</f>
        <v>11.231233782817259</v>
      </c>
      <c r="CM54" s="21">
        <f>EXP(-LN(2)/2)*CM53+(1-EXP(-LN(2)/2))/(LN(2)/2)*CG54*CJ54*VLOOKUP('Données projet'!$B$12,Paramètres!$A$1:$I$89,3,0)*0.475*44/12</f>
        <v>2.7310681395413838E-3</v>
      </c>
      <c r="CN54" s="22">
        <f t="shared" si="12"/>
        <v>79.880164024631256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11.533333333333331</v>
      </c>
      <c r="CT54" s="12">
        <f>IF('Données projet'!$A$140&gt;35,CT53+CS54-DB53,IF(A54&lt;'Données projet'!$A$140,$CQ$205^A54,IF(A54='Données projet'!$A$140,'Données projet'!$B$140,CT53+CS54-DB53)))</f>
        <v>339.40000000000009</v>
      </c>
      <c r="CU54" s="17">
        <f>CT54*VLOOKUP('Données projet'!$B$13,Paramètres!$A$1:$I$89,3,0)*VLOOKUP('Données projet'!$B$13,Paramètres!$A$1:$I$89,5,0)</f>
        <v>211.78560000000004</v>
      </c>
      <c r="CV54" s="13">
        <f t="shared" si="41"/>
        <v>52.325591735507324</v>
      </c>
      <c r="CW54" s="20">
        <f t="shared" si="13"/>
        <v>459.99365893934191</v>
      </c>
      <c r="CX54" s="59">
        <f t="shared" si="14"/>
        <v>753.32699227267517</v>
      </c>
      <c r="CY54" s="59">
        <f ca="1">AVERAGE(OFFSET($CX$3,0,0,'Données projet'!$E$13+1,1))-AVERAGE(OFFSET($H$3,0,0,'Données projet'!$E$13+1,1))</f>
        <v>269.77739619445515</v>
      </c>
      <c r="CZ54" s="59">
        <f t="shared" si="42"/>
        <v>347.56964743629885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66.800022912089418</v>
      </c>
      <c r="DG54" s="21">
        <f>EXP(-LN(2)/25)*DG53+(1-EXP(-LN(2)/25))/(LN(2)/25)*Calculateur!DB54*Calculateur!DD54*VLOOKUP('Données projet'!$B$13,Paramètres!$A$1:$I$89,3,0)*0.475*44/12</f>
        <v>51.251185548476883</v>
      </c>
      <c r="DH54" s="21">
        <f>EXP(-LN(2)/2)*DH53+(1-EXP(-LN(2)/2))/(LN(2)/2)*DB54*DE54*VLOOKUP('Données projet'!$B$13,Paramètres!$A$1:$I$89,3,0)*0.475*44/12</f>
        <v>1.7151721590957369E-5</v>
      </c>
      <c r="DI54" s="22">
        <f t="shared" si="15"/>
        <v>118.05122561228789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19.8</v>
      </c>
      <c r="DO54" s="12">
        <f>IF('Données projet'!$A$166&gt;35,DO53+DN54-DW53,IF(A54&lt;'Données projet'!$A$166,$DL$205^A54,IF(A54='Données projet'!$A$166,'Données projet'!$B$166,DO53+DN54-DW53)))</f>
        <v>457.79999999999995</v>
      </c>
      <c r="DP54" s="17">
        <f>DO54*VLOOKUP('Données projet'!$B$14,Paramètres!$A$1:$I$89,3,0)*VLOOKUP('Données projet'!$B$14,Paramètres!$A$1:$I$89,5,0)</f>
        <v>220.20179999999996</v>
      </c>
      <c r="DQ54" s="13">
        <f t="shared" si="43"/>
        <v>54.158743612849761</v>
      </c>
      <c r="DR54" s="20">
        <f t="shared" si="16"/>
        <v>477.84461345904657</v>
      </c>
      <c r="DS54" s="59">
        <f t="shared" si="17"/>
        <v>771.17794679237988</v>
      </c>
      <c r="DT54" s="59">
        <f ca="1">AVERAGE(OFFSET($DS$3,0,0,'Données projet'!$E$14+1,1))-AVERAGE(OFFSET($H$3,0,0,'Données projet'!$E$14+1,1))</f>
        <v>312.64506496298173</v>
      </c>
      <c r="DU54" s="59">
        <f t="shared" si="44"/>
        <v>259.97532509897508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66.839720248051449</v>
      </c>
      <c r="EB54" s="21">
        <f>EXP(-LN(2)/25)*EB53+(1-EXP(-LN(2)/25))/(LN(2)/25)*Calculateur!DW54*Calculateur!DY54*VLOOKUP('Données projet'!$B$14,Paramètres!$A$1:$I$89,3,0)*0.475*44/12</f>
        <v>10.935674999058911</v>
      </c>
      <c r="EC54" s="21">
        <f>EXP(-LN(2)/2)*EC53+(1-EXP(-LN(2)/2))/(LN(2)/2)*DW54*DZ54*VLOOKUP('Données projet'!$B$14,Paramètres!$A$1:$I$89,3,0)*0.475*44/12</f>
        <v>2.6591979253429202E-3</v>
      </c>
      <c r="ED54" s="22">
        <f t="shared" si="18"/>
        <v>77.778054445035707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</v>
      </c>
      <c r="EJ54" s="12">
        <f>IF('Données projet'!$A$192&gt;35,EJ53+EI54-ER53,IF(A54&lt;'Données projet'!$A$192,$EG$205^A54,IF(A54='Données projet'!$A$192,'Données projet'!$B$192,EJ53+EI54-ER53)))</f>
        <v>165</v>
      </c>
      <c r="EK54" s="17">
        <f>EJ54*VLOOKUP('Données projet'!$B$15,Paramètres!$A$1:$I$89,3,0)*VLOOKUP('Données projet'!$B$15,Paramètres!$A$1:$I$89,5,0)</f>
        <v>149.29199999999997</v>
      </c>
      <c r="EL54" s="13">
        <f t="shared" si="45"/>
        <v>38.417645803815411</v>
      </c>
      <c r="EM54" s="20">
        <f t="shared" si="19"/>
        <v>326.9276331083118</v>
      </c>
      <c r="EN54" s="59">
        <f t="shared" si="20"/>
        <v>620.26096644164511</v>
      </c>
      <c r="EO54" s="59">
        <f ca="1">AVERAGE(OFFSET($EN$3,0,0,'Données projet'!$E$15+1,1))-AVERAGE(OFFSET($H$3,0,0,'Données projet'!$E$15+1,1))</f>
        <v>269.64423257646359</v>
      </c>
      <c r="EP54" s="59">
        <f t="shared" si="46"/>
        <v>161.0819079811821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30.718353003434945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30.718353003434945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9.8000000000000007</v>
      </c>
      <c r="FE54" s="12">
        <f>IF('Données projet'!$A$218&gt;35,FE53+FD54-FM53,IF(A54&lt;'Données projet'!$A$218,$FB$205^A54,IF(A54='Données projet'!$A$218,'Données projet'!$B$218,FE53+FD54-FM53)))</f>
        <v>257.80000000000007</v>
      </c>
      <c r="FF54" s="17">
        <f>FE54*VLOOKUP('Données projet'!$B$16,Paramètres!$A$1:$I$89,3,0)*VLOOKUP('Données projet'!$B$16,Paramètres!$A$1:$I$89,5,0)</f>
        <v>201.08400000000006</v>
      </c>
      <c r="FG54" s="13">
        <f t="shared" si="47"/>
        <v>49.982323118757684</v>
      </c>
      <c r="FH54" s="20">
        <f t="shared" si="22"/>
        <v>437.27384609850304</v>
      </c>
      <c r="FI54" s="59">
        <f t="shared" si="23"/>
        <v>730.60717943183636</v>
      </c>
      <c r="FJ54" s="59">
        <f ca="1">AVERAGE(OFFSET($FI$3,0,0,'Données projet'!$E$16+1,1))-AVERAGE(OFFSET($H$3,0,0,'Données projet'!$E$16+1,1))</f>
        <v>283.77864672734273</v>
      </c>
      <c r="FK54" s="59">
        <f t="shared" si="48"/>
        <v>270.94620935643866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41.949718089883298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41.949718089883298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7.4</v>
      </c>
      <c r="FZ54" s="12">
        <f>IF('Données projet'!$A$244&gt;35,FZ53+FY54-GH53,IF(A54&lt;'Données projet'!$A$244,$FW$205^A54,IF(A54='Données projet'!$A$244,'Données projet'!$B$244,FZ53+FY54-GH53)))</f>
        <v>249.40000000000003</v>
      </c>
      <c r="GA54" s="17">
        <f>FZ54*VLOOKUP('Données projet'!$B$17,Paramètres!$A$1:$I$89,3,0)*VLOOKUP('Données projet'!$B$17,Paramètres!$A$1:$I$89,5,0)</f>
        <v>241.21968000000004</v>
      </c>
      <c r="GB54" s="13">
        <f t="shared" si="49"/>
        <v>58.701873105526744</v>
      </c>
      <c r="GC54" s="20">
        <f t="shared" si="25"/>
        <v>522.3633716587924</v>
      </c>
      <c r="GD54" s="59">
        <f t="shared" si="26"/>
        <v>815.69670499212566</v>
      </c>
      <c r="GE54" s="59">
        <f ca="1">AVERAGE(OFFSET($GD$3,0,0,'Données projet'!$E$17+1,1))-AVERAGE(OFFSET($H$3,0,0,'Données projet'!$E$17+1,1))</f>
        <v>347.54503437087288</v>
      </c>
      <c r="GF54" s="59">
        <f t="shared" si="50"/>
        <v>340.05673244455954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43.025423508898214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43.025423508898214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21.6</v>
      </c>
      <c r="N55" s="13">
        <f>IF('Données projet'!$A$36&gt;35,N54+M55-V54,IF(A55&lt;'Données projet'!$A$36,$K$205^A55,IF(A55='Données projet'!$A$36,'Données projet'!$B$36,N54+M55-V54)))</f>
        <v>529.19999999999982</v>
      </c>
      <c r="O55" s="13">
        <f>N55*VLOOKUP('Données projet'!$B$9,Paramètres!$A$1:$I$89,3,0)*VLOOKUP('Données projet'!$B$9,Paramètres!$A$1:$I$89,5,0)</f>
        <v>247.6655999999999</v>
      </c>
      <c r="P55" s="13">
        <f t="shared" si="33"/>
        <v>60.085791620819229</v>
      </c>
      <c r="Q55" s="20">
        <f t="shared" si="53"/>
        <v>536.00034040625997</v>
      </c>
      <c r="R55" s="59">
        <f t="shared" si="0"/>
        <v>829.33367373959322</v>
      </c>
      <c r="S55" s="59">
        <f ca="1">AVERAGE(OFFSET($R$3,0,0,'Données projet'!$E$9+1,1))-AVERAGE(OFFSET($H$3,0,0,'Données projet'!$E$9+1,1))</f>
        <v>342.49944586217674</v>
      </c>
      <c r="T55" s="59">
        <f t="shared" si="34"/>
        <v>282.29766600872563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71.727726517263122</v>
      </c>
      <c r="AA55" s="21">
        <f>EXP(-LN(2)/25)*AA54+(1-EXP(-LN(2)/25))/(LN(2)/25)*Calculateur!V55*Calculateur!X55*VLOOKUP('Données projet'!$B$9,Paramètres!$A$1:$I$89,3,0)*0.475*44/12</f>
        <v>21.778458981921045</v>
      </c>
      <c r="AB55" s="21">
        <f>EXP(-LN(2)/2)*AB54+(1-EXP(-LN(2)/2))/(LN(2)/2)*V55*Y55*VLOOKUP('Données projet'!$B$9,Paramètres!$A$1:$I$89,3,0)*0.475*44/12</f>
        <v>4.0426995486632284E-5</v>
      </c>
      <c r="AC55" s="22">
        <f t="shared" si="3"/>
        <v>93.506225926179653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15.4</v>
      </c>
      <c r="AI55" s="13">
        <f>IF('Données projet'!$A$62&gt;35,AI54+AH55-AQ54,IF(A55&lt;'Données projet'!$A$62,$AF$205^A55,IF(A55='Données projet'!$A$62,'Données projet'!$B$62,AI54+AH55-AQ54)))</f>
        <v>692.7999999999995</v>
      </c>
      <c r="AJ55" s="13">
        <f>AI55*VLOOKUP('Données projet'!$B$10,Paramètres!$A$1:$I$89,3,0)*VLOOKUP('Données projet'!$B$10,Paramètres!$A$1:$I$89,5,0)</f>
        <v>387.2751999999997</v>
      </c>
      <c r="AK55" s="13">
        <f t="shared" si="35"/>
        <v>89.192073473767834</v>
      </c>
      <c r="AL55" s="20">
        <f t="shared" si="4"/>
        <v>829.84716796681175</v>
      </c>
      <c r="AM55" s="59">
        <f t="shared" si="5"/>
        <v>1123.1805013001451</v>
      </c>
      <c r="AN55" s="59">
        <f ca="1">AVERAGE(OFFSET($AM$3,0,0,'Données projet'!$E$10+1,1))-AVERAGE(OFFSET($H$3,0,0,'Données projet'!$E$10+1,1))</f>
        <v>490.96084572840579</v>
      </c>
      <c r="AO55" s="59">
        <f t="shared" si="36"/>
        <v>597.91658789908263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92.761368432308075</v>
      </c>
      <c r="AV55" s="21">
        <f>EXP(-LN(2)/25)*AV54+(1-EXP(-LN(2)/25))/(LN(2)/25)*Calculateur!AQ55*Calculateur!AS55*VLOOKUP('Données projet'!$B$10,Paramètres!$A$1:$I$89,3,0)*0.475*44/12</f>
        <v>31.396668896976006</v>
      </c>
      <c r="AW55" s="21">
        <f>EXP(-LN(2)/2)*AW54+(1-EXP(-LN(2)/2))/(LN(2)/2)*AQ55*AT55*VLOOKUP('Données projet'!$B$10,Paramètres!$A$1:$I$89,3,0)*0.475*44/12</f>
        <v>4.152750814154615E-4</v>
      </c>
      <c r="AX55" s="21">
        <f t="shared" si="6"/>
        <v>124.15845260436549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4.8</v>
      </c>
      <c r="BD55" s="12">
        <f>IF('Données projet'!$A$88&gt;35,BD54+BC55-BL54,IF(A55&lt;'Données projet'!$A$88,$BA$205^A55,IF(A55='Données projet'!$A$88,'Données projet'!$B$88,BD54+BC55-BL54)))</f>
        <v>170.59999999999997</v>
      </c>
      <c r="BE55" s="13">
        <f>BD55*VLOOKUP('Données projet'!$B$11,Paramètres!$A$1:$I$89,3,0)*VLOOKUP('Données projet'!$B$11,Paramètres!$A$1:$I$89,5,0)</f>
        <v>135.72935999999999</v>
      </c>
      <c r="BF55" s="13">
        <f t="shared" si="37"/>
        <v>35.316904881686277</v>
      </c>
      <c r="BG55" s="20">
        <f t="shared" si="7"/>
        <v>297.9055780022702</v>
      </c>
      <c r="BH55" s="59">
        <f t="shared" si="8"/>
        <v>591.23891133560346</v>
      </c>
      <c r="BI55" s="59">
        <f ca="1">AVERAGE(OFFSET($BH$3,0,0,'Données projet'!$E$11+1,1))-AVERAGE(OFFSET($H$3,0,0,'Données projet'!$E$11+1,1))</f>
        <v>167.80254365106839</v>
      </c>
      <c r="BJ55" s="59">
        <f t="shared" si="38"/>
        <v>167.42302164950172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27.838025158063235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27.838025158063235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19.8</v>
      </c>
      <c r="BY55" s="12">
        <f>IF('Données projet'!$A$114&gt;35,BY54+BX55-CG54,IF(A55&lt;'Données projet'!$A$114,$BV$205^A55,IF(A55='Données projet'!$A$114,'Données projet'!$B$114,BY54+BX55-CG54)))</f>
        <v>477.59999999999997</v>
      </c>
      <c r="BZ55" s="13">
        <f>BY55*VLOOKUP('Données projet'!$B$12,Paramètres!$A$1:$I$89,3,0)*VLOOKUP('Données projet'!$B$12,Paramètres!$A$1:$I$89,5,0)</f>
        <v>235.93440000000001</v>
      </c>
      <c r="CA55" s="13">
        <f t="shared" si="39"/>
        <v>57.563928944376173</v>
      </c>
      <c r="CB55" s="20">
        <f t="shared" si="10"/>
        <v>511.17625624478842</v>
      </c>
      <c r="CC55" s="59">
        <f t="shared" si="11"/>
        <v>804.50958957812168</v>
      </c>
      <c r="CD55" s="59">
        <f ca="1">AVERAGE(OFFSET($CC$3,0,0,'Données projet'!$E$12+1,1))-AVERAGE(OFFSET($H$3,0,0,'Données projet'!$E$12+1,1))</f>
        <v>322.06606384496587</v>
      </c>
      <c r="CE55" s="59">
        <f t="shared" si="40"/>
        <v>267.71713177624713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67.300089077925875</v>
      </c>
      <c r="CL55" s="21">
        <f>EXP(-LN(2)/25)*CL54+(1-EXP(-LN(2)/25))/(LN(2)/25)*Calculateur!CG55*Calculateur!CI55*VLOOKUP('Données projet'!$B$12,Paramètres!$A$1:$I$89,3,0)*0.475*44/12</f>
        <v>10.924115104401206</v>
      </c>
      <c r="CM55" s="21">
        <f>EXP(-LN(2)/2)*CM54+(1-EXP(-LN(2)/2))/(LN(2)/2)*CG55*CJ55*VLOOKUP('Données projet'!$B$12,Paramètres!$A$1:$I$89,3,0)*0.475*44/12</f>
        <v>1.9311568013522409E-3</v>
      </c>
      <c r="CN55" s="22">
        <f t="shared" si="12"/>
        <v>78.226135339128433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11.533333333333331</v>
      </c>
      <c r="CT55" s="12">
        <f>IF('Données projet'!$A$140&gt;35,CT54+CS55-DB54,IF(A55&lt;'Données projet'!$A$140,$CQ$205^A55,IF(A55='Données projet'!$A$140,'Données projet'!$B$140,CT54+CS55-DB54)))</f>
        <v>350.93333333333339</v>
      </c>
      <c r="CU55" s="17">
        <f>CT55*VLOOKUP('Données projet'!$B$13,Paramètres!$A$1:$I$89,3,0)*VLOOKUP('Données projet'!$B$13,Paramètres!$A$1:$I$89,5,0)</f>
        <v>218.98240000000004</v>
      </c>
      <c r="CV55" s="13">
        <f t="shared" si="41"/>
        <v>53.893655746249046</v>
      </c>
      <c r="CW55" s="20">
        <f t="shared" si="13"/>
        <v>475.25913042471711</v>
      </c>
      <c r="CX55" s="59">
        <f t="shared" si="14"/>
        <v>768.59246375805037</v>
      </c>
      <c r="CY55" s="59">
        <f ca="1">AVERAGE(OFFSET($CX$3,0,0,'Données projet'!$E$13+1,1))-AVERAGE(OFFSET($H$3,0,0,'Données projet'!$E$13+1,1))</f>
        <v>269.77739619445515</v>
      </c>
      <c r="CZ55" s="59">
        <f t="shared" si="42"/>
        <v>347.56964743629885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65.490115206774192</v>
      </c>
      <c r="DG55" s="21">
        <f>EXP(-LN(2)/25)*DG54+(1-EXP(-LN(2)/25))/(LN(2)/25)*Calculateur!DB55*Calculateur!DD55*VLOOKUP('Données projet'!$B$13,Paramètres!$A$1:$I$89,3,0)*0.475*44/12</f>
        <v>49.84971918447107</v>
      </c>
      <c r="DH55" s="21">
        <f>EXP(-LN(2)/2)*DH54+(1-EXP(-LN(2)/2))/(LN(2)/2)*DB55*DE55*VLOOKUP('Données projet'!$B$13,Paramètres!$A$1:$I$89,3,0)*0.475*44/12</f>
        <v>1.2128098645989675E-5</v>
      </c>
      <c r="DI55" s="22">
        <f t="shared" si="15"/>
        <v>115.33984651934391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19.8</v>
      </c>
      <c r="DO55" s="12">
        <f>IF('Données projet'!$A$166&gt;35,DO54+DN55-DW54,IF(A55&lt;'Données projet'!$A$166,$DL$205^A55,IF(A55='Données projet'!$A$166,'Données projet'!$B$166,DO54+DN55-DW54)))</f>
        <v>477.59999999999997</v>
      </c>
      <c r="DP55" s="17">
        <f>DO55*VLOOKUP('Données projet'!$B$14,Paramètres!$A$1:$I$89,3,0)*VLOOKUP('Données projet'!$B$14,Paramètres!$A$1:$I$89,5,0)</f>
        <v>229.72559999999999</v>
      </c>
      <c r="DQ55" s="13">
        <f t="shared" si="43"/>
        <v>56.223345714133728</v>
      </c>
      <c r="DR55" s="20">
        <f t="shared" si="16"/>
        <v>498.02774711878288</v>
      </c>
      <c r="DS55" s="59">
        <f t="shared" si="17"/>
        <v>791.3610804521162</v>
      </c>
      <c r="DT55" s="59">
        <f ca="1">AVERAGE(OFFSET($DS$3,0,0,'Données projet'!$E$14+1,1))-AVERAGE(OFFSET($H$3,0,0,'Données projet'!$E$14+1,1))</f>
        <v>312.64506496298173</v>
      </c>
      <c r="DU55" s="59">
        <f t="shared" si="44"/>
        <v>259.97532509897508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65.529034102190991</v>
      </c>
      <c r="EB55" s="21">
        <f>EXP(-LN(2)/25)*EB54+(1-EXP(-LN(2)/25))/(LN(2)/25)*Calculateur!DW55*Calculateur!DY55*VLOOKUP('Données projet'!$B$14,Paramètres!$A$1:$I$89,3,0)*0.475*44/12</f>
        <v>10.636638391127491</v>
      </c>
      <c r="EC55" s="21">
        <f>EXP(-LN(2)/2)*EC54+(1-EXP(-LN(2)/2))/(LN(2)/2)*DW55*DZ55*VLOOKUP('Données projet'!$B$14,Paramètres!$A$1:$I$89,3,0)*0.475*44/12</f>
        <v>1.8803368855271774E-3</v>
      </c>
      <c r="ED55" s="22">
        <f t="shared" si="18"/>
        <v>76.167552830204002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</v>
      </c>
      <c r="EJ55" s="12">
        <f>IF('Données projet'!$A$192&gt;35,EJ54+EI55-ER54,IF(A55&lt;'Données projet'!$A$192,$EG$205^A55,IF(A55='Données projet'!$A$192,'Données projet'!$B$192,EJ54+EI55-ER54)))</f>
        <v>173</v>
      </c>
      <c r="EK55" s="17">
        <f>EJ55*VLOOKUP('Données projet'!$B$15,Paramètres!$A$1:$I$89,3,0)*VLOOKUP('Données projet'!$B$15,Paramètres!$A$1:$I$89,5,0)</f>
        <v>156.53039999999999</v>
      </c>
      <c r="EL55" s="13">
        <f t="shared" si="45"/>
        <v>40.058941713182037</v>
      </c>
      <c r="EM55" s="20">
        <f t="shared" si="19"/>
        <v>342.393103483792</v>
      </c>
      <c r="EN55" s="59">
        <f t="shared" si="20"/>
        <v>635.72643681712532</v>
      </c>
      <c r="EO55" s="59">
        <f ca="1">AVERAGE(OFFSET($EN$3,0,0,'Données projet'!$E$15+1,1))-AVERAGE(OFFSET($H$3,0,0,'Données projet'!$E$15+1,1))</f>
        <v>269.64423257646359</v>
      </c>
      <c r="EP55" s="59">
        <f t="shared" si="46"/>
        <v>161.0819079811821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30.115984837382857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30.115984837382857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9.8000000000000007</v>
      </c>
      <c r="FE55" s="12">
        <f>IF('Données projet'!$A$218&gt;35,FE54+FD55-FM54,IF(A55&lt;'Données projet'!$A$218,$FB$205^A55,IF(A55='Données projet'!$A$218,'Données projet'!$B$218,FE54+FD55-FM54)))</f>
        <v>267.60000000000008</v>
      </c>
      <c r="FF55" s="17">
        <f>FE55*VLOOKUP('Données projet'!$B$16,Paramètres!$A$1:$I$89,3,0)*VLOOKUP('Données projet'!$B$16,Paramètres!$A$1:$I$89,5,0)</f>
        <v>208.72800000000007</v>
      </c>
      <c r="FG55" s="13">
        <f t="shared" si="47"/>
        <v>51.657523484203345</v>
      </c>
      <c r="FH55" s="20">
        <f t="shared" si="22"/>
        <v>453.50478673498765</v>
      </c>
      <c r="FI55" s="59">
        <f t="shared" si="23"/>
        <v>746.8381200683209</v>
      </c>
      <c r="FJ55" s="59">
        <f ca="1">AVERAGE(OFFSET($FI$3,0,0,'Données projet'!$E$16+1,1))-AVERAGE(OFFSET($H$3,0,0,'Données projet'!$E$16+1,1))</f>
        <v>283.77864672734273</v>
      </c>
      <c r="FK55" s="59">
        <f t="shared" si="48"/>
        <v>270.94620935643866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41.127109704942235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41.127109704942235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7.4</v>
      </c>
      <c r="FZ55" s="12">
        <f>IF('Données projet'!$A$244&gt;35,FZ54+FY55-GH54,IF(A55&lt;'Données projet'!$A$244,$FW$205^A55,IF(A55='Données projet'!$A$244,'Données projet'!$B$244,FZ54+FY55-GH54)))</f>
        <v>256.8</v>
      </c>
      <c r="GA55" s="17">
        <f>FZ55*VLOOKUP('Données projet'!$B$17,Paramètres!$A$1:$I$89,3,0)*VLOOKUP('Données projet'!$B$17,Paramètres!$A$1:$I$89,5,0)</f>
        <v>248.37696000000003</v>
      </c>
      <c r="GB55" s="13">
        <f t="shared" si="49"/>
        <v>60.238259626372376</v>
      </c>
      <c r="GC55" s="20">
        <f t="shared" si="25"/>
        <v>537.50484084926518</v>
      </c>
      <c r="GD55" s="59">
        <f t="shared" si="26"/>
        <v>830.83817418259855</v>
      </c>
      <c r="GE55" s="59">
        <f ca="1">AVERAGE(OFFSET($GD$3,0,0,'Données projet'!$E$17+1,1))-AVERAGE(OFFSET($H$3,0,0,'Données projet'!$E$17+1,1))</f>
        <v>347.54503437087288</v>
      </c>
      <c r="GF55" s="59">
        <f t="shared" si="50"/>
        <v>340.05673244455954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42.181721196805789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42.181721196805789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21.6</v>
      </c>
      <c r="N56" s="13">
        <f>IF('Données projet'!$A$36&gt;35,N55+M56-V55,IF(A56&lt;'Données projet'!$A$36,$K$205^A56,IF(A56='Données projet'!$A$36,'Données projet'!$B$36,N55+M56-V55)))</f>
        <v>550.79999999999984</v>
      </c>
      <c r="O56" s="13">
        <f>N56*VLOOKUP('Données projet'!$B$9,Paramètres!$A$1:$I$89,3,0)*VLOOKUP('Données projet'!$B$9,Paramètres!$A$1:$I$89,5,0)</f>
        <v>257.7743999999999</v>
      </c>
      <c r="P56" s="13">
        <f t="shared" si="33"/>
        <v>62.247732872134243</v>
      </c>
      <c r="Q56" s="20">
        <f t="shared" si="53"/>
        <v>557.37188141896695</v>
      </c>
      <c r="R56" s="59">
        <f t="shared" si="0"/>
        <v>850.70521475230021</v>
      </c>
      <c r="S56" s="59">
        <f ca="1">AVERAGE(OFFSET($R$3,0,0,'Données projet'!$E$9+1,1))-AVERAGE(OFFSET($H$3,0,0,'Données projet'!$E$9+1,1))</f>
        <v>342.49944586217674</v>
      </c>
      <c r="T56" s="59">
        <f t="shared" si="34"/>
        <v>282.29766600872563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70.321189549852861</v>
      </c>
      <c r="AA56" s="21">
        <f>EXP(-LN(2)/25)*AA55+(1-EXP(-LN(2)/25))/(LN(2)/25)*Calculateur!V56*Calculateur!X56*VLOOKUP('Données projet'!$B$9,Paramètres!$A$1:$I$89,3,0)*0.475*44/12</f>
        <v>21.182925875781031</v>
      </c>
      <c r="AB56" s="21">
        <f>EXP(-LN(2)/2)*AB55+(1-EXP(-LN(2)/2))/(LN(2)/2)*V56*Y56*VLOOKUP('Données projet'!$B$9,Paramètres!$A$1:$I$89,3,0)*0.475*44/12</f>
        <v>2.8586202651595639E-5</v>
      </c>
      <c r="AC56" s="22">
        <f t="shared" si="3"/>
        <v>91.504144011836544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15.4</v>
      </c>
      <c r="AI56" s="13">
        <f>IF('Données projet'!$A$62&gt;35,AI55+AH56-AQ55,IF(A56&lt;'Données projet'!$A$62,$AF$205^A56,IF(A56='Données projet'!$A$62,'Données projet'!$B$62,AI55+AH56-AQ55)))</f>
        <v>708.19999999999948</v>
      </c>
      <c r="AJ56" s="13">
        <f>AI56*VLOOKUP('Données projet'!$B$10,Paramètres!$A$1:$I$89,3,0)*VLOOKUP('Données projet'!$B$10,Paramètres!$A$1:$I$89,5,0)</f>
        <v>395.88379999999972</v>
      </c>
      <c r="AK56" s="13">
        <f t="shared" si="35"/>
        <v>90.941667130422957</v>
      </c>
      <c r="AL56" s="20">
        <f t="shared" si="4"/>
        <v>847.8876885854861</v>
      </c>
      <c r="AM56" s="59">
        <f t="shared" si="5"/>
        <v>1141.2210219188194</v>
      </c>
      <c r="AN56" s="59">
        <f ca="1">AVERAGE(OFFSET($AM$3,0,0,'Données projet'!$E$10+1,1))-AVERAGE(OFFSET($H$3,0,0,'Données projet'!$E$10+1,1))</f>
        <v>490.96084572840579</v>
      </c>
      <c r="AO56" s="59">
        <f t="shared" si="36"/>
        <v>597.91658789908263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90.94237457619856</v>
      </c>
      <c r="AV56" s="21">
        <f>EXP(-LN(2)/25)*AV55+(1-EXP(-LN(2)/25))/(LN(2)/25)*Calculateur!AQ56*Calculateur!AS56*VLOOKUP('Données projet'!$B$10,Paramètres!$A$1:$I$89,3,0)*0.475*44/12</f>
        <v>30.538125334909139</v>
      </c>
      <c r="AW56" s="21">
        <f>EXP(-LN(2)/2)*AW55+(1-EXP(-LN(2)/2))/(LN(2)/2)*AQ56*AT56*VLOOKUP('Données projet'!$B$10,Paramètres!$A$1:$I$89,3,0)*0.475*44/12</f>
        <v>2.9364382612666844E-4</v>
      </c>
      <c r="AX56" s="21">
        <f t="shared" si="6"/>
        <v>121.48079355493383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4.8</v>
      </c>
      <c r="BD56" s="12">
        <f>IF('Données projet'!$A$88&gt;35,BD55+BC56-BL55,IF(A56&lt;'Données projet'!$A$88,$BA$205^A56,IF(A56='Données projet'!$A$88,'Données projet'!$B$88,BD55+BC56-BL55)))</f>
        <v>175.39999999999998</v>
      </c>
      <c r="BE56" s="13">
        <f>BD56*VLOOKUP('Données projet'!$B$11,Paramètres!$A$1:$I$89,3,0)*VLOOKUP('Données projet'!$B$11,Paramètres!$A$1:$I$89,5,0)</f>
        <v>139.54823999999999</v>
      </c>
      <c r="BF56" s="13">
        <f t="shared" si="37"/>
        <v>36.193494163358288</v>
      </c>
      <c r="BG56" s="20">
        <f t="shared" si="7"/>
        <v>306.08352033451564</v>
      </c>
      <c r="BH56" s="59">
        <f t="shared" si="8"/>
        <v>599.41685366784895</v>
      </c>
      <c r="BI56" s="59">
        <f ca="1">AVERAGE(OFFSET($BH$3,0,0,'Données projet'!$E$11+1,1))-AVERAGE(OFFSET($H$3,0,0,'Données projet'!$E$11+1,1))</f>
        <v>167.80254365106839</v>
      </c>
      <c r="BJ56" s="59">
        <f t="shared" si="38"/>
        <v>167.42302164950172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27.292138464232373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27.292138464232373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19.8</v>
      </c>
      <c r="BY56" s="12">
        <f>IF('Données projet'!$A$114&gt;35,BY55+BX56-CG55,IF(A56&lt;'Données projet'!$A$114,$BV$205^A56,IF(A56='Données projet'!$A$114,'Données projet'!$B$114,BY55+BX56-CG55)))</f>
        <v>497.4</v>
      </c>
      <c r="BZ56" s="13">
        <f>BY56*VLOOKUP('Données projet'!$B$12,Paramètres!$A$1:$I$89,3,0)*VLOOKUP('Données projet'!$B$12,Paramètres!$A$1:$I$89,5,0)</f>
        <v>245.71559999999999</v>
      </c>
      <c r="CA56" s="13">
        <f t="shared" si="39"/>
        <v>59.667580124018428</v>
      </c>
      <c r="CB56" s="20">
        <f t="shared" si="10"/>
        <v>531.87570538266539</v>
      </c>
      <c r="CC56" s="59">
        <f t="shared" si="11"/>
        <v>825.20903871599876</v>
      </c>
      <c r="CD56" s="59">
        <f ca="1">AVERAGE(OFFSET($CC$3,0,0,'Données projet'!$E$12+1,1))-AVERAGE(OFFSET($H$3,0,0,'Données projet'!$E$12+1,1))</f>
        <v>322.06606384496587</v>
      </c>
      <c r="CE56" s="59">
        <f t="shared" si="40"/>
        <v>267.71713177624713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65.980375380108839</v>
      </c>
      <c r="CL56" s="21">
        <f>EXP(-LN(2)/25)*CL55+(1-EXP(-LN(2)/25))/(LN(2)/25)*Calculateur!CG56*Calculateur!CI56*VLOOKUP('Données projet'!$B$12,Paramètres!$A$1:$I$89,3,0)*0.475*44/12</f>
        <v>10.62539460239711</v>
      </c>
      <c r="CM56" s="21">
        <f>EXP(-LN(2)/2)*CM55+(1-EXP(-LN(2)/2))/(LN(2)/2)*CG56*CJ56*VLOOKUP('Données projet'!$B$12,Paramètres!$A$1:$I$89,3,0)*0.475*44/12</f>
        <v>1.3655340697706921E-3</v>
      </c>
      <c r="CN56" s="22">
        <f t="shared" si="12"/>
        <v>76.607135516575724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11.533333333333331</v>
      </c>
      <c r="CT56" s="12">
        <f>IF('Données projet'!$A$140&gt;35,CT55+CS56-DB55,IF(A56&lt;'Données projet'!$A$140,$CQ$205^A56,IF(A56='Données projet'!$A$140,'Données projet'!$B$140,CT55+CS56-DB55)))</f>
        <v>362.4666666666667</v>
      </c>
      <c r="CU56" s="17">
        <f>CT56*VLOOKUP('Données projet'!$B$13,Paramètres!$A$1:$I$89,3,0)*VLOOKUP('Données projet'!$B$13,Paramètres!$A$1:$I$89,5,0)</f>
        <v>226.17920000000001</v>
      </c>
      <c r="CV56" s="13">
        <f t="shared" si="41"/>
        <v>55.455731517393232</v>
      </c>
      <c r="CW56" s="20">
        <f t="shared" si="13"/>
        <v>490.51417239279317</v>
      </c>
      <c r="CX56" s="59">
        <f t="shared" si="14"/>
        <v>783.84750572612643</v>
      </c>
      <c r="CY56" s="59">
        <f ca="1">AVERAGE(OFFSET($CX$3,0,0,'Données projet'!$E$13+1,1))-AVERAGE(OFFSET($H$3,0,0,'Données projet'!$E$13+1,1))</f>
        <v>269.77739619445515</v>
      </c>
      <c r="CZ56" s="59">
        <f t="shared" si="42"/>
        <v>347.56964743629885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64.205893992595378</v>
      </c>
      <c r="DG56" s="21">
        <f>EXP(-LN(2)/25)*DG55+(1-EXP(-LN(2)/25))/(LN(2)/25)*Calculateur!DB56*Calculateur!DD56*VLOOKUP('Données projet'!$B$13,Paramètres!$A$1:$I$89,3,0)*0.475*44/12</f>
        <v>48.486575991888913</v>
      </c>
      <c r="DH56" s="21">
        <f>EXP(-LN(2)/2)*DH55+(1-EXP(-LN(2)/2))/(LN(2)/2)*DB56*DE56*VLOOKUP('Données projet'!$B$13,Paramètres!$A$1:$I$89,3,0)*0.475*44/12</f>
        <v>8.5758607954786843E-6</v>
      </c>
      <c r="DI56" s="22">
        <f t="shared" si="15"/>
        <v>112.69247856034508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19.8</v>
      </c>
      <c r="DO56" s="12">
        <f>IF('Données projet'!$A$166&gt;35,DO55+DN56-DW55,IF(A56&lt;'Données projet'!$A$166,$DL$205^A56,IF(A56='Données projet'!$A$166,'Données projet'!$B$166,DO55+DN56-DW55)))</f>
        <v>497.4</v>
      </c>
      <c r="DP56" s="17">
        <f>DO56*VLOOKUP('Données projet'!$B$14,Paramètres!$A$1:$I$89,3,0)*VLOOKUP('Données projet'!$B$14,Paramètres!$A$1:$I$89,5,0)</f>
        <v>239.24939999999998</v>
      </c>
      <c r="DQ56" s="13">
        <f t="shared" si="43"/>
        <v>58.278005806033633</v>
      </c>
      <c r="DR56" s="20">
        <f t="shared" si="16"/>
        <v>518.19356511217518</v>
      </c>
      <c r="DS56" s="59">
        <f t="shared" si="17"/>
        <v>811.52689844550855</v>
      </c>
      <c r="DT56" s="59">
        <f ca="1">AVERAGE(OFFSET($DS$3,0,0,'Données projet'!$E$14+1,1))-AVERAGE(OFFSET($H$3,0,0,'Données projet'!$E$14+1,1))</f>
        <v>312.64506496298173</v>
      </c>
      <c r="DU56" s="59">
        <f t="shared" si="44"/>
        <v>259.97532509897508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64.244049712211236</v>
      </c>
      <c r="EB56" s="21">
        <f>EXP(-LN(2)/25)*EB55+(1-EXP(-LN(2)/25))/(LN(2)/25)*Calculateur!DW56*Calculateur!DY56*VLOOKUP('Données projet'!$B$14,Paramètres!$A$1:$I$89,3,0)*0.475*44/12</f>
        <v>10.345778954965606</v>
      </c>
      <c r="EC56" s="21">
        <f>EXP(-LN(2)/2)*EC55+(1-EXP(-LN(2)/2))/(LN(2)/2)*DW56*DZ56*VLOOKUP('Données projet'!$B$14,Paramètres!$A$1:$I$89,3,0)*0.475*44/12</f>
        <v>1.3295989626714601E-3</v>
      </c>
      <c r="ED56" s="22">
        <f t="shared" si="18"/>
        <v>74.591158266139516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</v>
      </c>
      <c r="EJ56" s="12">
        <f>IF('Données projet'!$A$192&gt;35,EJ55+EI56-ER55,IF(A56&lt;'Données projet'!$A$192,$EG$205^A56,IF(A56='Données projet'!$A$192,'Données projet'!$B$192,EJ55+EI56-ER55)))</f>
        <v>181</v>
      </c>
      <c r="EK56" s="17">
        <f>EJ56*VLOOKUP('Données projet'!$B$15,Paramètres!$A$1:$I$89,3,0)*VLOOKUP('Données projet'!$B$15,Paramètres!$A$1:$I$89,5,0)</f>
        <v>163.7688</v>
      </c>
      <c r="EL56" s="13">
        <f t="shared" si="45"/>
        <v>41.691423503509803</v>
      </c>
      <c r="EM56" s="20">
        <f t="shared" si="19"/>
        <v>357.84322260194625</v>
      </c>
      <c r="EN56" s="59">
        <f t="shared" si="20"/>
        <v>651.17655593527957</v>
      </c>
      <c r="EO56" s="59">
        <f ca="1">AVERAGE(OFFSET($EN$3,0,0,'Données projet'!$E$15+1,1))-AVERAGE(OFFSET($H$3,0,0,'Données projet'!$E$15+1,1))</f>
        <v>269.64423257646359</v>
      </c>
      <c r="EP56" s="59">
        <f t="shared" si="46"/>
        <v>161.0819079811821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29.525428743658747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29.525428743658747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9.8000000000000007</v>
      </c>
      <c r="FE56" s="12">
        <f>IF('Données projet'!$A$218&gt;35,FE55+FD56-FM55,IF(A56&lt;'Données projet'!$A$218,$FB$205^A56,IF(A56='Données projet'!$A$218,'Données projet'!$B$218,FE55+FD56-FM55)))</f>
        <v>277.40000000000009</v>
      </c>
      <c r="FF56" s="17">
        <f>FE56*VLOOKUP('Données projet'!$B$16,Paramètres!$A$1:$I$89,3,0)*VLOOKUP('Données projet'!$B$16,Paramètres!$A$1:$I$89,5,0)</f>
        <v>216.37200000000007</v>
      </c>
      <c r="FG56" s="13">
        <f t="shared" si="47"/>
        <v>53.325596354398634</v>
      </c>
      <c r="FH56" s="20">
        <f t="shared" si="22"/>
        <v>469.72331365057767</v>
      </c>
      <c r="FI56" s="59">
        <f t="shared" si="23"/>
        <v>763.05664698391092</v>
      </c>
      <c r="FJ56" s="59">
        <f ca="1">AVERAGE(OFFSET($FI$3,0,0,'Données projet'!$E$16+1,1))-AVERAGE(OFFSET($H$3,0,0,'Données projet'!$E$16+1,1))</f>
        <v>283.77864672734273</v>
      </c>
      <c r="FK56" s="59">
        <f t="shared" si="48"/>
        <v>270.94620935643866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40.320632168688292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40.320632168688292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7.4</v>
      </c>
      <c r="FZ56" s="12">
        <f>IF('Données projet'!$A$244&gt;35,FZ55+FY56-GH55,IF(A56&lt;'Données projet'!$A$244,$FW$205^A56,IF(A56='Données projet'!$A$244,'Données projet'!$B$244,FZ55+FY56-GH55)))</f>
        <v>264.2</v>
      </c>
      <c r="GA56" s="17">
        <f>FZ56*VLOOKUP('Données projet'!$B$17,Paramètres!$A$1:$I$89,3,0)*VLOOKUP('Données projet'!$B$17,Paramètres!$A$1:$I$89,5,0)</f>
        <v>255.53424000000001</v>
      </c>
      <c r="GB56" s="13">
        <f t="shared" si="49"/>
        <v>61.769500671543469</v>
      </c>
      <c r="GC56" s="20">
        <f t="shared" si="25"/>
        <v>552.63734833627166</v>
      </c>
      <c r="GD56" s="59">
        <f t="shared" si="26"/>
        <v>845.97068166960503</v>
      </c>
      <c r="GE56" s="59">
        <f ca="1">AVERAGE(OFFSET($GD$3,0,0,'Données projet'!$E$17+1,1))-AVERAGE(OFFSET($H$3,0,0,'Données projet'!$E$17+1,1))</f>
        <v>347.54503437087288</v>
      </c>
      <c r="GF56" s="59">
        <f t="shared" si="50"/>
        <v>340.05673244455954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41.354563372445895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41.354563372445895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21.6</v>
      </c>
      <c r="N57" s="13">
        <f>IF('Données projet'!$A$36&gt;35,N56+M57-V56,IF(A57&lt;'Données projet'!$A$36,$K$205^A57,IF(A57='Données projet'!$A$36,'Données projet'!$B$36,N56+M57-V56)))</f>
        <v>572.39999999999986</v>
      </c>
      <c r="O57" s="13">
        <f>N57*VLOOKUP('Données projet'!$B$9,Paramètres!$A$1:$I$89,3,0)*VLOOKUP('Données projet'!$B$9,Paramètres!$A$1:$I$89,5,0)</f>
        <v>267.88319999999993</v>
      </c>
      <c r="P57" s="13">
        <f t="shared" si="33"/>
        <v>64.399825320774326</v>
      </c>
      <c r="Q57" s="20">
        <f t="shared" si="53"/>
        <v>578.72626910034842</v>
      </c>
      <c r="R57" s="59">
        <f t="shared" si="0"/>
        <v>872.05960243368168</v>
      </c>
      <c r="S57" s="59">
        <f ca="1">AVERAGE(OFFSET($R$3,0,0,'Données projet'!$E$9+1,1))-AVERAGE(OFFSET($H$3,0,0,'Données projet'!$E$9+1,1))</f>
        <v>342.49944586217674</v>
      </c>
      <c r="T57" s="59">
        <f t="shared" si="34"/>
        <v>282.29766600872563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68.942233914470663</v>
      </c>
      <c r="AA57" s="21">
        <f>EXP(-LN(2)/25)*AA56+(1-EXP(-LN(2)/25))/(LN(2)/25)*Calculateur!V57*Calculateur!X57*VLOOKUP('Données projet'!$B$9,Paramètres!$A$1:$I$89,3,0)*0.475*44/12</f>
        <v>20.603677653746139</v>
      </c>
      <c r="AB57" s="21">
        <f>EXP(-LN(2)/2)*AB56+(1-EXP(-LN(2)/2))/(LN(2)/2)*V57*Y57*VLOOKUP('Données projet'!$B$9,Paramètres!$A$1:$I$89,3,0)*0.475*44/12</f>
        <v>2.0213497743316142E-5</v>
      </c>
      <c r="AC57" s="22">
        <f t="shared" si="3"/>
        <v>89.545931781714557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15.4</v>
      </c>
      <c r="AI57" s="13">
        <f>IF('Données projet'!$A$62&gt;35,AI56+AH57-AQ56,IF(A57&lt;'Données projet'!$A$62,$AF$205^A57,IF(A57='Données projet'!$A$62,'Données projet'!$B$62,AI56+AH57-AQ56)))</f>
        <v>723.59999999999945</v>
      </c>
      <c r="AJ57" s="13">
        <f>AI57*VLOOKUP('Données projet'!$B$10,Paramètres!$A$1:$I$89,3,0)*VLOOKUP('Données projet'!$B$10,Paramètres!$A$1:$I$89,5,0)</f>
        <v>404.49239999999969</v>
      </c>
      <c r="AK57" s="13">
        <f t="shared" si="35"/>
        <v>92.686837535548761</v>
      </c>
      <c r="AL57" s="20">
        <f t="shared" si="4"/>
        <v>865.92050537441344</v>
      </c>
      <c r="AM57" s="59">
        <f t="shared" si="5"/>
        <v>1159.2538387077468</v>
      </c>
      <c r="AN57" s="59">
        <f ca="1">AVERAGE(OFFSET($AM$3,0,0,'Données projet'!$E$10+1,1))-AVERAGE(OFFSET($H$3,0,0,'Données projet'!$E$10+1,1))</f>
        <v>490.96084572840579</v>
      </c>
      <c r="AO57" s="59">
        <f t="shared" si="36"/>
        <v>597.91658789908263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89.159050080130655</v>
      </c>
      <c r="AV57" s="21">
        <f>EXP(-LN(2)/25)*AV56+(1-EXP(-LN(2)/25))/(LN(2)/25)*Calculateur!AQ57*Calculateur!AS57*VLOOKUP('Données projet'!$B$10,Paramètres!$A$1:$I$89,3,0)*0.475*44/12</f>
        <v>29.703058691695833</v>
      </c>
      <c r="AW57" s="21">
        <f>EXP(-LN(2)/2)*AW56+(1-EXP(-LN(2)/2))/(LN(2)/2)*AQ57*AT57*VLOOKUP('Données projet'!$B$10,Paramètres!$A$1:$I$89,3,0)*0.475*44/12</f>
        <v>2.0763754070773075E-4</v>
      </c>
      <c r="AX57" s="21">
        <f t="shared" si="6"/>
        <v>118.8623164093672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4.8</v>
      </c>
      <c r="BD57" s="12">
        <f>IF('Données projet'!$A$88&gt;35,BD56+BC57-BL56,IF(A57&lt;'Données projet'!$A$88,$BA$205^A57,IF(A57='Données projet'!$A$88,'Données projet'!$B$88,BD56+BC57-BL56)))</f>
        <v>180.2</v>
      </c>
      <c r="BE57" s="13">
        <f>BD57*VLOOKUP('Données projet'!$B$11,Paramètres!$A$1:$I$89,3,0)*VLOOKUP('Données projet'!$B$11,Paramètres!$A$1:$I$89,5,0)</f>
        <v>143.36712</v>
      </c>
      <c r="BF57" s="13">
        <f t="shared" si="37"/>
        <v>37.067295228155103</v>
      </c>
      <c r="BG57" s="20">
        <f t="shared" si="7"/>
        <v>314.25660652237013</v>
      </c>
      <c r="BH57" s="59">
        <f t="shared" si="8"/>
        <v>607.58993985570351</v>
      </c>
      <c r="BI57" s="59">
        <f ca="1">AVERAGE(OFFSET($BH$3,0,0,'Données projet'!$E$11+1,1))-AVERAGE(OFFSET($H$3,0,0,'Données projet'!$E$11+1,1))</f>
        <v>167.80254365106839</v>
      </c>
      <c r="BJ57" s="59">
        <f t="shared" si="38"/>
        <v>167.42302164950172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26.756956275509527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26.756956275509527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19.8</v>
      </c>
      <c r="BY57" s="12">
        <f>IF('Données projet'!$A$114&gt;35,BY56+BX57-CG56,IF(A57&lt;'Données projet'!$A$114,$BV$205^A57,IF(A57='Données projet'!$A$114,'Données projet'!$B$114,BY56+BX57-CG56)))</f>
        <v>517.19999999999993</v>
      </c>
      <c r="BZ57" s="13">
        <f>BY57*VLOOKUP('Données projet'!$B$12,Paramètres!$A$1:$I$89,3,0)*VLOOKUP('Données projet'!$B$12,Paramètres!$A$1:$I$89,5,0)</f>
        <v>255.49679999999998</v>
      </c>
      <c r="CA57" s="13">
        <f t="shared" si="39"/>
        <v>61.761503797782233</v>
      </c>
      <c r="CB57" s="20">
        <f t="shared" si="10"/>
        <v>552.55821244780407</v>
      </c>
      <c r="CC57" s="59">
        <f t="shared" si="11"/>
        <v>845.89154578113744</v>
      </c>
      <c r="CD57" s="59">
        <f ca="1">AVERAGE(OFFSET($CC$3,0,0,'Données projet'!$E$12+1,1))-AVERAGE(OFFSET($H$3,0,0,'Données projet'!$E$12+1,1))</f>
        <v>322.06606384496587</v>
      </c>
      <c r="CE57" s="59">
        <f t="shared" si="40"/>
        <v>267.71713177624713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64.68654046296011</v>
      </c>
      <c r="CL57" s="21">
        <f>EXP(-LN(2)/25)*CL56+(1-EXP(-LN(2)/25))/(LN(2)/25)*Calculateur!CG57*Calculateur!CI57*VLOOKUP('Données projet'!$B$12,Paramètres!$A$1:$I$89,3,0)*0.475*44/12</f>
        <v>10.334842628229344</v>
      </c>
      <c r="CM57" s="21">
        <f>EXP(-LN(2)/2)*CM56+(1-EXP(-LN(2)/2))/(LN(2)/2)*CG57*CJ57*VLOOKUP('Données projet'!$B$12,Paramètres!$A$1:$I$89,3,0)*0.475*44/12</f>
        <v>9.6557840067612057E-4</v>
      </c>
      <c r="CN57" s="22">
        <f t="shared" si="12"/>
        <v>75.02234866959013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>
        <f>VLOOKUP(A57,'Données projet'!$A$139:$I$159,2,0)</f>
        <v>374</v>
      </c>
      <c r="CR57" s="12">
        <f>VLOOKUP(A57,'Données projet'!$A$139:$I$159,9,0)</f>
        <v>11.533333333333331</v>
      </c>
      <c r="CS57" s="12">
        <f t="array" ref="CS57">INDEX(CR:CR,MIN(IF(ISNUMBER(CR57:CR253),ROW(CR57:CR253),"")))</f>
        <v>11.533333333333331</v>
      </c>
      <c r="CT57" s="12">
        <f>IF('Données projet'!$A$140&gt;35,CT56+CS57-DB56,IF(A57&lt;'Données projet'!$A$140,$CQ$205^A57,IF(A57='Données projet'!$A$140,'Données projet'!$B$140,CT56+CS57-DB56)))</f>
        <v>374</v>
      </c>
      <c r="CU57" s="17">
        <f>CT57*VLOOKUP('Données projet'!$B$13,Paramètres!$A$1:$I$89,3,0)*VLOOKUP('Données projet'!$B$13,Paramètres!$A$1:$I$89,5,0)</f>
        <v>233.37599999999998</v>
      </c>
      <c r="CV57" s="13">
        <f t="shared" si="41"/>
        <v>57.012031446990107</v>
      </c>
      <c r="CW57" s="20">
        <f t="shared" si="13"/>
        <v>505.75915477017446</v>
      </c>
      <c r="CX57" s="59">
        <f t="shared" si="14"/>
        <v>799.09248810350778</v>
      </c>
      <c r="CY57" s="59">
        <f ca="1">AVERAGE(OFFSET($CX$3,0,0,'Données projet'!$E$13+1,1))-AVERAGE(OFFSET($H$3,0,0,'Données projet'!$E$13+1,1))</f>
        <v>269.77739619445515</v>
      </c>
      <c r="CZ57" s="59">
        <f t="shared" si="42"/>
        <v>347.56964743629885</v>
      </c>
      <c r="DA57" s="15">
        <f>IF(ISNA(VLOOKUP(A57,'Données projet'!$A$139:$I$159,3,0)),0,VLOOKUP(A57,'Données projet'!$A$139:$I$159,3,0))</f>
        <v>8</v>
      </c>
      <c r="DB57" s="15">
        <f>IF(ISNA(VLOOKUP(A57,'Données projet'!$A$139:$I$159,4,0)),0,VLOOKUP(A57,'Données projet'!$A$139:$I$159,4,0))</f>
        <v>46.9</v>
      </c>
      <c r="DC57" s="16">
        <f>IF(ISNA(VLOOKUP(A57,'Données projet'!$A$139:$I$159,5,0)),0%,VLOOKUP(A57,'Données projet'!$A$139:$I$159,5,0)*VLOOKUP('Données projet'!$B$13,Paramètres!$A$1:$I$89,7,0))</f>
        <v>0.6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86.240478409395863</v>
      </c>
      <c r="DG57" s="21">
        <f>EXP(-LN(2)/25)*DG56+(1-EXP(-LN(2)/25))/(LN(2)/25)*Calculateur!DB57*Calculateur!DD57*VLOOKUP('Données projet'!$B$13,Paramètres!$A$1:$I$89,3,0)*0.475*44/12</f>
        <v>47.160708021592498</v>
      </c>
      <c r="DH57" s="21">
        <f>EXP(-LN(2)/2)*DH56+(1-EXP(-LN(2)/2))/(LN(2)/2)*DB57*DE57*VLOOKUP('Données projet'!$B$13,Paramètres!$A$1:$I$89,3,0)*0.475*44/12</f>
        <v>6.0640493229948375E-6</v>
      </c>
      <c r="DI57" s="22">
        <f t="shared" si="15"/>
        <v>133.40119249503769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19.8</v>
      </c>
      <c r="DO57" s="12">
        <f>IF('Données projet'!$A$166&gt;35,DO56+DN57-DW56,IF(A57&lt;'Données projet'!$A$166,$DL$205^A57,IF(A57='Données projet'!$A$166,'Données projet'!$B$166,DO56+DN57-DW56)))</f>
        <v>517.19999999999993</v>
      </c>
      <c r="DP57" s="17">
        <f>DO57*VLOOKUP('Données projet'!$B$14,Paramètres!$A$1:$I$89,3,0)*VLOOKUP('Données projet'!$B$14,Paramètres!$A$1:$I$89,5,0)</f>
        <v>248.77319999999997</v>
      </c>
      <c r="DQ57" s="13">
        <f t="shared" si="43"/>
        <v>60.323164932034068</v>
      </c>
      <c r="DR57" s="20">
        <f t="shared" si="16"/>
        <v>538.34283558995924</v>
      </c>
      <c r="DS57" s="59">
        <f t="shared" si="17"/>
        <v>831.67616892329261</v>
      </c>
      <c r="DT57" s="59">
        <f ca="1">AVERAGE(OFFSET($DS$3,0,0,'Données projet'!$E$14+1,1))-AVERAGE(OFFSET($H$3,0,0,'Données projet'!$E$14+1,1))</f>
        <v>312.64506496298173</v>
      </c>
      <c r="DU57" s="59">
        <f t="shared" si="44"/>
        <v>259.97532509897508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62.984263082355902</v>
      </c>
      <c r="EB57" s="21">
        <f>EXP(-LN(2)/25)*EB56+(1-EXP(-LN(2)/25))/(LN(2)/25)*Calculateur!DW57*Calculateur!DY57*VLOOKUP('Données projet'!$B$14,Paramètres!$A$1:$I$89,3,0)*0.475*44/12</f>
        <v>10.062873085381202</v>
      </c>
      <c r="EC57" s="21">
        <f>EXP(-LN(2)/2)*EC56+(1-EXP(-LN(2)/2))/(LN(2)/2)*DW57*DZ57*VLOOKUP('Données projet'!$B$14,Paramètres!$A$1:$I$89,3,0)*0.475*44/12</f>
        <v>9.4016844276358872E-4</v>
      </c>
      <c r="ED57" s="22">
        <f t="shared" si="18"/>
        <v>73.048076336179875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</v>
      </c>
      <c r="EJ57" s="12">
        <f>IF('Données projet'!$A$192&gt;35,EJ56+EI57-ER56,IF(A57&lt;'Données projet'!$A$192,$EG$205^A57,IF(A57='Données projet'!$A$192,'Données projet'!$B$192,EJ56+EI57-ER56)))</f>
        <v>189</v>
      </c>
      <c r="EK57" s="17">
        <f>EJ57*VLOOKUP('Données projet'!$B$15,Paramètres!$A$1:$I$89,3,0)*VLOOKUP('Données projet'!$B$15,Paramètres!$A$1:$I$89,5,0)</f>
        <v>171.00719999999998</v>
      </c>
      <c r="EL57" s="13">
        <f t="shared" si="45"/>
        <v>43.315525267338089</v>
      </c>
      <c r="EM57" s="20">
        <f t="shared" si="19"/>
        <v>373.27874650728046</v>
      </c>
      <c r="EN57" s="59">
        <f t="shared" si="20"/>
        <v>666.61207984061377</v>
      </c>
      <c r="EO57" s="59">
        <f ca="1">AVERAGE(OFFSET($EN$3,0,0,'Données projet'!$E$15+1,1))-AVERAGE(OFFSET($H$3,0,0,'Données projet'!$E$15+1,1))</f>
        <v>269.64423257646359</v>
      </c>
      <c r="EP57" s="59">
        <f t="shared" si="46"/>
        <v>161.0819079811821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28.946453094728916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28.946453094728916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9.8000000000000007</v>
      </c>
      <c r="FE57" s="12">
        <f>IF('Données projet'!$A$218&gt;35,FE56+FD57-FM56,IF(A57&lt;'Données projet'!$A$218,$FB$205^A57,IF(A57='Données projet'!$A$218,'Données projet'!$B$218,FE56+FD57-FM56)))</f>
        <v>287.2000000000001</v>
      </c>
      <c r="FF57" s="17">
        <f>FE57*VLOOKUP('Données projet'!$B$16,Paramètres!$A$1:$I$89,3,0)*VLOOKUP('Données projet'!$B$16,Paramètres!$A$1:$I$89,5,0)</f>
        <v>224.01600000000008</v>
      </c>
      <c r="FG57" s="13">
        <f t="shared" si="47"/>
        <v>54.986822380896371</v>
      </c>
      <c r="FH57" s="20">
        <f t="shared" si="22"/>
        <v>485.92991564672792</v>
      </c>
      <c r="FI57" s="59">
        <f t="shared" si="23"/>
        <v>779.26324898006123</v>
      </c>
      <c r="FJ57" s="59">
        <f ca="1">AVERAGE(OFFSET($FI$3,0,0,'Données projet'!$E$16+1,1))-AVERAGE(OFFSET($H$3,0,0,'Données projet'!$E$16+1,1))</f>
        <v>283.77864672734273</v>
      </c>
      <c r="FK57" s="59">
        <f t="shared" si="48"/>
        <v>270.94620935643866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39.529969165017562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39.529969165017562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7.4</v>
      </c>
      <c r="FZ57" s="12">
        <f>IF('Données projet'!$A$244&gt;35,FZ56+FY57-GH56,IF(A57&lt;'Données projet'!$A$244,$FW$205^A57,IF(A57='Données projet'!$A$244,'Données projet'!$B$244,FZ56+FY57-GH56)))</f>
        <v>271.59999999999997</v>
      </c>
      <c r="GA57" s="17">
        <f>FZ57*VLOOKUP('Données projet'!$B$17,Paramètres!$A$1:$I$89,3,0)*VLOOKUP('Données projet'!$B$17,Paramètres!$A$1:$I$89,5,0)</f>
        <v>262.69151999999997</v>
      </c>
      <c r="GB57" s="13">
        <f t="shared" si="49"/>
        <v>63.295756917241974</v>
      </c>
      <c r="GC57" s="20">
        <f t="shared" si="25"/>
        <v>567.76117396419647</v>
      </c>
      <c r="GD57" s="59">
        <f t="shared" si="26"/>
        <v>861.09450729752984</v>
      </c>
      <c r="GE57" s="59">
        <f ca="1">AVERAGE(OFFSET($GD$3,0,0,'Données projet'!$E$17+1,1))-AVERAGE(OFFSET($H$3,0,0,'Données projet'!$E$17+1,1))</f>
        <v>347.54503437087288</v>
      </c>
      <c r="GF57" s="59">
        <f t="shared" si="50"/>
        <v>340.05673244455954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40.543625608505245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40.543625608505245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594</v>
      </c>
      <c r="L58" s="12">
        <f>VLOOKUP(A58,'Données projet'!$A$35:$I$55,9,0)</f>
        <v>21.6</v>
      </c>
      <c r="M58" s="12">
        <f t="array" ref="M58">INDEX(L:L,MIN(IF(ISNUMBER(L58:L254),ROW(L58:L254),"")))</f>
        <v>21.6</v>
      </c>
      <c r="N58" s="13">
        <f>IF('Données projet'!$A$36&gt;35,N57+M58-V57,IF(A58&lt;'Données projet'!$A$36,$K$205^A58,IF(A58='Données projet'!$A$36,'Données projet'!$B$36,N57+M58-V57)))</f>
        <v>593.99999999999989</v>
      </c>
      <c r="O58" s="13">
        <f>N58*VLOOKUP('Données projet'!$B$9,Paramètres!$A$1:$I$89,3,0)*VLOOKUP('Données projet'!$B$9,Paramètres!$A$1:$I$89,5,0)</f>
        <v>277.99199999999996</v>
      </c>
      <c r="P58" s="13">
        <f t="shared" si="33"/>
        <v>66.542483170264177</v>
      </c>
      <c r="Q58" s="20">
        <f t="shared" si="53"/>
        <v>600.06422485487667</v>
      </c>
      <c r="R58" s="59">
        <f t="shared" si="0"/>
        <v>893.39755818821004</v>
      </c>
      <c r="S58" s="59">
        <f ca="1">AVERAGE(OFFSET($R$3,0,0,'Données projet'!$E$9+1,1))-AVERAGE(OFFSET($H$3,0,0,'Données projet'!$E$9+1,1))</f>
        <v>342.49944586217674</v>
      </c>
      <c r="T58" s="59">
        <f t="shared" si="34"/>
        <v>282.29766600872563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60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88.077780207826692</v>
      </c>
      <c r="AA58" s="21">
        <f>EXP(-LN(2)/25)*AA57+(1-EXP(-LN(2)/25))/(LN(2)/25)*Calculateur!V58*Calculateur!X58*VLOOKUP('Données projet'!$B$9,Paramètres!$A$1:$I$89,3,0)*0.475*44/12</f>
        <v>20.040269004804134</v>
      </c>
      <c r="AB58" s="21">
        <f>EXP(-LN(2)/2)*AB57+(1-EXP(-LN(2)/2))/(LN(2)/2)*V58*Y58*VLOOKUP('Données projet'!$B$9,Paramètres!$A$1:$I$89,3,0)*0.475*44/12</f>
        <v>1.429310132579782E-5</v>
      </c>
      <c r="AC58" s="22">
        <f t="shared" si="3"/>
        <v>108.11806350573215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739</v>
      </c>
      <c r="AG58" s="12">
        <f>VLOOKUP(A58,'Données projet'!$A$61:$I$81,9,0)</f>
        <v>15.4</v>
      </c>
      <c r="AH58" s="12">
        <f t="array" ref="AH58">INDEX(AG:AG,MIN(IF(ISNUMBER(AG58:AG254),ROW(AG58:AG254),"")))</f>
        <v>15.4</v>
      </c>
      <c r="AI58" s="13">
        <f>IF('Données projet'!$A$62&gt;35,AI57+AH58-AQ57,IF(A58&lt;'Données projet'!$A$62,$AF$205^A58,IF(A58='Données projet'!$A$62,'Données projet'!$B$62,AI57+AH58-AQ57)))</f>
        <v>738.99999999999943</v>
      </c>
      <c r="AJ58" s="13">
        <f>AI58*VLOOKUP('Données projet'!$B$10,Paramètres!$A$1:$I$89,3,0)*VLOOKUP('Données projet'!$B$10,Paramètres!$A$1:$I$89,5,0)</f>
        <v>413.10099999999971</v>
      </c>
      <c r="AK58" s="13">
        <f t="shared" si="35"/>
        <v>94.427689670462271</v>
      </c>
      <c r="AL58" s="20">
        <f t="shared" si="4"/>
        <v>883.94580117605472</v>
      </c>
      <c r="AM58" s="59">
        <f t="shared" si="5"/>
        <v>1177.2791345093881</v>
      </c>
      <c r="AN58" s="59">
        <f ca="1">AVERAGE(OFFSET($AM$3,0,0,'Données projet'!$E$10+1,1))-AVERAGE(OFFSET($H$3,0,0,'Données projet'!$E$10+1,1))</f>
        <v>490.96084572840579</v>
      </c>
      <c r="AO58" s="59">
        <f t="shared" si="36"/>
        <v>597.91658789908263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46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106.17189861365489</v>
      </c>
      <c r="AV58" s="21">
        <f>EXP(-LN(2)/25)*AV57+(1-EXP(-LN(2)/25))/(LN(2)/25)*Calculateur!AQ58*Calculateur!AS58*VLOOKUP('Données projet'!$B$10,Paramètres!$A$1:$I$89,3,0)*0.475*44/12</f>
        <v>28.890826989755443</v>
      </c>
      <c r="AW58" s="21">
        <f>EXP(-LN(2)/2)*AW57+(1-EXP(-LN(2)/2))/(LN(2)/2)*AQ58*AT58*VLOOKUP('Données projet'!$B$10,Paramètres!$A$1:$I$89,3,0)*0.475*44/12</f>
        <v>1.4682191306333422E-4</v>
      </c>
      <c r="AX58" s="21">
        <f t="shared" si="6"/>
        <v>135.06287242532341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185</v>
      </c>
      <c r="BB58" s="12">
        <f>VLOOKUP(A58,'Données projet'!$A$87:$I$107,9,0)</f>
        <v>4.8</v>
      </c>
      <c r="BC58" s="12">
        <f t="array" ref="BC58">INDEX(BB:BB,MIN(IF(ISNUMBER(BB58:BB254),ROW(BB58:BB254),"")))</f>
        <v>4.8</v>
      </c>
      <c r="BD58" s="12">
        <f>IF('Données projet'!$A$88&gt;35,BD57+BC58-BL57,IF(A58&lt;'Données projet'!$A$88,$BA$205^A58,IF(A58='Données projet'!$A$88,'Données projet'!$B$88,BD57+BC58-BL57)))</f>
        <v>185</v>
      </c>
      <c r="BE58" s="13">
        <f>BD58*VLOOKUP('Données projet'!$B$11,Paramètres!$A$1:$I$89,3,0)*VLOOKUP('Données projet'!$B$11,Paramètres!$A$1:$I$89,5,0)</f>
        <v>147.18600000000001</v>
      </c>
      <c r="BF58" s="13">
        <f t="shared" si="37"/>
        <v>37.938390882441361</v>
      </c>
      <c r="BG58" s="20">
        <f t="shared" si="7"/>
        <v>322.4249807869187</v>
      </c>
      <c r="BH58" s="59">
        <f t="shared" si="8"/>
        <v>615.75831412025195</v>
      </c>
      <c r="BI58" s="59">
        <f ca="1">AVERAGE(OFFSET($BH$3,0,0,'Données projet'!$E$11+1,1))-AVERAGE(OFFSET($H$3,0,0,'Données projet'!$E$11+1,1))</f>
        <v>167.80254365106839</v>
      </c>
      <c r="BJ58" s="59">
        <f t="shared" si="38"/>
        <v>167.42302164950172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11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31.359825007044535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31.359825007044535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537</v>
      </c>
      <c r="BW58" s="12">
        <f>VLOOKUP(A58,'Données projet'!$A$113:$I$133,9,0)</f>
        <v>19.8</v>
      </c>
      <c r="BX58" s="12">
        <f t="array" ref="BX58">INDEX(BW:BW,MIN(IF(ISNUMBER(BW58:BW254),ROW(BW58:BW254),"")))</f>
        <v>19.8</v>
      </c>
      <c r="BY58" s="12">
        <f>IF('Données projet'!$A$114&gt;35,BY57+BX58-CG57,IF(A58&lt;'Données projet'!$A$114,$BV$205^A58,IF(A58='Données projet'!$A$114,'Données projet'!$B$114,BY57+BX58-CG57)))</f>
        <v>536.99999999999989</v>
      </c>
      <c r="BZ58" s="13">
        <f>BY58*VLOOKUP('Données projet'!$B$12,Paramètres!$A$1:$I$89,3,0)*VLOOKUP('Données projet'!$B$12,Paramètres!$A$1:$I$89,5,0)</f>
        <v>265.27799999999996</v>
      </c>
      <c r="CA58" s="13">
        <f t="shared" si="39"/>
        <v>63.846114993071289</v>
      </c>
      <c r="CB58" s="20">
        <f t="shared" si="10"/>
        <v>573.22450027959906</v>
      </c>
      <c r="CC58" s="59">
        <f t="shared" si="11"/>
        <v>866.55783361293243</v>
      </c>
      <c r="CD58" s="59">
        <f ca="1">AVERAGE(OFFSET($CC$3,0,0,'Données projet'!$E$12+1,1))-AVERAGE(OFFSET($H$3,0,0,'Données projet'!$E$12+1,1))</f>
        <v>322.06606384496587</v>
      </c>
      <c r="CE58" s="59">
        <f t="shared" si="40"/>
        <v>267.71713177624713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56</v>
      </c>
      <c r="CH58" s="16">
        <f>IF(ISNA(VLOOKUP(A58,'Données projet'!$A$113:$I$133,5,0)),0%,VLOOKUP(A58,'Données projet'!$A$113:$I$133,5,0)*VLOOKUP('Données projet'!$B$12,Paramètres!$A$1:$I$89,7,0))</f>
        <v>0.55000000000000004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83.602020361778983</v>
      </c>
      <c r="CL58" s="21">
        <f>EXP(-LN(2)/25)*CL57+(1-EXP(-LN(2)/25))/(LN(2)/25)*Calculateur!CG58*Calculateur!CI58*VLOOKUP('Données projet'!$B$12,Paramètres!$A$1:$I$89,3,0)*0.475*44/12</f>
        <v>10.05223581307466</v>
      </c>
      <c r="CM58" s="21">
        <f>EXP(-LN(2)/2)*CM57+(1-EXP(-LN(2)/2))/(LN(2)/2)*CG58*CJ58*VLOOKUP('Données projet'!$B$12,Paramètres!$A$1:$I$89,3,0)*0.475*44/12</f>
        <v>6.8276703488534616E-4</v>
      </c>
      <c r="CN58" s="22">
        <f t="shared" si="12"/>
        <v>93.654938941888531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12.316666666666663</v>
      </c>
      <c r="CT58" s="12">
        <f>IF('Données projet'!$A$140&gt;35,CT57+CS58-DB57,IF(A58&lt;'Données projet'!$A$140,$CQ$205^A58,IF(A58='Données projet'!$A$140,'Données projet'!$B$140,CT57+CS58-DB57)))</f>
        <v>339.41666666666669</v>
      </c>
      <c r="CU58" s="17">
        <f>CT58*VLOOKUP('Données projet'!$B$13,Paramètres!$A$1:$I$89,3,0)*VLOOKUP('Données projet'!$B$13,Paramètres!$A$1:$I$89,5,0)</f>
        <v>211.79600000000002</v>
      </c>
      <c r="CV58" s="13">
        <f t="shared" si="41"/>
        <v>52.327862151963842</v>
      </c>
      <c r="CW58" s="20">
        <f t="shared" si="13"/>
        <v>460.01572658133705</v>
      </c>
      <c r="CX58" s="59">
        <f t="shared" si="14"/>
        <v>753.34905991467031</v>
      </c>
      <c r="CY58" s="59">
        <f ca="1">AVERAGE(OFFSET($CX$3,0,0,'Données projet'!$E$13+1,1))-AVERAGE(OFFSET($H$3,0,0,'Données projet'!$E$13+1,1))</f>
        <v>269.77739619445515</v>
      </c>
      <c r="CZ58" s="59">
        <f t="shared" si="42"/>
        <v>347.56964743629885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84.549355229285467</v>
      </c>
      <c r="DG58" s="21">
        <f>EXP(-LN(2)/25)*DG57+(1-EXP(-LN(2)/25))/(LN(2)/25)*Calculateur!DB58*Calculateur!DD58*VLOOKUP('Données projet'!$B$13,Paramètres!$A$1:$I$89,3,0)*0.475*44/12</f>
        <v>45.871095980668201</v>
      </c>
      <c r="DH58" s="21">
        <f>EXP(-LN(2)/2)*DH57+(1-EXP(-LN(2)/2))/(LN(2)/2)*DB58*DE58*VLOOKUP('Données projet'!$B$13,Paramètres!$A$1:$I$89,3,0)*0.475*44/12</f>
        <v>4.2879303977393421E-6</v>
      </c>
      <c r="DI58" s="22">
        <f t="shared" si="15"/>
        <v>130.42045549788409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537</v>
      </c>
      <c r="DM58" s="12">
        <f>VLOOKUP(A58,'Données projet'!$A$165:$I$185,9,0)</f>
        <v>19.8</v>
      </c>
      <c r="DN58" s="12">
        <f t="array" ref="DN58">INDEX(DM:DM,MIN(IF(ISNUMBER(DM58:DM254),ROW(DM58:DM254),"")))</f>
        <v>19.8</v>
      </c>
      <c r="DO58" s="12">
        <f>IF('Données projet'!$A$166&gt;35,DO57+DN58-DW57,IF(A58&lt;'Données projet'!$A$166,$DL$205^A58,IF(A58='Données projet'!$A$166,'Données projet'!$B$166,DO57+DN58-DW57)))</f>
        <v>536.99999999999989</v>
      </c>
      <c r="DP58" s="17">
        <f>DO58*VLOOKUP('Données projet'!$B$14,Paramètres!$A$1:$I$89,3,0)*VLOOKUP('Données projet'!$B$14,Paramètres!$A$1:$I$89,5,0)</f>
        <v>258.29699999999997</v>
      </c>
      <c r="DQ58" s="13">
        <f t="shared" si="43"/>
        <v>62.359228454132143</v>
      </c>
      <c r="DR58" s="20">
        <f t="shared" si="16"/>
        <v>558.47626455761349</v>
      </c>
      <c r="DS58" s="59">
        <f t="shared" si="17"/>
        <v>851.80959789094686</v>
      </c>
      <c r="DT58" s="59">
        <f ca="1">AVERAGE(OFFSET($DS$3,0,0,'Données projet'!$E$14+1,1))-AVERAGE(OFFSET($H$3,0,0,'Données projet'!$E$14+1,1))</f>
        <v>312.64506496298173</v>
      </c>
      <c r="DU58" s="59">
        <f t="shared" si="44"/>
        <v>259.97532509897508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56</v>
      </c>
      <c r="DX58" s="16">
        <f>IF(ISNA(VLOOKUP(A58,'Données projet'!$A$165:$I$185,5,0)),0%,VLOOKUP(A58,'Données projet'!$A$165:$I$185,5,0)*VLOOKUP('Données projet'!$B$14,Paramètres!$A$1:$I$89,7,0))</f>
        <v>0.55000000000000004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81.401967194363749</v>
      </c>
      <c r="EB58" s="21">
        <f>EXP(-LN(2)/25)*EB57+(1-EXP(-LN(2)/25))/(LN(2)/25)*Calculateur!DW58*Calculateur!DY58*VLOOKUP('Données projet'!$B$14,Paramètres!$A$1:$I$89,3,0)*0.475*44/12</f>
        <v>9.7877032916779569</v>
      </c>
      <c r="EC58" s="21">
        <f>EXP(-LN(2)/2)*EC57+(1-EXP(-LN(2)/2))/(LN(2)/2)*DW58*DZ58*VLOOKUP('Données projet'!$B$14,Paramètres!$A$1:$I$89,3,0)*0.475*44/12</f>
        <v>6.6479948133573005E-4</v>
      </c>
      <c r="ED58" s="22">
        <f t="shared" si="18"/>
        <v>91.190335285523048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197</v>
      </c>
      <c r="EH58" s="12">
        <f>VLOOKUP(A58,'Données projet'!$A$191:$I$211,9,0)</f>
        <v>8</v>
      </c>
      <c r="EI58" s="12">
        <f t="array" ref="EI58">INDEX(EH:EH,MIN(IF(ISNUMBER(EH58:EH254),ROW(EH58:EH254),"")))</f>
        <v>8</v>
      </c>
      <c r="EJ58" s="12">
        <f>IF('Données projet'!$A$192&gt;35,EJ57+EI58-ER57,IF(A58&lt;'Données projet'!$A$192,$EG$205^A58,IF(A58='Données projet'!$A$192,'Données projet'!$B$192,EJ57+EI58-ER57)))</f>
        <v>197</v>
      </c>
      <c r="EK58" s="17">
        <f>EJ58*VLOOKUP('Données projet'!$B$15,Paramètres!$A$1:$I$89,3,0)*VLOOKUP('Données projet'!$B$15,Paramètres!$A$1:$I$89,5,0)</f>
        <v>178.2456</v>
      </c>
      <c r="EL58" s="13">
        <f t="shared" si="45"/>
        <v>44.931642269910427</v>
      </c>
      <c r="EM58" s="20">
        <f t="shared" si="19"/>
        <v>388.70036362009404</v>
      </c>
      <c r="EN58" s="59">
        <f t="shared" si="20"/>
        <v>682.03369695342735</v>
      </c>
      <c r="EO58" s="59">
        <f ca="1">AVERAGE(OFFSET($EN$3,0,0,'Données projet'!$E$15+1,1))-AVERAGE(OFFSET($H$3,0,0,'Données projet'!$E$15+1,1))</f>
        <v>269.64423257646359</v>
      </c>
      <c r="EP58" s="59">
        <f t="shared" si="46"/>
        <v>161.0819079811821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21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37.410904087729087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37.410904087729087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297</v>
      </c>
      <c r="FC58" s="12">
        <f>VLOOKUP(A58,'Données projet'!$A$217:$I$237,9,0)</f>
        <v>9.8000000000000007</v>
      </c>
      <c r="FD58" s="12">
        <f t="array" ref="FD58">INDEX(FC:FC,MIN(IF(ISNUMBER(FC58:FC254),ROW(FC58:FC254),"")))</f>
        <v>9.8000000000000007</v>
      </c>
      <c r="FE58" s="12">
        <f>IF('Données projet'!$A$218&gt;35,FE57+FD58-FM57,IF(A58&lt;'Données projet'!$A$218,$FB$205^A58,IF(A58='Données projet'!$A$218,'Données projet'!$B$218,FE57+FD58-FM57)))</f>
        <v>297.00000000000011</v>
      </c>
      <c r="FF58" s="17">
        <f>FE58*VLOOKUP('Données projet'!$B$16,Paramètres!$A$1:$I$89,3,0)*VLOOKUP('Données projet'!$B$16,Paramètres!$A$1:$I$89,5,0)</f>
        <v>231.66000000000011</v>
      </c>
      <c r="FG58" s="13">
        <f t="shared" si="47"/>
        <v>56.641461975682823</v>
      </c>
      <c r="FH58" s="20">
        <f t="shared" si="22"/>
        <v>502.1250462743144</v>
      </c>
      <c r="FI58" s="59">
        <f t="shared" si="23"/>
        <v>795.45837960764766</v>
      </c>
      <c r="FJ58" s="59">
        <f ca="1">AVERAGE(OFFSET($FI$3,0,0,'Données projet'!$E$16+1,1))-AVERAGE(OFFSET($H$3,0,0,'Données projet'!$E$16+1,1))</f>
        <v>283.77864672734273</v>
      </c>
      <c r="FK58" s="59">
        <f t="shared" si="48"/>
        <v>270.94620935643866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35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51.731927365929309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51.731927365929309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279</v>
      </c>
      <c r="FX58" s="12">
        <f>VLOOKUP(A58,'Données projet'!$A$243:$I$263,9,0)</f>
        <v>7.4</v>
      </c>
      <c r="FY58" s="12">
        <f t="array" ref="FY58">INDEX(FX:FX,MIN(IF(ISNUMBER(FX58:FX254),ROW(FX58:FX254),"")))</f>
        <v>7.4</v>
      </c>
      <c r="FZ58" s="12">
        <f>IF('Données projet'!$A$244&gt;35,FZ57+FY58-GH57,IF(A58&lt;'Données projet'!$A$244,$FW$205^A58,IF(A58='Données projet'!$A$244,'Données projet'!$B$244,FZ57+FY58-GH57)))</f>
        <v>278.99999999999994</v>
      </c>
      <c r="GA58" s="17">
        <f>FZ58*VLOOKUP('Données projet'!$B$17,Paramètres!$A$1:$I$89,3,0)*VLOOKUP('Données projet'!$B$17,Paramètres!$A$1:$I$89,5,0)</f>
        <v>269.84879999999993</v>
      </c>
      <c r="GB58" s="13">
        <f t="shared" si="49"/>
        <v>64.817179785761795</v>
      </c>
      <c r="GC58" s="20">
        <f t="shared" si="25"/>
        <v>582.87658146020169</v>
      </c>
      <c r="GD58" s="59">
        <f t="shared" si="26"/>
        <v>876.20991479353506</v>
      </c>
      <c r="GE58" s="59">
        <f ca="1">AVERAGE(OFFSET($GD$3,0,0,'Données projet'!$E$17+1,1))-AVERAGE(OFFSET($H$3,0,0,'Données projet'!$E$17+1,1))</f>
        <v>347.54503437087288</v>
      </c>
      <c r="GF58" s="59">
        <f t="shared" si="50"/>
        <v>340.05673244455954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16</v>
      </c>
      <c r="GI58" s="16">
        <f>IF(ISNA(VLOOKUP(A58,'Données projet'!$A$243:$I$263,5,0)),0%,VLOOKUP(A58,'Données projet'!$A$243:$I$263,5,0)*VLOOKUP('Données projet'!$B$17,Paramètres!$A$1:$I$89,7,0))</f>
        <v>0.43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47.104761182952046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47.104761182952046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20</v>
      </c>
      <c r="N59" s="13">
        <f>IF('Données projet'!$A$36&gt;35,N58+M59-V58,IF(A59&lt;'Données projet'!$A$36,$K$205^A59,IF(A59='Données projet'!$A$36,'Données projet'!$B$36,N58+M59-V58)))</f>
        <v>553.99999999999989</v>
      </c>
      <c r="O59" s="13">
        <f>N59*VLOOKUP('Données projet'!$B$9,Paramètres!$A$1:$I$89,3,0)*VLOOKUP('Données projet'!$B$9,Paramètres!$A$1:$I$89,5,0)</f>
        <v>259.27199999999993</v>
      </c>
      <c r="P59" s="13">
        <f t="shared" si="33"/>
        <v>62.567172460757938</v>
      </c>
      <c r="Q59" s="20">
        <f t="shared" si="53"/>
        <v>560.53655870248667</v>
      </c>
      <c r="R59" s="59">
        <f t="shared" si="0"/>
        <v>853.86989203581993</v>
      </c>
      <c r="S59" s="59">
        <f ca="1">AVERAGE(OFFSET($R$3,0,0,'Données projet'!$E$9+1,1))-AVERAGE(OFFSET($H$3,0,0,'Données projet'!$E$9+1,1))</f>
        <v>342.49944586217674</v>
      </c>
      <c r="T59" s="59">
        <f t="shared" si="34"/>
        <v>282.29766600872563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86.350628660092511</v>
      </c>
      <c r="AA59" s="21">
        <f>EXP(-LN(2)/25)*AA58+(1-EXP(-LN(2)/25))/(LN(2)/25)*Calculateur!V59*Calculateur!X59*VLOOKUP('Données projet'!$B$9,Paramètres!$A$1:$I$89,3,0)*0.475*44/12</f>
        <v>19.492266794995821</v>
      </c>
      <c r="AB59" s="21">
        <f>EXP(-LN(2)/2)*AB58+(1-EXP(-LN(2)/2))/(LN(2)/2)*V59*Y59*VLOOKUP('Données projet'!$B$9,Paramètres!$A$1:$I$89,3,0)*0.475*44/12</f>
        <v>1.0106748871658071E-5</v>
      </c>
      <c r="AC59" s="22">
        <f t="shared" si="3"/>
        <v>105.8429055618372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12.2</v>
      </c>
      <c r="AI59" s="13">
        <f>IF('Données projet'!$A$62&gt;35,AI58+AH59-AQ58,IF(A59&lt;'Données projet'!$A$62,$AF$205^A59,IF(A59='Données projet'!$A$62,'Données projet'!$B$62,AI58+AH59-AQ58)))</f>
        <v>705.19999999999948</v>
      </c>
      <c r="AJ59" s="13">
        <f>AI59*VLOOKUP('Données projet'!$B$10,Paramètres!$A$1:$I$89,3,0)*VLOOKUP('Données projet'!$B$10,Paramètres!$A$1:$I$89,5,0)</f>
        <v>394.2067999999997</v>
      </c>
      <c r="AK59" s="13">
        <f t="shared" si="35"/>
        <v>90.601187466199292</v>
      </c>
      <c r="AL59" s="20">
        <f t="shared" si="4"/>
        <v>844.37391150362998</v>
      </c>
      <c r="AM59" s="59">
        <f t="shared" si="5"/>
        <v>1137.7072448369634</v>
      </c>
      <c r="AN59" s="59">
        <f ca="1">AVERAGE(OFFSET($AM$3,0,0,'Données projet'!$E$10+1,1))-AVERAGE(OFFSET($H$3,0,0,'Données projet'!$E$10+1,1))</f>
        <v>490.96084572840579</v>
      </c>
      <c r="AO59" s="59">
        <f t="shared" si="36"/>
        <v>597.91658789908263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104.08993244030491</v>
      </c>
      <c r="AV59" s="21">
        <f>EXP(-LN(2)/25)*AV58+(1-EXP(-LN(2)/25))/(LN(2)/25)*Calculateur!AQ59*Calculateur!AS59*VLOOKUP('Données projet'!$B$10,Paramètres!$A$1:$I$89,3,0)*0.475*44/12</f>
        <v>28.10080580641802</v>
      </c>
      <c r="AW59" s="21">
        <f>EXP(-LN(2)/2)*AW58+(1-EXP(-LN(2)/2))/(LN(2)/2)*AQ59*AT59*VLOOKUP('Données projet'!$B$10,Paramètres!$A$1:$I$89,3,0)*0.475*44/12</f>
        <v>1.0381877035386538E-4</v>
      </c>
      <c r="AX59" s="21">
        <f t="shared" si="6"/>
        <v>132.19084206549329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</v>
      </c>
      <c r="BD59" s="12">
        <f>IF('Données projet'!$A$88&gt;35,BD58+BC59-BL58,IF(A59&lt;'Données projet'!$A$88,$BA$205^A59,IF(A59='Données projet'!$A$88,'Données projet'!$B$88,BD58+BC59-BL58)))</f>
        <v>178</v>
      </c>
      <c r="BE59" s="13">
        <f>BD59*VLOOKUP('Données projet'!$B$11,Paramètres!$A$1:$I$89,3,0)*VLOOKUP('Données projet'!$B$11,Paramètres!$A$1:$I$89,5,0)</f>
        <v>141.61680000000001</v>
      </c>
      <c r="BF59" s="13">
        <f t="shared" si="37"/>
        <v>36.66714378804366</v>
      </c>
      <c r="BG59" s="20">
        <f t="shared" si="7"/>
        <v>310.5112020975094</v>
      </c>
      <c r="BH59" s="59">
        <f t="shared" si="8"/>
        <v>603.84453543084271</v>
      </c>
      <c r="BI59" s="59">
        <f ca="1">AVERAGE(OFFSET($BH$3,0,0,'Données projet'!$E$11+1,1))-AVERAGE(OFFSET($H$3,0,0,'Données projet'!$E$11+1,1))</f>
        <v>167.80254365106839</v>
      </c>
      <c r="BJ59" s="59">
        <f t="shared" si="38"/>
        <v>167.42302164950172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30.744877966260951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30.744877966260951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18.600000000000001</v>
      </c>
      <c r="BY59" s="12">
        <f>IF('Données projet'!$A$114&gt;35,BY58+BX59-CG58,IF(A59&lt;'Données projet'!$A$114,$BV$205^A59,IF(A59='Données projet'!$A$114,'Données projet'!$B$114,BY58+BX59-CG58)))</f>
        <v>499.59999999999991</v>
      </c>
      <c r="BZ59" s="13">
        <f>BY59*VLOOKUP('Données projet'!$B$12,Paramètres!$A$1:$I$89,3,0)*VLOOKUP('Données projet'!$B$12,Paramètres!$A$1:$I$89,5,0)</f>
        <v>246.80239999999995</v>
      </c>
      <c r="CA59" s="13">
        <f t="shared" si="39"/>
        <v>59.900710790806265</v>
      </c>
      <c r="CB59" s="20">
        <f t="shared" si="10"/>
        <v>534.17458462732077</v>
      </c>
      <c r="CC59" s="59">
        <f t="shared" si="11"/>
        <v>827.50791796065414</v>
      </c>
      <c r="CD59" s="59">
        <f ca="1">AVERAGE(OFFSET($CC$3,0,0,'Données projet'!$E$12+1,1))-AVERAGE(OFFSET($H$3,0,0,'Données projet'!$E$12+1,1))</f>
        <v>322.06606384496587</v>
      </c>
      <c r="CE59" s="59">
        <f t="shared" si="40"/>
        <v>267.71713177624713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81.962635734681854</v>
      </c>
      <c r="CL59" s="21">
        <f>EXP(-LN(2)/25)*CL58+(1-EXP(-LN(2)/25))/(LN(2)/25)*Calculateur!CG59*Calculateur!CI59*VLOOKUP('Données projet'!$B$12,Paramètres!$A$1:$I$89,3,0)*0.475*44/12</f>
        <v>9.7773568961420256</v>
      </c>
      <c r="CM59" s="21">
        <f>EXP(-LN(2)/2)*CM58+(1-EXP(-LN(2)/2))/(LN(2)/2)*CG59*CJ59*VLOOKUP('Données projet'!$B$12,Paramètres!$A$1:$I$89,3,0)*0.475*44/12</f>
        <v>4.8278920033806034E-4</v>
      </c>
      <c r="CN59" s="22">
        <f t="shared" si="12"/>
        <v>91.740475420024211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12.316666666666663</v>
      </c>
      <c r="CT59" s="12">
        <f>IF('Données projet'!$A$140&gt;35,CT58+CS59-DB58,IF(A59&lt;'Données projet'!$A$140,$CQ$205^A59,IF(A59='Données projet'!$A$140,'Données projet'!$B$140,CT58+CS59-DB58)))</f>
        <v>351.73333333333335</v>
      </c>
      <c r="CU59" s="17">
        <f>CT59*VLOOKUP('Données projet'!$B$13,Paramètres!$A$1:$I$89,3,0)*VLOOKUP('Données projet'!$B$13,Paramètres!$A$1:$I$89,5,0)</f>
        <v>219.48159999999999</v>
      </c>
      <c r="CV59" s="13">
        <f t="shared" si="41"/>
        <v>54.002198576508427</v>
      </c>
      <c r="CW59" s="20">
        <f t="shared" si="13"/>
        <v>476.31761585408549</v>
      </c>
      <c r="CX59" s="59">
        <f t="shared" si="14"/>
        <v>769.65094918741875</v>
      </c>
      <c r="CY59" s="59">
        <f ca="1">AVERAGE(OFFSET($CX$3,0,0,'Données projet'!$E$13+1,1))-AVERAGE(OFFSET($H$3,0,0,'Données projet'!$E$13+1,1))</f>
        <v>269.77739619445515</v>
      </c>
      <c r="CZ59" s="59">
        <f t="shared" si="42"/>
        <v>347.56964743629885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82.891393943253746</v>
      </c>
      <c r="DG59" s="21">
        <f>EXP(-LN(2)/25)*DG58+(1-EXP(-LN(2)/25))/(LN(2)/25)*Calculateur!DB59*Calculateur!DD59*VLOOKUP('Données projet'!$B$13,Paramètres!$A$1:$I$89,3,0)*0.475*44/12</f>
        <v>44.616748448820729</v>
      </c>
      <c r="DH59" s="21">
        <f>EXP(-LN(2)/2)*DH58+(1-EXP(-LN(2)/2))/(LN(2)/2)*DB59*DE59*VLOOKUP('Données projet'!$B$13,Paramètres!$A$1:$I$89,3,0)*0.475*44/12</f>
        <v>3.0320246614974188E-6</v>
      </c>
      <c r="DI59" s="22">
        <f t="shared" si="15"/>
        <v>127.50814542409914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18.600000000000001</v>
      </c>
      <c r="DO59" s="12">
        <f>IF('Données projet'!$A$166&gt;35,DO58+DN59-DW58,IF(A59&lt;'Données projet'!$A$166,$DL$205^A59,IF(A59='Données projet'!$A$166,'Données projet'!$B$166,DO58+DN59-DW58)))</f>
        <v>499.59999999999991</v>
      </c>
      <c r="DP59" s="17">
        <f>DO59*VLOOKUP('Données projet'!$B$14,Paramètres!$A$1:$I$89,3,0)*VLOOKUP('Données projet'!$B$14,Paramètres!$A$1:$I$89,5,0)</f>
        <v>240.30759999999998</v>
      </c>
      <c r="DQ59" s="13">
        <f t="shared" si="43"/>
        <v>58.505707186320713</v>
      </c>
      <c r="DR59" s="20">
        <f t="shared" si="16"/>
        <v>520.43317668284192</v>
      </c>
      <c r="DS59" s="59">
        <f t="shared" si="17"/>
        <v>813.76651001617529</v>
      </c>
      <c r="DT59" s="59">
        <f ca="1">AVERAGE(OFFSET($DS$3,0,0,'Données projet'!$E$14+1,1))-AVERAGE(OFFSET($H$3,0,0,'Données projet'!$E$14+1,1))</f>
        <v>312.64506496298173</v>
      </c>
      <c r="DU59" s="59">
        <f t="shared" si="44"/>
        <v>259.97532509897508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79.805724267979699</v>
      </c>
      <c r="EB59" s="21">
        <f>EXP(-LN(2)/25)*EB58+(1-EXP(-LN(2)/25))/(LN(2)/25)*Calculateur!DW59*Calculateur!DY59*VLOOKUP('Données projet'!$B$14,Paramètres!$A$1:$I$89,3,0)*0.475*44/12</f>
        <v>9.5200580304540772</v>
      </c>
      <c r="EC59" s="21">
        <f>EXP(-LN(2)/2)*EC58+(1-EXP(-LN(2)/2))/(LN(2)/2)*DW59*DZ59*VLOOKUP('Données projet'!$B$14,Paramètres!$A$1:$I$89,3,0)*0.475*44/12</f>
        <v>4.7008422138179436E-4</v>
      </c>
      <c r="ED59" s="22">
        <f t="shared" si="18"/>
        <v>89.326252382655156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7.6</v>
      </c>
      <c r="EJ59" s="12">
        <f>IF('Données projet'!$A$192&gt;35,EJ58+EI59-ER58,IF(A59&lt;'Données projet'!$A$192,$EG$205^A59,IF(A59='Données projet'!$A$192,'Données projet'!$B$192,EJ58+EI59-ER58)))</f>
        <v>183.6</v>
      </c>
      <c r="EK59" s="17">
        <f>EJ59*VLOOKUP('Données projet'!$B$15,Paramètres!$A$1:$I$89,3,0)*VLOOKUP('Données projet'!$B$15,Paramètres!$A$1:$I$89,5,0)</f>
        <v>166.12127999999998</v>
      </c>
      <c r="EL59" s="13">
        <f t="shared" si="45"/>
        <v>42.220155874487318</v>
      </c>
      <c r="EM59" s="20">
        <f t="shared" si="19"/>
        <v>362.8613341480654</v>
      </c>
      <c r="EN59" s="59">
        <f t="shared" si="20"/>
        <v>656.19466748139871</v>
      </c>
      <c r="EO59" s="59">
        <f ca="1">AVERAGE(OFFSET($EN$3,0,0,'Données projet'!$E$15+1,1))-AVERAGE(OFFSET($H$3,0,0,'Données projet'!$E$15+1,1))</f>
        <v>269.64423257646359</v>
      </c>
      <c r="EP59" s="59">
        <f t="shared" si="46"/>
        <v>161.0819079811821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36.677299076967081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36.677299076967081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9.6</v>
      </c>
      <c r="FE59" s="12">
        <f>IF('Données projet'!$A$218&gt;35,FE58+FD59-FM58,IF(A59&lt;'Données projet'!$A$218,$FB$205^A59,IF(A59='Données projet'!$A$218,'Données projet'!$B$218,FE58+FD59-FM58)))</f>
        <v>271.60000000000014</v>
      </c>
      <c r="FF59" s="17">
        <f>FE59*VLOOKUP('Données projet'!$B$16,Paramètres!$A$1:$I$89,3,0)*VLOOKUP('Données projet'!$B$16,Paramètres!$A$1:$I$89,5,0)</f>
        <v>211.84800000000013</v>
      </c>
      <c r="FG59" s="13">
        <f t="shared" si="47"/>
        <v>52.33921403960656</v>
      </c>
      <c r="FH59" s="20">
        <f t="shared" si="22"/>
        <v>460.12606445231495</v>
      </c>
      <c r="FI59" s="59">
        <f t="shared" si="23"/>
        <v>753.45939778564821</v>
      </c>
      <c r="FJ59" s="59">
        <f ca="1">AVERAGE(OFFSET($FI$3,0,0,'Données projet'!$E$16+1,1))-AVERAGE(OFFSET($H$3,0,0,'Données projet'!$E$16+1,1))</f>
        <v>283.77864672734273</v>
      </c>
      <c r="FK59" s="59">
        <f t="shared" si="48"/>
        <v>270.94620935643866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50.717495823643496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50.717495823643496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6.2</v>
      </c>
      <c r="FZ59" s="12">
        <f>IF('Données projet'!$A$244&gt;35,FZ58+FY59-GH58,IF(A59&lt;'Données projet'!$A$244,$FW$205^A59,IF(A59='Données projet'!$A$244,'Données projet'!$B$244,FZ58+FY59-GH58)))</f>
        <v>269.19999999999993</v>
      </c>
      <c r="GA59" s="17">
        <f>FZ59*VLOOKUP('Données projet'!$B$17,Paramètres!$A$1:$I$89,3,0)*VLOOKUP('Données projet'!$B$17,Paramètres!$A$1:$I$89,5,0)</f>
        <v>260.37023999999997</v>
      </c>
      <c r="GB59" s="13">
        <f t="shared" si="49"/>
        <v>62.801291625234725</v>
      </c>
      <c r="GC59" s="20">
        <f t="shared" si="25"/>
        <v>562.85708424728375</v>
      </c>
      <c r="GD59" s="59">
        <f t="shared" si="26"/>
        <v>856.19041758061712</v>
      </c>
      <c r="GE59" s="59">
        <f ca="1">AVERAGE(OFFSET($GD$3,0,0,'Données projet'!$E$17+1,1))-AVERAGE(OFFSET($H$3,0,0,'Données projet'!$E$17+1,1))</f>
        <v>347.54503437087288</v>
      </c>
      <c r="GF59" s="59">
        <f t="shared" si="50"/>
        <v>340.05673244455954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46.181065547221721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46.181065547221721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20</v>
      </c>
      <c r="N60" s="13">
        <f>IF('Données projet'!$A$36&gt;35,N59+M60-V59,IF(A60&lt;'Données projet'!$A$36,$K$205^A60,IF(A60='Données projet'!$A$36,'Données projet'!$B$36,N59+M60-V59)))</f>
        <v>573.99999999999989</v>
      </c>
      <c r="O60" s="13">
        <f>N60*VLOOKUP('Données projet'!$B$9,Paramètres!$A$1:$I$89,3,0)*VLOOKUP('Données projet'!$B$9,Paramètres!$A$1:$I$89,5,0)</f>
        <v>268.63199999999995</v>
      </c>
      <c r="P60" s="13">
        <f t="shared" si="33"/>
        <v>64.558859389206148</v>
      </c>
      <c r="Q60" s="20">
        <f t="shared" si="53"/>
        <v>580.30741343620048</v>
      </c>
      <c r="R60" s="59">
        <f t="shared" si="0"/>
        <v>873.64074676953373</v>
      </c>
      <c r="S60" s="59">
        <f ca="1">AVERAGE(OFFSET($R$3,0,0,'Données projet'!$E$9+1,1))-AVERAGE(OFFSET($H$3,0,0,'Données projet'!$E$9+1,1))</f>
        <v>342.49944586217674</v>
      </c>
      <c r="T60" s="59">
        <f t="shared" si="34"/>
        <v>282.29766600872563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84.657345500750978</v>
      </c>
      <c r="AA60" s="21">
        <f>EXP(-LN(2)/25)*AA59+(1-EXP(-LN(2)/25))/(LN(2)/25)*Calculateur!V60*Calculateur!X60*VLOOKUP('Données projet'!$B$9,Paramètres!$A$1:$I$89,3,0)*0.475*44/12</f>
        <v>18.959249734432898</v>
      </c>
      <c r="AB60" s="21">
        <f>EXP(-LN(2)/2)*AB59+(1-EXP(-LN(2)/2))/(LN(2)/2)*V60*Y60*VLOOKUP('Données projet'!$B$9,Paramètres!$A$1:$I$89,3,0)*0.475*44/12</f>
        <v>7.1465506628989098E-6</v>
      </c>
      <c r="AC60" s="22">
        <f t="shared" si="3"/>
        <v>103.61660238173454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12.2</v>
      </c>
      <c r="AI60" s="13">
        <f>IF('Données projet'!$A$62&gt;35,AI59+AH60-AQ59,IF(A60&lt;'Données projet'!$A$62,$AF$205^A60,IF(A60='Données projet'!$A$62,'Données projet'!$B$62,AI59+AH60-AQ59)))</f>
        <v>717.39999999999952</v>
      </c>
      <c r="AJ60" s="13">
        <f>AI60*VLOOKUP('Données projet'!$B$10,Paramètres!$A$1:$I$89,3,0)*VLOOKUP('Données projet'!$B$10,Paramètres!$A$1:$I$89,5,0)</f>
        <v>401.02659999999975</v>
      </c>
      <c r="AK60" s="13">
        <f t="shared" si="35"/>
        <v>91.984761558101539</v>
      </c>
      <c r="AL60" s="20">
        <f t="shared" si="4"/>
        <v>858.66145471369293</v>
      </c>
      <c r="AM60" s="59">
        <f t="shared" si="5"/>
        <v>1151.9947880470263</v>
      </c>
      <c r="AN60" s="59">
        <f ca="1">AVERAGE(OFFSET($AM$3,0,0,'Données projet'!$E$10+1,1))-AVERAGE(OFFSET($H$3,0,0,'Données projet'!$E$10+1,1))</f>
        <v>490.96084572840579</v>
      </c>
      <c r="AO60" s="59">
        <f t="shared" si="36"/>
        <v>597.91658789908263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102.04879235374034</v>
      </c>
      <c r="AV60" s="21">
        <f>EXP(-LN(2)/25)*AV59+(1-EXP(-LN(2)/25))/(LN(2)/25)*Calculateur!AQ60*Calculateur!AS60*VLOOKUP('Données projet'!$B$10,Paramètres!$A$1:$I$89,3,0)*0.475*44/12</f>
        <v>27.332387793884365</v>
      </c>
      <c r="AW60" s="21">
        <f>EXP(-LN(2)/2)*AW59+(1-EXP(-LN(2)/2))/(LN(2)/2)*AQ60*AT60*VLOOKUP('Données projet'!$B$10,Paramètres!$A$1:$I$89,3,0)*0.475*44/12</f>
        <v>7.3410956531667109E-5</v>
      </c>
      <c r="AX60" s="21">
        <f t="shared" si="6"/>
        <v>129.38125355858125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</v>
      </c>
      <c r="BD60" s="12">
        <f>IF('Données projet'!$A$88&gt;35,BD59+BC60-BL59,IF(A60&lt;'Données projet'!$A$88,$BA$205^A60,IF(A60='Données projet'!$A$88,'Données projet'!$B$88,BD59+BC60-BL59)))</f>
        <v>182</v>
      </c>
      <c r="BE60" s="13">
        <f>BD60*VLOOKUP('Données projet'!$B$11,Paramètres!$A$1:$I$89,3,0)*VLOOKUP('Données projet'!$B$11,Paramètres!$A$1:$I$89,5,0)</f>
        <v>144.79920000000001</v>
      </c>
      <c r="BF60" s="13">
        <f t="shared" si="37"/>
        <v>37.394268839921317</v>
      </c>
      <c r="BG60" s="20">
        <f t="shared" si="7"/>
        <v>317.32029156286296</v>
      </c>
      <c r="BH60" s="59">
        <f t="shared" si="8"/>
        <v>610.65362489619633</v>
      </c>
      <c r="BI60" s="59">
        <f ca="1">AVERAGE(OFFSET($BH$3,0,0,'Données projet'!$E$11+1,1))-AVERAGE(OFFSET($H$3,0,0,'Données projet'!$E$11+1,1))</f>
        <v>167.80254365106839</v>
      </c>
      <c r="BJ60" s="59">
        <f t="shared" si="38"/>
        <v>167.42302164950172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30.141989661866475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30.141989661866475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18.600000000000001</v>
      </c>
      <c r="BY60" s="12">
        <f>IF('Données projet'!$A$114&gt;35,BY59+BX60-CG59,IF(A60&lt;'Données projet'!$A$114,$BV$205^A60,IF(A60='Données projet'!$A$114,'Données projet'!$B$114,BY59+BX60-CG59)))</f>
        <v>518.19999999999993</v>
      </c>
      <c r="BZ60" s="13">
        <f>BY60*VLOOKUP('Données projet'!$B$12,Paramètres!$A$1:$I$89,3,0)*VLOOKUP('Données projet'!$B$12,Paramètres!$A$1:$I$89,5,0)</f>
        <v>255.99079999999998</v>
      </c>
      <c r="CA60" s="13">
        <f t="shared" si="39"/>
        <v>61.867007139206635</v>
      </c>
      <c r="CB60" s="20">
        <f t="shared" si="10"/>
        <v>553.6023474341182</v>
      </c>
      <c r="CC60" s="59">
        <f t="shared" si="11"/>
        <v>846.93568076745146</v>
      </c>
      <c r="CD60" s="59">
        <f ca="1">AVERAGE(OFFSET($CC$3,0,0,'Données projet'!$E$12+1,1))-AVERAGE(OFFSET($H$3,0,0,'Données projet'!$E$12+1,1))</f>
        <v>322.06606384496587</v>
      </c>
      <c r="CE60" s="59">
        <f t="shared" si="40"/>
        <v>267.71713177624713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80.355398440196211</v>
      </c>
      <c r="CL60" s="21">
        <f>EXP(-LN(2)/25)*CL59+(1-EXP(-LN(2)/25))/(LN(2)/25)*Calculateur!CG60*Calculateur!CI60*VLOOKUP('Données projet'!$B$12,Paramètres!$A$1:$I$89,3,0)*0.475*44/12</f>
        <v>9.5099945576481684</v>
      </c>
      <c r="CM60" s="21">
        <f>EXP(-LN(2)/2)*CM59+(1-EXP(-LN(2)/2))/(LN(2)/2)*CG60*CJ60*VLOOKUP('Données projet'!$B$12,Paramètres!$A$1:$I$89,3,0)*0.475*44/12</f>
        <v>3.4138351744267314E-4</v>
      </c>
      <c r="CN60" s="22">
        <f t="shared" si="12"/>
        <v>89.865734381361818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12.316666666666663</v>
      </c>
      <c r="CT60" s="12">
        <f>IF('Données projet'!$A$140&gt;35,CT59+CS60-DB59,IF(A60&lt;'Données projet'!$A$140,$CQ$205^A60,IF(A60='Données projet'!$A$140,'Données projet'!$B$140,CT59+CS60-DB59)))</f>
        <v>364.05</v>
      </c>
      <c r="CU60" s="17">
        <f>CT60*VLOOKUP('Données projet'!$B$13,Paramètres!$A$1:$I$89,3,0)*VLOOKUP('Données projet'!$B$13,Paramètres!$A$1:$I$89,5,0)</f>
        <v>227.16720000000001</v>
      </c>
      <c r="CV60" s="13">
        <f t="shared" si="41"/>
        <v>55.669722848822659</v>
      </c>
      <c r="CW60" s="20">
        <f t="shared" si="13"/>
        <v>492.60764062836614</v>
      </c>
      <c r="CX60" s="59">
        <f t="shared" si="14"/>
        <v>785.94097396169946</v>
      </c>
      <c r="CY60" s="59">
        <f ca="1">AVERAGE(OFFSET($CX$3,0,0,'Données projet'!$E$13+1,1))-AVERAGE(OFFSET($H$3,0,0,'Données projet'!$E$13+1,1))</f>
        <v>269.77739619445515</v>
      </c>
      <c r="CZ60" s="59">
        <f t="shared" si="42"/>
        <v>347.56964743629885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81.265944266784587</v>
      </c>
      <c r="DG60" s="21">
        <f>EXP(-LN(2)/25)*DG59+(1-EXP(-LN(2)/25))/(LN(2)/25)*Calculateur!DB60*Calculateur!DD60*VLOOKUP('Données projet'!$B$13,Paramètres!$A$1:$I$89,3,0)*0.475*44/12</f>
        <v>43.396701116194897</v>
      </c>
      <c r="DH60" s="21">
        <f>EXP(-LN(2)/2)*DH59+(1-EXP(-LN(2)/2))/(LN(2)/2)*DB60*DE60*VLOOKUP('Données projet'!$B$13,Paramètres!$A$1:$I$89,3,0)*0.475*44/12</f>
        <v>2.1439651988696711E-6</v>
      </c>
      <c r="DI60" s="22">
        <f t="shared" si="15"/>
        <v>124.6626475269447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18.600000000000001</v>
      </c>
      <c r="DO60" s="12">
        <f>IF('Données projet'!$A$166&gt;35,DO59+DN60-DW59,IF(A60&lt;'Données projet'!$A$166,$DL$205^A60,IF(A60='Données projet'!$A$166,'Données projet'!$B$166,DO59+DN60-DW59)))</f>
        <v>518.19999999999993</v>
      </c>
      <c r="DP60" s="17">
        <f>DO60*VLOOKUP('Données projet'!$B$14,Paramètres!$A$1:$I$89,3,0)*VLOOKUP('Données projet'!$B$14,Paramètres!$A$1:$I$89,5,0)</f>
        <v>249.25419999999997</v>
      </c>
      <c r="DQ60" s="13">
        <f t="shared" si="43"/>
        <v>60.4262112484979</v>
      </c>
      <c r="DR60" s="20">
        <f t="shared" si="16"/>
        <v>539.36004959113382</v>
      </c>
      <c r="DS60" s="59">
        <f t="shared" si="17"/>
        <v>832.69338292446719</v>
      </c>
      <c r="DT60" s="59">
        <f ca="1">AVERAGE(OFFSET($DS$3,0,0,'Données projet'!$E$14+1,1))-AVERAGE(OFFSET($H$3,0,0,'Données projet'!$E$14+1,1))</f>
        <v>312.64506496298173</v>
      </c>
      <c r="DU60" s="59">
        <f t="shared" si="44"/>
        <v>259.97532509897508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78.240782691769994</v>
      </c>
      <c r="EB60" s="21">
        <f>EXP(-LN(2)/25)*EB59+(1-EXP(-LN(2)/25))/(LN(2)/25)*Calculateur!DW60*Calculateur!DY60*VLOOKUP('Données projet'!$B$14,Paramètres!$A$1:$I$89,3,0)*0.475*44/12</f>
        <v>9.259731542973217</v>
      </c>
      <c r="EC60" s="21">
        <f>EXP(-LN(2)/2)*EC59+(1-EXP(-LN(2)/2))/(LN(2)/2)*DW60*DZ60*VLOOKUP('Données projet'!$B$14,Paramètres!$A$1:$I$89,3,0)*0.475*44/12</f>
        <v>3.3239974066786503E-4</v>
      </c>
      <c r="ED60" s="22">
        <f t="shared" si="18"/>
        <v>87.500846634483878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7.6</v>
      </c>
      <c r="EJ60" s="12">
        <f>IF('Données projet'!$A$192&gt;35,EJ59+EI60-ER59,IF(A60&lt;'Données projet'!$A$192,$EG$205^A60,IF(A60='Données projet'!$A$192,'Données projet'!$B$192,EJ59+EI60-ER59)))</f>
        <v>191.2</v>
      </c>
      <c r="EK60" s="17">
        <f>EJ60*VLOOKUP('Données projet'!$B$15,Paramètres!$A$1:$I$89,3,0)*VLOOKUP('Données projet'!$B$15,Paramètres!$A$1:$I$89,5,0)</f>
        <v>172.99775999999997</v>
      </c>
      <c r="EL60" s="13">
        <f t="shared" si="45"/>
        <v>43.760737531919609</v>
      </c>
      <c r="EM60" s="20">
        <f t="shared" si="19"/>
        <v>377.52104986809326</v>
      </c>
      <c r="EN60" s="59">
        <f t="shared" si="20"/>
        <v>670.85438320142657</v>
      </c>
      <c r="EO60" s="59">
        <f ca="1">AVERAGE(OFFSET($EN$3,0,0,'Données projet'!$E$15+1,1))-AVERAGE(OFFSET($H$3,0,0,'Données projet'!$E$15+1,1))</f>
        <v>269.64423257646359</v>
      </c>
      <c r="EP60" s="59">
        <f t="shared" si="46"/>
        <v>161.0819079811821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35.958079613011243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35.958079613011243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9.6</v>
      </c>
      <c r="FE60" s="12">
        <f>IF('Données projet'!$A$218&gt;35,FE59+FD60-FM59,IF(A60&lt;'Données projet'!$A$218,$FB$205^A60,IF(A60='Données projet'!$A$218,'Données projet'!$B$218,FE59+FD60-FM59)))</f>
        <v>281.20000000000016</v>
      </c>
      <c r="FF60" s="17">
        <f>FE60*VLOOKUP('Données projet'!$B$16,Paramètres!$A$1:$I$89,3,0)*VLOOKUP('Données projet'!$B$16,Paramètres!$A$1:$I$89,5,0)</f>
        <v>219.33600000000013</v>
      </c>
      <c r="FG60" s="13">
        <f t="shared" si="47"/>
        <v>53.97054322228994</v>
      </c>
      <c r="FH60" s="20">
        <f t="shared" si="22"/>
        <v>476.00889611215524</v>
      </c>
      <c r="FI60" s="59">
        <f t="shared" si="23"/>
        <v>769.34222944548856</v>
      </c>
      <c r="FJ60" s="59">
        <f ca="1">AVERAGE(OFFSET($FI$3,0,0,'Données projet'!$E$16+1,1))-AVERAGE(OFFSET($H$3,0,0,'Données projet'!$E$16+1,1))</f>
        <v>283.77864672734273</v>
      </c>
      <c r="FK60" s="59">
        <f t="shared" si="48"/>
        <v>270.94620935643866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49.722956665159757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49.722956665159757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6.2</v>
      </c>
      <c r="FZ60" s="12">
        <f>IF('Données projet'!$A$244&gt;35,FZ59+FY60-GH59,IF(A60&lt;'Données projet'!$A$244,$FW$205^A60,IF(A60='Données projet'!$A$244,'Données projet'!$B$244,FZ59+FY60-GH59)))</f>
        <v>275.39999999999992</v>
      </c>
      <c r="GA60" s="17">
        <f>FZ60*VLOOKUP('Données projet'!$B$17,Paramètres!$A$1:$I$89,3,0)*VLOOKUP('Données projet'!$B$17,Paramètres!$A$1:$I$89,5,0)</f>
        <v>266.36687999999992</v>
      </c>
      <c r="GB60" s="13">
        <f t="shared" si="49"/>
        <v>64.077622653233107</v>
      </c>
      <c r="GC60" s="20">
        <f t="shared" si="25"/>
        <v>575.52417545438084</v>
      </c>
      <c r="GD60" s="59">
        <f t="shared" si="26"/>
        <v>868.8575087877141</v>
      </c>
      <c r="GE60" s="59">
        <f ca="1">AVERAGE(OFFSET($GD$3,0,0,'Données projet'!$E$17+1,1))-AVERAGE(OFFSET($H$3,0,0,'Données projet'!$E$17+1,1))</f>
        <v>347.54503437087288</v>
      </c>
      <c r="GF60" s="59">
        <f t="shared" si="50"/>
        <v>340.05673244455954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45.275483019509359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45.275483019509359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20</v>
      </c>
      <c r="N61" s="13">
        <f>IF('Données projet'!$A$36&gt;35,N60+M61-V60,IF(A61&lt;'Données projet'!$A$36,$K$205^A61,IF(A61='Données projet'!$A$36,'Données projet'!$B$36,N60+M61-V60)))</f>
        <v>593.99999999999989</v>
      </c>
      <c r="O61" s="13">
        <f>N61*VLOOKUP('Données projet'!$B$9,Paramètres!$A$1:$I$89,3,0)*VLOOKUP('Données projet'!$B$9,Paramètres!$A$1:$I$89,5,0)</f>
        <v>277.99199999999996</v>
      </c>
      <c r="P61" s="13">
        <f t="shared" si="33"/>
        <v>66.542483170264177</v>
      </c>
      <c r="Q61" s="20">
        <f t="shared" si="53"/>
        <v>600.06422485487667</v>
      </c>
      <c r="R61" s="59">
        <f t="shared" si="0"/>
        <v>893.39755818821004</v>
      </c>
      <c r="S61" s="59">
        <f ca="1">AVERAGE(OFFSET($R$3,0,0,'Données projet'!$E$9+1,1))-AVERAGE(OFFSET($H$3,0,0,'Données projet'!$E$9+1,1))</f>
        <v>342.49944586217674</v>
      </c>
      <c r="T61" s="59">
        <f t="shared" si="34"/>
        <v>282.29766600872563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82.997266591363385</v>
      </c>
      <c r="AA61" s="21">
        <f>EXP(-LN(2)/25)*AA60+(1-EXP(-LN(2)/25))/(LN(2)/25)*Calculateur!V61*Calculateur!X61*VLOOKUP('Données projet'!$B$9,Paramètres!$A$1:$I$89,3,0)*0.475*44/12</f>
        <v>18.440808053421218</v>
      </c>
      <c r="AB61" s="21">
        <f>EXP(-LN(2)/2)*AB60+(1-EXP(-LN(2)/2))/(LN(2)/2)*V61*Y61*VLOOKUP('Données projet'!$B$9,Paramètres!$A$1:$I$89,3,0)*0.475*44/12</f>
        <v>5.0533744358290355E-6</v>
      </c>
      <c r="AC61" s="22">
        <f t="shared" si="3"/>
        <v>101.43807969815904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12.2</v>
      </c>
      <c r="AI61" s="13">
        <f>IF('Données projet'!$A$62&gt;35,AI60+AH61-AQ60,IF(A61&lt;'Données projet'!$A$62,$AF$205^A61,IF(A61='Données projet'!$A$62,'Données projet'!$B$62,AI60+AH61-AQ60)))</f>
        <v>729.59999999999957</v>
      </c>
      <c r="AJ61" s="13">
        <f>AI61*VLOOKUP('Données projet'!$B$10,Paramètres!$A$1:$I$89,3,0)*VLOOKUP('Données projet'!$B$10,Paramètres!$A$1:$I$89,5,0)</f>
        <v>407.84639999999973</v>
      </c>
      <c r="AK61" s="13">
        <f t="shared" si="35"/>
        <v>93.365599460181741</v>
      </c>
      <c r="AL61" s="20">
        <f t="shared" si="4"/>
        <v>872.94423239314926</v>
      </c>
      <c r="AM61" s="59">
        <f t="shared" si="5"/>
        <v>1166.2775657264826</v>
      </c>
      <c r="AN61" s="59">
        <f ca="1">AVERAGE(OFFSET($AM$3,0,0,'Données projet'!$E$10+1,1))-AVERAGE(OFFSET($H$3,0,0,'Données projet'!$E$10+1,1))</f>
        <v>490.96084572840579</v>
      </c>
      <c r="AO61" s="59">
        <f t="shared" si="36"/>
        <v>597.91658789908263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100.04767777930078</v>
      </c>
      <c r="AV61" s="21">
        <f>EXP(-LN(2)/25)*AV60+(1-EXP(-LN(2)/25))/(LN(2)/25)*Calculateur!AQ61*Calculateur!AS61*VLOOKUP('Données projet'!$B$10,Paramètres!$A$1:$I$89,3,0)*0.475*44/12</f>
        <v>26.584982212312791</v>
      </c>
      <c r="AW61" s="21">
        <f>EXP(-LN(2)/2)*AW60+(1-EXP(-LN(2)/2))/(LN(2)/2)*AQ61*AT61*VLOOKUP('Données projet'!$B$10,Paramètres!$A$1:$I$89,3,0)*0.475*44/12</f>
        <v>5.1909385176932688E-5</v>
      </c>
      <c r="AX61" s="21">
        <f t="shared" si="6"/>
        <v>126.63271190099876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</v>
      </c>
      <c r="BD61" s="12">
        <f>IF('Données projet'!$A$88&gt;35,BD60+BC61-BL60,IF(A61&lt;'Données projet'!$A$88,$BA$205^A61,IF(A61='Données projet'!$A$88,'Données projet'!$B$88,BD60+BC61-BL60)))</f>
        <v>186</v>
      </c>
      <c r="BE61" s="13">
        <f>BD61*VLOOKUP('Données projet'!$B$11,Paramètres!$A$1:$I$89,3,0)*VLOOKUP('Données projet'!$B$11,Paramètres!$A$1:$I$89,5,0)</f>
        <v>147.98160000000001</v>
      </c>
      <c r="BF61" s="13">
        <f t="shared" si="37"/>
        <v>38.119535949375617</v>
      </c>
      <c r="BG61" s="20">
        <f t="shared" si="7"/>
        <v>324.12614511182926</v>
      </c>
      <c r="BH61" s="59">
        <f t="shared" si="8"/>
        <v>617.45947844516263</v>
      </c>
      <c r="BI61" s="59">
        <f ca="1">AVERAGE(OFFSET($BH$3,0,0,'Données projet'!$E$11+1,1))-AVERAGE(OFFSET($H$3,0,0,'Données projet'!$E$11+1,1))</f>
        <v>167.80254365106839</v>
      </c>
      <c r="BJ61" s="59">
        <f t="shared" si="38"/>
        <v>167.42302164950172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29.550923629395619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29.550923629395619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18.600000000000001</v>
      </c>
      <c r="BY61" s="12">
        <f>IF('Données projet'!$A$114&gt;35,BY60+BX61-CG60,IF(A61&lt;'Données projet'!$A$114,$BV$205^A61,IF(A61='Données projet'!$A$114,'Données projet'!$B$114,BY60+BX61-CG60)))</f>
        <v>536.79999999999995</v>
      </c>
      <c r="BZ61" s="13">
        <f>BY61*VLOOKUP('Données projet'!$B$12,Paramètres!$A$1:$I$89,3,0)*VLOOKUP('Données projet'!$B$12,Paramètres!$A$1:$I$89,5,0)</f>
        <v>265.17919999999998</v>
      </c>
      <c r="CA61" s="13">
        <f t="shared" si="39"/>
        <v>63.825103577721109</v>
      </c>
      <c r="CB61" s="20">
        <f t="shared" si="10"/>
        <v>573.01582873119753</v>
      </c>
      <c r="CC61" s="59">
        <f t="shared" si="11"/>
        <v>866.3491620645309</v>
      </c>
      <c r="CD61" s="59">
        <f ca="1">AVERAGE(OFFSET($CC$3,0,0,'Données projet'!$E$12+1,1))-AVERAGE(OFFSET($H$3,0,0,'Données projet'!$E$12+1,1))</f>
        <v>322.06606384496587</v>
      </c>
      <c r="CE61" s="59">
        <f t="shared" si="40"/>
        <v>267.71713177624713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78.779678088737484</v>
      </c>
      <c r="CL61" s="21">
        <f>EXP(-LN(2)/25)*CL60+(1-EXP(-LN(2)/25))/(LN(2)/25)*Calculateur!CG61*Calculateur!CI61*VLOOKUP('Données projet'!$B$12,Paramètres!$A$1:$I$89,3,0)*0.475*44/12</f>
        <v>9.2499432563604014</v>
      </c>
      <c r="CM61" s="21">
        <f>EXP(-LN(2)/2)*CM60+(1-EXP(-LN(2)/2))/(LN(2)/2)*CG61*CJ61*VLOOKUP('Données projet'!$B$12,Paramètres!$A$1:$I$89,3,0)*0.475*44/12</f>
        <v>2.4139460016903022E-4</v>
      </c>
      <c r="CN61" s="22">
        <f t="shared" si="12"/>
        <v>88.029862739698046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12.316666666666663</v>
      </c>
      <c r="CT61" s="12">
        <f>IF('Données projet'!$A$140&gt;35,CT60+CS61-DB60,IF(A61&lt;'Données projet'!$A$140,$CQ$205^A61,IF(A61='Données projet'!$A$140,'Données projet'!$B$140,CT60+CS61-DB60)))</f>
        <v>376.36666666666667</v>
      </c>
      <c r="CU61" s="17">
        <f>CT61*VLOOKUP('Données projet'!$B$13,Paramètres!$A$1:$I$89,3,0)*VLOOKUP('Données projet'!$B$13,Paramètres!$A$1:$I$89,5,0)</f>
        <v>234.8528</v>
      </c>
      <c r="CV61" s="13">
        <f t="shared" si="41"/>
        <v>57.330691860456056</v>
      </c>
      <c r="CW61" s="20">
        <f t="shared" si="13"/>
        <v>508.88624832362757</v>
      </c>
      <c r="CX61" s="59">
        <f t="shared" si="14"/>
        <v>802.21958165696083</v>
      </c>
      <c r="CY61" s="59">
        <f ca="1">AVERAGE(OFFSET($CX$3,0,0,'Données projet'!$E$13+1,1))-AVERAGE(OFFSET($H$3,0,0,'Données projet'!$E$13+1,1))</f>
        <v>269.77739619445515</v>
      </c>
      <c r="CZ61" s="59">
        <f t="shared" si="42"/>
        <v>347.56964743629885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79.67236866704458</v>
      </c>
      <c r="DG61" s="21">
        <f>EXP(-LN(2)/25)*DG60+(1-EXP(-LN(2)/25))/(LN(2)/25)*Calculateur!DB61*Calculateur!DD61*VLOOKUP('Données projet'!$B$13,Paramètres!$A$1:$I$89,3,0)*0.475*44/12</f>
        <v>42.210016042039221</v>
      </c>
      <c r="DH61" s="21">
        <f>EXP(-LN(2)/2)*DH60+(1-EXP(-LN(2)/2))/(LN(2)/2)*DB61*DE61*VLOOKUP('Données projet'!$B$13,Paramètres!$A$1:$I$89,3,0)*0.475*44/12</f>
        <v>1.5160123307487094E-6</v>
      </c>
      <c r="DI61" s="22">
        <f t="shared" si="15"/>
        <v>121.88238622509613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18.600000000000001</v>
      </c>
      <c r="DO61" s="12">
        <f>IF('Données projet'!$A$166&gt;35,DO60+DN61-DW60,IF(A61&lt;'Données projet'!$A$166,$DL$205^A61,IF(A61='Données projet'!$A$166,'Données projet'!$B$166,DO60+DN61-DW60)))</f>
        <v>536.79999999999995</v>
      </c>
      <c r="DP61" s="17">
        <f>DO61*VLOOKUP('Données projet'!$B$14,Paramètres!$A$1:$I$89,3,0)*VLOOKUP('Données projet'!$B$14,Paramètres!$A$1:$I$89,5,0)</f>
        <v>258.20080000000002</v>
      </c>
      <c r="DQ61" s="13">
        <f t="shared" si="43"/>
        <v>62.338706365198384</v>
      </c>
      <c r="DR61" s="20">
        <f t="shared" si="16"/>
        <v>558.27297358605381</v>
      </c>
      <c r="DS61" s="59">
        <f t="shared" si="17"/>
        <v>851.60630691938718</v>
      </c>
      <c r="DT61" s="59">
        <f ca="1">AVERAGE(OFFSET($DS$3,0,0,'Données projet'!$E$14+1,1))-AVERAGE(OFFSET($H$3,0,0,'Données projet'!$E$14+1,1))</f>
        <v>312.64506496298173</v>
      </c>
      <c r="DU61" s="59">
        <f t="shared" si="44"/>
        <v>259.97532509897508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76.706528665349651</v>
      </c>
      <c r="EB61" s="21">
        <f>EXP(-LN(2)/25)*EB60+(1-EXP(-LN(2)/25))/(LN(2)/25)*Calculateur!DW61*Calculateur!DY61*VLOOKUP('Données projet'!$B$14,Paramètres!$A$1:$I$89,3,0)*0.475*44/12</f>
        <v>9.0065236969824962</v>
      </c>
      <c r="EC61" s="21">
        <f>EXP(-LN(2)/2)*EC60+(1-EXP(-LN(2)/2))/(LN(2)/2)*DW61*DZ61*VLOOKUP('Données projet'!$B$14,Paramètres!$A$1:$I$89,3,0)*0.475*44/12</f>
        <v>2.3504211069089718E-4</v>
      </c>
      <c r="ED61" s="22">
        <f t="shared" si="18"/>
        <v>85.713287404442838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7.6</v>
      </c>
      <c r="EJ61" s="12">
        <f>IF('Données projet'!$A$192&gt;35,EJ60+EI61-ER60,IF(A61&lt;'Données projet'!$A$192,$EG$205^A61,IF(A61='Données projet'!$A$192,'Données projet'!$B$192,EJ60+EI61-ER60)))</f>
        <v>198.79999999999998</v>
      </c>
      <c r="EK61" s="17">
        <f>EJ61*VLOOKUP('Données projet'!$B$15,Paramètres!$A$1:$I$89,3,0)*VLOOKUP('Données projet'!$B$15,Paramètres!$A$1:$I$89,5,0)</f>
        <v>179.87423999999999</v>
      </c>
      <c r="EL61" s="13">
        <f t="shared" si="45"/>
        <v>45.294205745553846</v>
      </c>
      <c r="EM61" s="20">
        <f t="shared" si="19"/>
        <v>392.16837634017293</v>
      </c>
      <c r="EN61" s="59">
        <f t="shared" si="20"/>
        <v>685.50170967350618</v>
      </c>
      <c r="EO61" s="59">
        <f ca="1">AVERAGE(OFFSET($EN$3,0,0,'Données projet'!$E$15+1,1))-AVERAGE(OFFSET($H$3,0,0,'Données projet'!$E$15+1,1))</f>
        <v>269.64423257646359</v>
      </c>
      <c r="EP61" s="59">
        <f t="shared" si="46"/>
        <v>161.0819079811821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35.252963604063027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35.252963604063027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9.6</v>
      </c>
      <c r="FE61" s="12">
        <f>IF('Données projet'!$A$218&gt;35,FE60+FD61-FM60,IF(A61&lt;'Données projet'!$A$218,$FB$205^A61,IF(A61='Données projet'!$A$218,'Données projet'!$B$218,FE60+FD61-FM60)))</f>
        <v>290.80000000000018</v>
      </c>
      <c r="FF61" s="17">
        <f>FE61*VLOOKUP('Données projet'!$B$16,Paramètres!$A$1:$I$89,3,0)*VLOOKUP('Données projet'!$B$16,Paramètres!$A$1:$I$89,5,0)</f>
        <v>226.82400000000015</v>
      </c>
      <c r="FG61" s="13">
        <f t="shared" si="47"/>
        <v>55.59540132136393</v>
      </c>
      <c r="FH61" s="20">
        <f t="shared" si="22"/>
        <v>491.88045730137583</v>
      </c>
      <c r="FI61" s="59">
        <f t="shared" si="23"/>
        <v>785.21379063470908</v>
      </c>
      <c r="FJ61" s="59">
        <f ca="1">AVERAGE(OFFSET($FI$3,0,0,'Données projet'!$E$16+1,1))-AVERAGE(OFFSET($H$3,0,0,'Données projet'!$E$16+1,1))</f>
        <v>283.77864672734273</v>
      </c>
      <c r="FK61" s="59">
        <f t="shared" si="48"/>
        <v>270.94620935643866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48.747919812964895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48.747919812964895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6.2</v>
      </c>
      <c r="FZ61" s="12">
        <f>IF('Données projet'!$A$244&gt;35,FZ60+FY61-GH60,IF(A61&lt;'Données projet'!$A$244,$FW$205^A61,IF(A61='Données projet'!$A$244,'Données projet'!$B$244,FZ60+FY61-GH60)))</f>
        <v>281.59999999999991</v>
      </c>
      <c r="GA61" s="17">
        <f>FZ61*VLOOKUP('Données projet'!$B$17,Paramètres!$A$1:$I$89,3,0)*VLOOKUP('Données projet'!$B$17,Paramètres!$A$1:$I$89,5,0)</f>
        <v>272.36351999999994</v>
      </c>
      <c r="GB61" s="13">
        <f t="shared" si="49"/>
        <v>65.350613162347059</v>
      </c>
      <c r="GC61" s="20">
        <f t="shared" si="25"/>
        <v>588.18544859108772</v>
      </c>
      <c r="GD61" s="59">
        <f t="shared" si="26"/>
        <v>881.51878192442109</v>
      </c>
      <c r="GE61" s="59">
        <f ca="1">AVERAGE(OFFSET($GD$3,0,0,'Données projet'!$E$17+1,1))-AVERAGE(OFFSET($H$3,0,0,'Données projet'!$E$17+1,1))</f>
        <v>347.54503437087288</v>
      </c>
      <c r="GF61" s="59">
        <f t="shared" si="50"/>
        <v>340.05673244455954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44.387658412814638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44.387658412814638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20</v>
      </c>
      <c r="N62" s="13">
        <f>IF('Données projet'!$A$36&gt;35,N61+M62-V61,IF(A62&lt;'Données projet'!$A$36,$K$205^A62,IF(A62='Données projet'!$A$36,'Données projet'!$B$36,N61+M62-V61)))</f>
        <v>613.99999999999989</v>
      </c>
      <c r="O62" s="13">
        <f>N62*VLOOKUP('Données projet'!$B$9,Paramètres!$A$1:$I$89,3,0)*VLOOKUP('Données projet'!$B$9,Paramètres!$A$1:$I$89,5,0)</f>
        <v>287.35199999999998</v>
      </c>
      <c r="P62" s="13">
        <f t="shared" si="33"/>
        <v>68.518346414398778</v>
      </c>
      <c r="Q62" s="20">
        <f t="shared" si="53"/>
        <v>619.80752000507778</v>
      </c>
      <c r="R62" s="59">
        <f t="shared" si="0"/>
        <v>913.14085333841103</v>
      </c>
      <c r="S62" s="59">
        <f ca="1">AVERAGE(OFFSET($R$3,0,0,'Données projet'!$E$9+1,1))-AVERAGE(OFFSET($H$3,0,0,'Données projet'!$E$9+1,1))</f>
        <v>342.49944586217674</v>
      </c>
      <c r="T62" s="59">
        <f t="shared" si="34"/>
        <v>282.29766600872563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81.369740816840732</v>
      </c>
      <c r="AA62" s="21">
        <f>EXP(-LN(2)/25)*AA61+(1-EXP(-LN(2)/25))/(LN(2)/25)*Calculateur!V62*Calculateur!X62*VLOOKUP('Données projet'!$B$9,Paramètres!$A$1:$I$89,3,0)*0.475*44/12</f>
        <v>17.936543187440467</v>
      </c>
      <c r="AB62" s="21">
        <f>EXP(-LN(2)/2)*AB61+(1-EXP(-LN(2)/2))/(LN(2)/2)*V62*Y62*VLOOKUP('Données projet'!$B$9,Paramètres!$A$1:$I$89,3,0)*0.475*44/12</f>
        <v>3.5732753314494549E-6</v>
      </c>
      <c r="AC62" s="22">
        <f t="shared" si="3"/>
        <v>99.306287577556532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12.2</v>
      </c>
      <c r="AI62" s="13">
        <f>IF('Données projet'!$A$62&gt;35,AI61+AH62-AQ61,IF(A62&lt;'Données projet'!$A$62,$AF$205^A62,IF(A62='Données projet'!$A$62,'Données projet'!$B$62,AI61+AH62-AQ61)))</f>
        <v>741.79999999999961</v>
      </c>
      <c r="AJ62" s="13">
        <f>AI62*VLOOKUP('Données projet'!$B$10,Paramètres!$A$1:$I$89,3,0)*VLOOKUP('Données projet'!$B$10,Paramètres!$A$1:$I$89,5,0)</f>
        <v>414.66619999999978</v>
      </c>
      <c r="AK62" s="13">
        <f t="shared" si="35"/>
        <v>94.743752206399009</v>
      </c>
      <c r="AL62" s="20">
        <f t="shared" si="4"/>
        <v>887.22233342614447</v>
      </c>
      <c r="AM62" s="59">
        <f t="shared" si="5"/>
        <v>1180.5556667594778</v>
      </c>
      <c r="AN62" s="59">
        <f ca="1">AVERAGE(OFFSET($AM$3,0,0,'Données projet'!$E$10+1,1))-AVERAGE(OFFSET($H$3,0,0,'Données projet'!$E$10+1,1))</f>
        <v>490.96084572840579</v>
      </c>
      <c r="AO62" s="59">
        <f t="shared" si="36"/>
        <v>597.91658789908263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98.08580384110661</v>
      </c>
      <c r="AV62" s="21">
        <f>EXP(-LN(2)/25)*AV61+(1-EXP(-LN(2)/25))/(LN(2)/25)*Calculateur!AQ62*Calculateur!AS62*VLOOKUP('Données projet'!$B$10,Paramètres!$A$1:$I$89,3,0)*0.475*44/12</f>
        <v>25.858014475673645</v>
      </c>
      <c r="AW62" s="21">
        <f>EXP(-LN(2)/2)*AW61+(1-EXP(-LN(2)/2))/(LN(2)/2)*AQ62*AT62*VLOOKUP('Données projet'!$B$10,Paramètres!$A$1:$I$89,3,0)*0.475*44/12</f>
        <v>3.6705478265833555E-5</v>
      </c>
      <c r="AX62" s="21">
        <f t="shared" si="6"/>
        <v>123.94385502225852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</v>
      </c>
      <c r="BD62" s="12">
        <f>IF('Données projet'!$A$88&gt;35,BD61+BC62-BL61,IF(A62&lt;'Données projet'!$A$88,$BA$205^A62,IF(A62='Données projet'!$A$88,'Données projet'!$B$88,BD61+BC62-BL61)))</f>
        <v>190</v>
      </c>
      <c r="BE62" s="13">
        <f>BD62*VLOOKUP('Données projet'!$B$11,Paramètres!$A$1:$I$89,3,0)*VLOOKUP('Données projet'!$B$11,Paramètres!$A$1:$I$89,5,0)</f>
        <v>151.16400000000002</v>
      </c>
      <c r="BF62" s="13">
        <f t="shared" si="37"/>
        <v>38.84298967415998</v>
      </c>
      <c r="BG62" s="20">
        <f t="shared" si="7"/>
        <v>330.92884034916193</v>
      </c>
      <c r="BH62" s="59">
        <f t="shared" si="8"/>
        <v>624.26217368249524</v>
      </c>
      <c r="BI62" s="59">
        <f ca="1">AVERAGE(OFFSET($BH$3,0,0,'Données projet'!$E$11+1,1))-AVERAGE(OFFSET($H$3,0,0,'Données projet'!$E$11+1,1))</f>
        <v>167.80254365106839</v>
      </c>
      <c r="BJ62" s="59">
        <f t="shared" si="38"/>
        <v>167.42302164950172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28.971448041306836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28.971448041306836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18.600000000000001</v>
      </c>
      <c r="BY62" s="12">
        <f>IF('Données projet'!$A$114&gt;35,BY61+BX62-CG61,IF(A62&lt;'Données projet'!$A$114,$BV$205^A62,IF(A62='Données projet'!$A$114,'Données projet'!$B$114,BY61+BX62-CG61)))</f>
        <v>555.4</v>
      </c>
      <c r="BZ62" s="13">
        <f>BY62*VLOOKUP('Données projet'!$B$12,Paramètres!$A$1:$I$89,3,0)*VLOOKUP('Données projet'!$B$12,Paramètres!$A$1:$I$89,5,0)</f>
        <v>274.36759999999998</v>
      </c>
      <c r="CA62" s="13">
        <f t="shared" si="39"/>
        <v>65.775316793539503</v>
      </c>
      <c r="CB62" s="20">
        <f t="shared" si="10"/>
        <v>592.41558008208119</v>
      </c>
      <c r="CC62" s="59">
        <f t="shared" si="11"/>
        <v>885.74891341541456</v>
      </c>
      <c r="CD62" s="59">
        <f ca="1">AVERAGE(OFFSET($CC$3,0,0,'Données projet'!$E$12+1,1))-AVERAGE(OFFSET($H$3,0,0,'Données projet'!$E$12+1,1))</f>
        <v>322.06606384496587</v>
      </c>
      <c r="CE62" s="59">
        <f t="shared" si="40"/>
        <v>267.71713177624713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77.234856652276349</v>
      </c>
      <c r="CL62" s="21">
        <f>EXP(-LN(2)/25)*CL61+(1-EXP(-LN(2)/25))/(LN(2)/25)*Calculateur!CG62*Calculateur!CI62*VLOOKUP('Données projet'!$B$12,Paramètres!$A$1:$I$89,3,0)*0.475*44/12</f>
        <v>8.997003071581851</v>
      </c>
      <c r="CM62" s="21">
        <f>EXP(-LN(2)/2)*CM61+(1-EXP(-LN(2)/2))/(LN(2)/2)*CG62*CJ62*VLOOKUP('Données projet'!$B$12,Paramètres!$A$1:$I$89,3,0)*0.475*44/12</f>
        <v>1.7069175872133659E-4</v>
      </c>
      <c r="CN62" s="22">
        <f t="shared" si="12"/>
        <v>86.232030415616933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12.316666666666663</v>
      </c>
      <c r="CT62" s="12">
        <f>IF('Données projet'!$A$140&gt;35,CT61+CS62-DB61,IF(A62&lt;'Données projet'!$A$140,$CQ$205^A62,IF(A62='Données projet'!$A$140,'Données projet'!$B$140,CT61+CS62-DB61)))</f>
        <v>388.68333333333334</v>
      </c>
      <c r="CU62" s="17">
        <f>CT62*VLOOKUP('Données projet'!$B$13,Paramètres!$A$1:$I$89,3,0)*VLOOKUP('Données projet'!$B$13,Paramètres!$A$1:$I$89,5,0)</f>
        <v>242.5384</v>
      </c>
      <c r="CV62" s="13">
        <f t="shared" si="41"/>
        <v>58.985344734966667</v>
      </c>
      <c r="CW62" s="20">
        <f t="shared" si="13"/>
        <v>525.15385541340027</v>
      </c>
      <c r="CX62" s="59">
        <f t="shared" si="14"/>
        <v>818.48718874673364</v>
      </c>
      <c r="CY62" s="59">
        <f ca="1">AVERAGE(OFFSET($CX$3,0,0,'Données projet'!$E$13+1,1))-AVERAGE(OFFSET($H$3,0,0,'Données projet'!$E$13+1,1))</f>
        <v>269.77739619445515</v>
      </c>
      <c r="CZ62" s="59">
        <f t="shared" si="42"/>
        <v>347.56964743629885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78.110042112830328</v>
      </c>
      <c r="DG62" s="21">
        <f>EXP(-LN(2)/25)*DG61+(1-EXP(-LN(2)/25))/(LN(2)/25)*Calculateur!DB62*Calculateur!DD62*VLOOKUP('Données projet'!$B$13,Paramètres!$A$1:$I$89,3,0)*0.475*44/12</f>
        <v>41.055780933641387</v>
      </c>
      <c r="DH62" s="21">
        <f>EXP(-LN(2)/2)*DH61+(1-EXP(-LN(2)/2))/(LN(2)/2)*DB62*DE62*VLOOKUP('Données projet'!$B$13,Paramètres!$A$1:$I$89,3,0)*0.475*44/12</f>
        <v>1.0719825994348355E-6</v>
      </c>
      <c r="DI62" s="22">
        <f t="shared" si="15"/>
        <v>119.16582411845431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18.600000000000001</v>
      </c>
      <c r="DO62" s="12">
        <f>IF('Données projet'!$A$166&gt;35,DO61+DN62-DW61,IF(A62&lt;'Données projet'!$A$166,$DL$205^A62,IF(A62='Données projet'!$A$166,'Données projet'!$B$166,DO61+DN62-DW61)))</f>
        <v>555.4</v>
      </c>
      <c r="DP62" s="17">
        <f>DO62*VLOOKUP('Données projet'!$B$14,Paramètres!$A$1:$I$89,3,0)*VLOOKUP('Données projet'!$B$14,Paramètres!$A$1:$I$89,5,0)</f>
        <v>267.1474</v>
      </c>
      <c r="DQ62" s="13">
        <f t="shared" si="43"/>
        <v>64.243501848411128</v>
      </c>
      <c r="DR62" s="20">
        <f t="shared" si="16"/>
        <v>577.17248738598266</v>
      </c>
      <c r="DS62" s="59">
        <f t="shared" si="17"/>
        <v>870.50582071931603</v>
      </c>
      <c r="DT62" s="59">
        <f ca="1">AVERAGE(OFFSET($DS$3,0,0,'Données projet'!$E$14+1,1))-AVERAGE(OFFSET($H$3,0,0,'Données projet'!$E$14+1,1))</f>
        <v>312.64506496298173</v>
      </c>
      <c r="DU62" s="59">
        <f t="shared" si="44"/>
        <v>259.97532509897508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75.202360424584867</v>
      </c>
      <c r="EB62" s="21">
        <f>EXP(-LN(2)/25)*EB61+(1-EXP(-LN(2)/25))/(LN(2)/25)*Calculateur!DW62*Calculateur!DY62*VLOOKUP('Données projet'!$B$14,Paramètres!$A$1:$I$89,3,0)*0.475*44/12</f>
        <v>8.7602398328560138</v>
      </c>
      <c r="EC62" s="21">
        <f>EXP(-LN(2)/2)*EC61+(1-EXP(-LN(2)/2))/(LN(2)/2)*DW62*DZ62*VLOOKUP('Données projet'!$B$14,Paramètres!$A$1:$I$89,3,0)*0.475*44/12</f>
        <v>1.6619987033393251E-4</v>
      </c>
      <c r="ED62" s="22">
        <f t="shared" si="18"/>
        <v>83.962766457311218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7.6</v>
      </c>
      <c r="EJ62" s="12">
        <f>IF('Données projet'!$A$192&gt;35,EJ61+EI62-ER61,IF(A62&lt;'Données projet'!$A$192,$EG$205^A62,IF(A62='Données projet'!$A$192,'Données projet'!$B$192,EJ61+EI62-ER61)))</f>
        <v>206.39999999999998</v>
      </c>
      <c r="EK62" s="17">
        <f>EJ62*VLOOKUP('Données projet'!$B$15,Paramètres!$A$1:$I$89,3,0)*VLOOKUP('Données projet'!$B$15,Paramètres!$A$1:$I$89,5,0)</f>
        <v>186.75071999999997</v>
      </c>
      <c r="EL62" s="13">
        <f t="shared" si="45"/>
        <v>46.820863587839391</v>
      </c>
      <c r="EM62" s="20">
        <f t="shared" si="19"/>
        <v>406.80384141548689</v>
      </c>
      <c r="EN62" s="59">
        <f t="shared" si="20"/>
        <v>700.13717474882014</v>
      </c>
      <c r="EO62" s="59">
        <f ca="1">AVERAGE(OFFSET($EN$3,0,0,'Données projet'!$E$15+1,1))-AVERAGE(OFFSET($H$3,0,0,'Données projet'!$E$15+1,1))</f>
        <v>269.64423257646359</v>
      </c>
      <c r="EP62" s="59">
        <f t="shared" si="46"/>
        <v>161.0819079811821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34.561674489971985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34.561674489971985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9.6</v>
      </c>
      <c r="FE62" s="12">
        <f>IF('Données projet'!$A$218&gt;35,FE61+FD62-FM61,IF(A62&lt;'Données projet'!$A$218,$FB$205^A62,IF(A62='Données projet'!$A$218,'Données projet'!$B$218,FE61+FD62-FM61)))</f>
        <v>300.4000000000002</v>
      </c>
      <c r="FF62" s="17">
        <f>FE62*VLOOKUP('Données projet'!$B$16,Paramètres!$A$1:$I$89,3,0)*VLOOKUP('Données projet'!$B$16,Paramètres!$A$1:$I$89,5,0)</f>
        <v>234.31200000000015</v>
      </c>
      <c r="FG62" s="13">
        <f t="shared" si="47"/>
        <v>57.214026458952496</v>
      </c>
      <c r="FH62" s="20">
        <f t="shared" si="22"/>
        <v>507.74116274934249</v>
      </c>
      <c r="FI62" s="59">
        <f t="shared" si="23"/>
        <v>801.07449608267575</v>
      </c>
      <c r="FJ62" s="59">
        <f ca="1">AVERAGE(OFFSET($FI$3,0,0,'Données projet'!$E$16+1,1))-AVERAGE(OFFSET($H$3,0,0,'Données projet'!$E$16+1,1))</f>
        <v>283.77864672734273</v>
      </c>
      <c r="FK62" s="59">
        <f t="shared" si="48"/>
        <v>270.94620935643866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47.792002838727818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47.792002838727818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6.2</v>
      </c>
      <c r="FZ62" s="12">
        <f>IF('Données projet'!$A$244&gt;35,FZ61+FY62-GH61,IF(A62&lt;'Données projet'!$A$244,$FW$205^A62,IF(A62='Données projet'!$A$244,'Données projet'!$B$244,FZ61+FY62-GH61)))</f>
        <v>287.7999999999999</v>
      </c>
      <c r="GA62" s="17">
        <f>FZ62*VLOOKUP('Données projet'!$B$17,Paramètres!$A$1:$I$89,3,0)*VLOOKUP('Données projet'!$B$17,Paramètres!$A$1:$I$89,5,0)</f>
        <v>278.36015999999989</v>
      </c>
      <c r="GB62" s="13">
        <f t="shared" si="49"/>
        <v>66.620345170223231</v>
      </c>
      <c r="GC62" s="20">
        <f t="shared" si="25"/>
        <v>600.84104650480526</v>
      </c>
      <c r="GD62" s="59">
        <f t="shared" si="26"/>
        <v>894.17437983813852</v>
      </c>
      <c r="GE62" s="59">
        <f ca="1">AVERAGE(OFFSET($GD$3,0,0,'Données projet'!$E$17+1,1))-AVERAGE(OFFSET($H$3,0,0,'Données projet'!$E$17+1,1))</f>
        <v>347.54503437087288</v>
      </c>
      <c r="GF62" s="59">
        <f t="shared" si="50"/>
        <v>340.05673244455954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43.517243505137657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43.517243505137657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634</v>
      </c>
      <c r="L63" s="12">
        <f>VLOOKUP(A63,'Données projet'!$A$35:$I$55,9,0)</f>
        <v>20</v>
      </c>
      <c r="M63" s="12">
        <f t="array" ref="M63">INDEX(L:L,MIN(IF(ISNUMBER(L63:L259),ROW(L63:L259),"")))</f>
        <v>20</v>
      </c>
      <c r="N63" s="13">
        <f>IF('Données projet'!$A$36&gt;35,N62+M63-V62,IF(A63&lt;'Données projet'!$A$36,$K$205^A63,IF(A63='Données projet'!$A$36,'Données projet'!$B$36,N62+M63-V62)))</f>
        <v>633.99999999999989</v>
      </c>
      <c r="O63" s="13">
        <f>N63*VLOOKUP('Données projet'!$B$9,Paramètres!$A$1:$I$89,3,0)*VLOOKUP('Données projet'!$B$9,Paramètres!$A$1:$I$89,5,0)</f>
        <v>296.71199999999993</v>
      </c>
      <c r="P63" s="13">
        <f t="shared" si="33"/>
        <v>70.486730898987503</v>
      </c>
      <c r="Q63" s="20">
        <f t="shared" si="53"/>
        <v>639.53778964906974</v>
      </c>
      <c r="R63" s="59">
        <f t="shared" si="0"/>
        <v>932.87112298240299</v>
      </c>
      <c r="S63" s="59">
        <f ca="1">AVERAGE(OFFSET($R$3,0,0,'Données projet'!$E$9+1,1))-AVERAGE(OFFSET($H$3,0,0,'Données projet'!$E$9+1,1))</f>
        <v>342.49944586217674</v>
      </c>
      <c r="T63" s="59">
        <f t="shared" si="34"/>
        <v>282.29766600872563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53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97.871387444061071</v>
      </c>
      <c r="AA63" s="21">
        <f>EXP(-LN(2)/25)*AA62+(1-EXP(-LN(2)/25))/(LN(2)/25)*Calculateur!V63*Calculateur!X63*VLOOKUP('Données projet'!$B$9,Paramètres!$A$1:$I$89,3,0)*0.475*44/12</f>
        <v>17.446067470738097</v>
      </c>
      <c r="AB63" s="21">
        <f>EXP(-LN(2)/2)*AB62+(1-EXP(-LN(2)/2))/(LN(2)/2)*V63*Y63*VLOOKUP('Données projet'!$B$9,Paramètres!$A$1:$I$89,3,0)*0.475*44/12</f>
        <v>2.5266872179145177E-6</v>
      </c>
      <c r="AC63" s="22">
        <f t="shared" si="3"/>
        <v>115.31745744148638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754</v>
      </c>
      <c r="AG63" s="12">
        <f>VLOOKUP(A63,'Données projet'!$A$61:$I$81,9,0)</f>
        <v>12.2</v>
      </c>
      <c r="AH63" s="12">
        <f t="array" ref="AH63">INDEX(AG:AG,MIN(IF(ISNUMBER(AG63:AG259),ROW(AG63:AG259),"")))</f>
        <v>12.2</v>
      </c>
      <c r="AI63" s="13">
        <f>IF('Données projet'!$A$62&gt;35,AI62+AH63-AQ62,IF(A63&lt;'Données projet'!$A$62,$AF$205^A63,IF(A63='Données projet'!$A$62,'Données projet'!$B$62,AI62+AH63-AQ62)))</f>
        <v>753.99999999999966</v>
      </c>
      <c r="AJ63" s="13">
        <f>AI63*VLOOKUP('Données projet'!$B$10,Paramètres!$A$1:$I$89,3,0)*VLOOKUP('Données projet'!$B$10,Paramètres!$A$1:$I$89,5,0)</f>
        <v>421.48599999999982</v>
      </c>
      <c r="AK63" s="13">
        <f t="shared" si="35"/>
        <v>96.119269055816147</v>
      </c>
      <c r="AL63" s="20">
        <f t="shared" si="4"/>
        <v>901.49584360554616</v>
      </c>
      <c r="AM63" s="59">
        <f t="shared" si="5"/>
        <v>1194.8291769388795</v>
      </c>
      <c r="AN63" s="59">
        <f ca="1">AVERAGE(OFFSET($AM$3,0,0,'Données projet'!$E$10+1,1))-AVERAGE(OFFSET($H$3,0,0,'Données projet'!$E$10+1,1))</f>
        <v>490.96084572840579</v>
      </c>
      <c r="AO63" s="59">
        <f t="shared" si="36"/>
        <v>597.91658789908263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110.43722951808651</v>
      </c>
      <c r="AV63" s="21">
        <f>EXP(-LN(2)/25)*AV62+(1-EXP(-LN(2)/25))/(LN(2)/25)*Calculateur!AQ63*Calculateur!AS63*VLOOKUP('Données projet'!$B$10,Paramètres!$A$1:$I$89,3,0)*0.475*44/12</f>
        <v>25.150925710022467</v>
      </c>
      <c r="AW63" s="21">
        <f>EXP(-LN(2)/2)*AW62+(1-EXP(-LN(2)/2))/(LN(2)/2)*AQ63*AT63*VLOOKUP('Données projet'!$B$10,Paramètres!$A$1:$I$89,3,0)*0.475*44/12</f>
        <v>2.5954692588466344E-5</v>
      </c>
      <c r="AX63" s="21">
        <f t="shared" si="6"/>
        <v>135.58818118280155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194</v>
      </c>
      <c r="BB63" s="12">
        <f>VLOOKUP(A63,'Données projet'!$A$87:$I$107,9,0)</f>
        <v>4</v>
      </c>
      <c r="BC63" s="12">
        <f t="array" ref="BC63">INDEX(BB:BB,MIN(IF(ISNUMBER(BB63:BB259),ROW(BB63:BB259),"")))</f>
        <v>4</v>
      </c>
      <c r="BD63" s="12">
        <f>IF('Données projet'!$A$88&gt;35,BD62+BC63-BL62,IF(A63&lt;'Données projet'!$A$88,$BA$205^A63,IF(A63='Données projet'!$A$88,'Données projet'!$B$88,BD62+BC63-BL62)))</f>
        <v>194</v>
      </c>
      <c r="BE63" s="13">
        <f>BD63*VLOOKUP('Données projet'!$B$11,Paramètres!$A$1:$I$89,3,0)*VLOOKUP('Données projet'!$B$11,Paramètres!$A$1:$I$89,5,0)</f>
        <v>154.34639999999999</v>
      </c>
      <c r="BF63" s="13">
        <f t="shared" si="37"/>
        <v>39.56467258871259</v>
      </c>
      <c r="BG63" s="20">
        <f t="shared" si="7"/>
        <v>337.72845142534106</v>
      </c>
      <c r="BH63" s="59">
        <f t="shared" si="8"/>
        <v>631.06178475867432</v>
      </c>
      <c r="BI63" s="59">
        <f ca="1">AVERAGE(OFFSET($BH$3,0,0,'Données projet'!$E$11+1,1))-AVERAGE(OFFSET($H$3,0,0,'Données projet'!$E$11+1,1))</f>
        <v>167.80254365106839</v>
      </c>
      <c r="BJ63" s="59">
        <f t="shared" si="38"/>
        <v>167.42302164950172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9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32.598608972027364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32.598608972027364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574</v>
      </c>
      <c r="BW63" s="12">
        <f>VLOOKUP(A63,'Données projet'!$A$113:$I$133,9,0)</f>
        <v>18.600000000000001</v>
      </c>
      <c r="BX63" s="12">
        <f t="array" ref="BX63">INDEX(BW:BW,MIN(IF(ISNUMBER(BW63:BW259),ROW(BW63:BW259),"")))</f>
        <v>18.600000000000001</v>
      </c>
      <c r="BY63" s="12">
        <f>IF('Données projet'!$A$114&gt;35,BY62+BX63-CG62,IF(A63&lt;'Données projet'!$A$114,$BV$205^A63,IF(A63='Données projet'!$A$114,'Données projet'!$B$114,BY62+BX63-CG62)))</f>
        <v>574</v>
      </c>
      <c r="BZ63" s="13">
        <f>BY63*VLOOKUP('Données projet'!$B$12,Paramètres!$A$1:$I$89,3,0)*VLOOKUP('Données projet'!$B$12,Paramètres!$A$1:$I$89,5,0)</f>
        <v>283.55600000000004</v>
      </c>
      <c r="CA63" s="13">
        <f t="shared" si="39"/>
        <v>67.717941058989254</v>
      </c>
      <c r="CB63" s="20">
        <f t="shared" si="10"/>
        <v>611.80211401107306</v>
      </c>
      <c r="CC63" s="59">
        <f t="shared" si="11"/>
        <v>905.13544734440643</v>
      </c>
      <c r="CD63" s="59">
        <f ca="1">AVERAGE(OFFSET($CC$3,0,0,'Données projet'!$E$12+1,1))-AVERAGE(OFFSET($H$3,0,0,'Données projet'!$E$12+1,1))</f>
        <v>322.06606384496587</v>
      </c>
      <c r="CE63" s="59">
        <f t="shared" si="40"/>
        <v>267.71713177624713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50</v>
      </c>
      <c r="CH63" s="16">
        <f>IF(ISNA(VLOOKUP(A63,'Données projet'!$A$113:$I$133,5,0)),0%,VLOOKUP(A63,'Données projet'!$A$113:$I$133,5,0)*VLOOKUP('Données projet'!$B$12,Paramètres!$A$1:$I$89,7,0))</f>
        <v>0.55000000000000004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93.741706349082335</v>
      </c>
      <c r="CL63" s="21">
        <f>EXP(-LN(2)/25)*CL62+(1-EXP(-LN(2)/25))/(LN(2)/25)*Calculateur!CG63*Calculateur!CI63*VLOOKUP('Données projet'!$B$12,Paramètres!$A$1:$I$89,3,0)*0.475*44/12</f>
        <v>8.7509795494576164</v>
      </c>
      <c r="CM63" s="21">
        <f>EXP(-LN(2)/2)*CM62+(1-EXP(-LN(2)/2))/(LN(2)/2)*CG63*CJ63*VLOOKUP('Données projet'!$B$12,Paramètres!$A$1:$I$89,3,0)*0.475*44/12</f>
        <v>1.2069730008451513E-4</v>
      </c>
      <c r="CN63" s="22">
        <f t="shared" si="12"/>
        <v>102.49280659584004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401</v>
      </c>
      <c r="CR63" s="12">
        <f>VLOOKUP(A63,'Données projet'!$A$139:$I$159,9,0)</f>
        <v>12.316666666666663</v>
      </c>
      <c r="CS63" s="12">
        <f t="array" ref="CS63">INDEX(CR:CR,MIN(IF(ISNUMBER(CR63:CR259),ROW(CR63:CR259),"")))</f>
        <v>12.316666666666663</v>
      </c>
      <c r="CT63" s="12">
        <f>IF('Données projet'!$A$140&gt;35,CT62+CS63-DB62,IF(A63&lt;'Données projet'!$A$140,$CQ$205^A63,IF(A63='Données projet'!$A$140,'Données projet'!$B$140,CT62+CS63-DB62)))</f>
        <v>401</v>
      </c>
      <c r="CU63" s="17">
        <f>CT63*VLOOKUP('Données projet'!$B$13,Paramètres!$A$1:$I$89,3,0)*VLOOKUP('Données projet'!$B$13,Paramètres!$A$1:$I$89,5,0)</f>
        <v>250.22399999999999</v>
      </c>
      <c r="CV63" s="13">
        <f t="shared" si="41"/>
        <v>60.633904580527918</v>
      </c>
      <c r="CW63" s="20">
        <f t="shared" si="13"/>
        <v>541.41085047775289</v>
      </c>
      <c r="CX63" s="59">
        <f t="shared" si="14"/>
        <v>834.74418381108626</v>
      </c>
      <c r="CY63" s="59">
        <f ca="1">AVERAGE(OFFSET($CX$3,0,0,'Données projet'!$E$13+1,1))-AVERAGE(OFFSET($H$3,0,0,'Données projet'!$E$13+1,1))</f>
        <v>269.77739619445515</v>
      </c>
      <c r="CZ63" s="59">
        <f t="shared" si="42"/>
        <v>347.56964743629885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76.57835182941912</v>
      </c>
      <c r="DG63" s="21">
        <f>EXP(-LN(2)/25)*DG62+(1-EXP(-LN(2)/25))/(LN(2)/25)*Calculateur!DB63*Calculateur!DD63*VLOOKUP('Données projet'!$B$13,Paramètres!$A$1:$I$89,3,0)*0.475*44/12</f>
        <v>39.933108444981279</v>
      </c>
      <c r="DH63" s="21">
        <f>EXP(-LN(2)/2)*DH62+(1-EXP(-LN(2)/2))/(LN(2)/2)*DB63*DE63*VLOOKUP('Données projet'!$B$13,Paramètres!$A$1:$I$89,3,0)*0.475*44/12</f>
        <v>7.5800616537435469E-7</v>
      </c>
      <c r="DI63" s="22">
        <f t="shared" si="15"/>
        <v>116.51146103240657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574</v>
      </c>
      <c r="DM63" s="12">
        <f>VLOOKUP(A63,'Données projet'!$A$165:$I$185,9,0)</f>
        <v>18.600000000000001</v>
      </c>
      <c r="DN63" s="12">
        <f t="array" ref="DN63">INDEX(DM:DM,MIN(IF(ISNUMBER(DM63:DM259),ROW(DM63:DM259),"")))</f>
        <v>18.600000000000001</v>
      </c>
      <c r="DO63" s="12">
        <f>IF('Données projet'!$A$166&gt;35,DO62+DN63-DW62,IF(A63&lt;'Données projet'!$A$166,$DL$205^A63,IF(A63='Données projet'!$A$166,'Données projet'!$B$166,DO62+DN63-DW62)))</f>
        <v>574</v>
      </c>
      <c r="DP63" s="17">
        <f>DO63*VLOOKUP('Données projet'!$B$14,Paramètres!$A$1:$I$89,3,0)*VLOOKUP('Données projet'!$B$14,Paramètres!$A$1:$I$89,5,0)</f>
        <v>276.09399999999999</v>
      </c>
      <c r="DQ63" s="13">
        <f t="shared" si="43"/>
        <v>66.140885117273569</v>
      </c>
      <c r="DR63" s="20">
        <f t="shared" si="16"/>
        <v>596.05909157925146</v>
      </c>
      <c r="DS63" s="59">
        <f t="shared" si="17"/>
        <v>889.39242491258483</v>
      </c>
      <c r="DT63" s="59">
        <f ca="1">AVERAGE(OFFSET($DS$3,0,0,'Données projet'!$E$14+1,1))-AVERAGE(OFFSET($H$3,0,0,'Données projet'!$E$14+1,1))</f>
        <v>312.64506496298173</v>
      </c>
      <c r="DU63" s="59">
        <f t="shared" si="44"/>
        <v>259.97532509897508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50</v>
      </c>
      <c r="DX63" s="16">
        <f>IF(ISNA(VLOOKUP(A63,'Données projet'!$A$165:$I$185,5,0)),0%,VLOOKUP(A63,'Données projet'!$A$165:$I$185,5,0)*VLOOKUP('Données projet'!$B$14,Paramètres!$A$1:$I$89,7,0))</f>
        <v>0.55000000000000004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91.274819339895956</v>
      </c>
      <c r="EB63" s="21">
        <f>EXP(-LN(2)/25)*EB62+(1-EXP(-LN(2)/25))/(LN(2)/25)*Calculateur!DW63*Calculateur!DY63*VLOOKUP('Données projet'!$B$14,Paramètres!$A$1:$I$89,3,0)*0.475*44/12</f>
        <v>8.5206906139455754</v>
      </c>
      <c r="EC63" s="21">
        <f>EXP(-LN(2)/2)*EC62+(1-EXP(-LN(2)/2))/(LN(2)/2)*DW63*DZ63*VLOOKUP('Données projet'!$B$14,Paramètres!$A$1:$I$89,3,0)*0.475*44/12</f>
        <v>1.1752105534544859E-4</v>
      </c>
      <c r="ED63" s="22">
        <f t="shared" si="18"/>
        <v>99.795627474896875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214</v>
      </c>
      <c r="EH63" s="12">
        <f>VLOOKUP(A63,'Données projet'!$A$191:$I$211,9,0)</f>
        <v>7.6</v>
      </c>
      <c r="EI63" s="12">
        <f t="array" ref="EI63">INDEX(EH:EH,MIN(IF(ISNUMBER(EH63:EH259),ROW(EH63:EH259),"")))</f>
        <v>7.6</v>
      </c>
      <c r="EJ63" s="12">
        <f>IF('Données projet'!$A$192&gt;35,EJ62+EI63-ER62,IF(A63&lt;'Données projet'!$A$192,$EG$205^A63,IF(A63='Données projet'!$A$192,'Données projet'!$B$192,EJ62+EI63-ER62)))</f>
        <v>213.99999999999997</v>
      </c>
      <c r="EK63" s="17">
        <f>EJ63*VLOOKUP('Données projet'!$B$15,Paramètres!$A$1:$I$89,3,0)*VLOOKUP('Données projet'!$B$15,Paramètres!$A$1:$I$89,5,0)</f>
        <v>193.62719999999996</v>
      </c>
      <c r="EL63" s="13">
        <f t="shared" si="45"/>
        <v>48.340990547231193</v>
      </c>
      <c r="EM63" s="20">
        <f t="shared" si="19"/>
        <v>421.42793186976087</v>
      </c>
      <c r="EN63" s="59">
        <f t="shared" si="20"/>
        <v>714.76126520309413</v>
      </c>
      <c r="EO63" s="59">
        <f ca="1">AVERAGE(OFFSET($EN$3,0,0,'Données projet'!$E$15+1,1))-AVERAGE(OFFSET($H$3,0,0,'Données projet'!$E$15+1,1))</f>
        <v>269.64423257646359</v>
      </c>
      <c r="EP63" s="59">
        <f t="shared" si="46"/>
        <v>161.0819079811821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21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42.916014416358301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42.916014416358301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310</v>
      </c>
      <c r="FC63" s="12">
        <f>VLOOKUP(A63,'Données projet'!$A$217:$I$237,9,0)</f>
        <v>9.6</v>
      </c>
      <c r="FD63" s="12">
        <f t="array" ref="FD63">INDEX(FC:FC,MIN(IF(ISNUMBER(FC63:FC259),ROW(FC63:FC259),"")))</f>
        <v>9.6</v>
      </c>
      <c r="FE63" s="12">
        <f>IF('Données projet'!$A$218&gt;35,FE62+FD63-FM62,IF(A63&lt;'Données projet'!$A$218,$FB$205^A63,IF(A63='Données projet'!$A$218,'Données projet'!$B$218,FE62+FD63-FM62)))</f>
        <v>310.00000000000023</v>
      </c>
      <c r="FF63" s="17">
        <f>FE63*VLOOKUP('Données projet'!$B$16,Paramètres!$A$1:$I$89,3,0)*VLOOKUP('Données projet'!$B$16,Paramètres!$A$1:$I$89,5,0)</f>
        <v>241.80000000000018</v>
      </c>
      <c r="FG63" s="13">
        <f t="shared" si="47"/>
        <v>58.826640673484889</v>
      </c>
      <c r="FH63" s="20">
        <f t="shared" si="22"/>
        <v>523.59139917298648</v>
      </c>
      <c r="FI63" s="59">
        <f t="shared" si="23"/>
        <v>816.92473250631974</v>
      </c>
      <c r="FJ63" s="59">
        <f ca="1">AVERAGE(OFFSET($FI$3,0,0,'Données projet'!$E$16+1,1))-AVERAGE(OFFSET($H$3,0,0,'Données projet'!$E$16+1,1))</f>
        <v>283.77864672734273</v>
      </c>
      <c r="FK63" s="59">
        <f t="shared" si="48"/>
        <v>270.94620935643866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37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60.573497129231754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60.573497129231754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294</v>
      </c>
      <c r="FX63" s="12">
        <f>VLOOKUP(A63,'Données projet'!$A$243:$I$263,9,0)</f>
        <v>6.2</v>
      </c>
      <c r="FY63" s="12">
        <f t="array" ref="FY63">INDEX(FX:FX,MIN(IF(ISNUMBER(FX63:FX259),ROW(FX63:FX259),"")))</f>
        <v>6.2</v>
      </c>
      <c r="FZ63" s="12">
        <f>IF('Données projet'!$A$244&gt;35,FZ62+FY63-GH62,IF(A63&lt;'Données projet'!$A$244,$FW$205^A63,IF(A63='Données projet'!$A$244,'Données projet'!$B$244,FZ62+FY63-GH62)))</f>
        <v>293.99999999999989</v>
      </c>
      <c r="GA63" s="17">
        <f>FZ63*VLOOKUP('Données projet'!$B$17,Paramètres!$A$1:$I$89,3,0)*VLOOKUP('Données projet'!$B$17,Paramètres!$A$1:$I$89,5,0)</f>
        <v>284.35679999999985</v>
      </c>
      <c r="GB63" s="13">
        <f t="shared" si="49"/>
        <v>67.886896958889849</v>
      </c>
      <c r="GC63" s="20">
        <f t="shared" si="25"/>
        <v>613.4911055367329</v>
      </c>
      <c r="GD63" s="59">
        <f t="shared" si="26"/>
        <v>906.82443887006616</v>
      </c>
      <c r="GE63" s="59">
        <f ca="1">AVERAGE(OFFSET($GD$3,0,0,'Données projet'!$E$17+1,1))-AVERAGE(OFFSET($H$3,0,0,'Données projet'!$E$17+1,1))</f>
        <v>347.54503437087288</v>
      </c>
      <c r="GF63" s="59">
        <f t="shared" si="50"/>
        <v>340.05673244455954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14</v>
      </c>
      <c r="GI63" s="16">
        <f>IF(ISNA(VLOOKUP(A63,'Données projet'!$A$243:$I$263,5,0)),0%,VLOOKUP(A63,'Données projet'!$A$243:$I$263,5,0)*VLOOKUP('Données projet'!$B$17,Paramètres!$A$1:$I$89,7,0))</f>
        <v>0.43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49.10054682842685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49.10054682842685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18.600000000000001</v>
      </c>
      <c r="N64" s="13">
        <f>IF('Données projet'!$A$36&gt;35,N63+M64-V63,IF(A64&lt;'Données projet'!$A$36,$K$205^A64,IF(A64='Données projet'!$A$36,'Données projet'!$B$36,N63+M64-V63)))</f>
        <v>599.59999999999991</v>
      </c>
      <c r="O64" s="13">
        <f>N64*VLOOKUP('Données projet'!$B$9,Paramètres!$A$1:$I$89,3,0)*VLOOKUP('Données projet'!$B$9,Paramètres!$A$1:$I$89,5,0)</f>
        <v>280.61279999999999</v>
      </c>
      <c r="P64" s="13">
        <f t="shared" si="33"/>
        <v>67.096494655110604</v>
      </c>
      <c r="Q64" s="20">
        <f t="shared" si="53"/>
        <v>605.59368819098427</v>
      </c>
      <c r="R64" s="59">
        <f t="shared" si="0"/>
        <v>898.92702152431752</v>
      </c>
      <c r="S64" s="59">
        <f ca="1">AVERAGE(OFFSET($R$3,0,0,'Données projet'!$E$9+1,1))-AVERAGE(OFFSET($H$3,0,0,'Données projet'!$E$9+1,1))</f>
        <v>342.49944586217674</v>
      </c>
      <c r="T64" s="59">
        <f t="shared" si="34"/>
        <v>282.29766600872563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95.952189231934923</v>
      </c>
      <c r="AA64" s="21">
        <f>EXP(-LN(2)/25)*AA63+(1-EXP(-LN(2)/25))/(LN(2)/25)*Calculateur!V64*Calculateur!X64*VLOOKUP('Données projet'!$B$9,Paramètres!$A$1:$I$89,3,0)*0.475*44/12</f>
        <v>16.969003838301948</v>
      </c>
      <c r="AB64" s="21">
        <f>EXP(-LN(2)/2)*AB63+(1-EXP(-LN(2)/2))/(LN(2)/2)*V64*Y64*VLOOKUP('Données projet'!$B$9,Paramètres!$A$1:$I$89,3,0)*0.475*44/12</f>
        <v>1.7866376657247274E-6</v>
      </c>
      <c r="AC64" s="22">
        <f t="shared" si="3"/>
        <v>112.92119485687454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</v>
      </c>
      <c r="AI64" s="13">
        <f>IF('Données projet'!$A$62&gt;35,AI63+AH64-AQ63,IF(A64&lt;'Données projet'!$A$62,$AF$205^A64,IF(A64='Données projet'!$A$62,'Données projet'!$B$62,AI63+AH64-AQ63)))</f>
        <v>728.99999999999966</v>
      </c>
      <c r="AJ64" s="13">
        <f>AI64*VLOOKUP('Données projet'!$B$10,Paramètres!$A$1:$I$89,3,0)*VLOOKUP('Données projet'!$B$10,Paramètres!$A$1:$I$89,5,0)</f>
        <v>407.51099999999985</v>
      </c>
      <c r="AK64" s="13">
        <f t="shared" si="35"/>
        <v>93.297752590617137</v>
      </c>
      <c r="AL64" s="20">
        <f t="shared" si="4"/>
        <v>872.24191076199133</v>
      </c>
      <c r="AM64" s="59">
        <f t="shared" si="5"/>
        <v>1165.5752440953247</v>
      </c>
      <c r="AN64" s="59">
        <f ca="1">AVERAGE(OFFSET($AM$3,0,0,'Données projet'!$E$10+1,1))-AVERAGE(OFFSET($H$3,0,0,'Données projet'!$E$10+1,1))</f>
        <v>490.96084572840579</v>
      </c>
      <c r="AO64" s="59">
        <f t="shared" si="36"/>
        <v>597.91658789908263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108.27162280729559</v>
      </c>
      <c r="AV64" s="21">
        <f>EXP(-LN(2)/25)*AV63+(1-EXP(-LN(2)/25))/(LN(2)/25)*Calculateur!AQ64*Calculateur!AS64*VLOOKUP('Données projet'!$B$10,Paramètres!$A$1:$I$89,3,0)*0.475*44/12</f>
        <v>24.463172323852202</v>
      </c>
      <c r="AW64" s="21">
        <f>EXP(-LN(2)/2)*AW63+(1-EXP(-LN(2)/2))/(LN(2)/2)*AQ64*AT64*VLOOKUP('Données projet'!$B$10,Paramètres!$A$1:$I$89,3,0)*0.475*44/12</f>
        <v>1.8352739132916777E-5</v>
      </c>
      <c r="AX64" s="21">
        <f t="shared" si="6"/>
        <v>132.73481348388694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3.4</v>
      </c>
      <c r="BD64" s="12">
        <f>IF('Données projet'!$A$88&gt;35,BD63+BC64-BL63,IF(A64&lt;'Données projet'!$A$88,$BA$205^A64,IF(A64='Données projet'!$A$88,'Données projet'!$B$88,BD63+BC64-BL63)))</f>
        <v>188.4</v>
      </c>
      <c r="BE64" s="13">
        <f>BD64*VLOOKUP('Données projet'!$B$11,Paramètres!$A$1:$I$89,3,0)*VLOOKUP('Données projet'!$B$11,Paramètres!$A$1:$I$89,5,0)</f>
        <v>149.89104</v>
      </c>
      <c r="BF64" s="13">
        <f t="shared" si="37"/>
        <v>38.553823022751281</v>
      </c>
      <c r="BG64" s="20">
        <f t="shared" si="7"/>
        <v>328.20813643129185</v>
      </c>
      <c r="BH64" s="59">
        <f t="shared" si="8"/>
        <v>621.54146976462516</v>
      </c>
      <c r="BI64" s="59">
        <f ca="1">AVERAGE(OFFSET($BH$3,0,0,'Données projet'!$E$11+1,1))-AVERAGE(OFFSET($H$3,0,0,'Données projet'!$E$11+1,1))</f>
        <v>167.80254365106839</v>
      </c>
      <c r="BJ64" s="59">
        <f t="shared" si="38"/>
        <v>167.42302164950172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31.959370133274078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31.959370133274078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17.600000000000001</v>
      </c>
      <c r="BY64" s="12">
        <f>IF('Données projet'!$A$114&gt;35,BY63+BX64-CG63,IF(A64&lt;'Données projet'!$A$114,$BV$205^A64,IF(A64='Données projet'!$A$114,'Données projet'!$B$114,BY63+BX64-CG63)))</f>
        <v>541.6</v>
      </c>
      <c r="BZ64" s="13">
        <f>BY64*VLOOKUP('Données projet'!$B$12,Paramètres!$A$1:$I$89,3,0)*VLOOKUP('Données projet'!$B$12,Paramètres!$A$1:$I$89,5,0)</f>
        <v>267.55040000000002</v>
      </c>
      <c r="CA64" s="13">
        <f t="shared" si="39"/>
        <v>64.329126910144097</v>
      </c>
      <c r="CB64" s="20">
        <f t="shared" si="10"/>
        <v>578.0235093685011</v>
      </c>
      <c r="CC64" s="59">
        <f t="shared" si="11"/>
        <v>871.35684270183447</v>
      </c>
      <c r="CD64" s="59">
        <f ca="1">AVERAGE(OFFSET($CC$3,0,0,'Données projet'!$E$12+1,1))-AVERAGE(OFFSET($H$3,0,0,'Données projet'!$E$12+1,1))</f>
        <v>322.06606384496587</v>
      </c>
      <c r="CE64" s="59">
        <f t="shared" si="40"/>
        <v>267.71713177624713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91.903488664371963</v>
      </c>
      <c r="CL64" s="21">
        <f>EXP(-LN(2)/25)*CL63+(1-EXP(-LN(2)/25))/(LN(2)/25)*Calculateur!CG64*Calculateur!CI64*VLOOKUP('Données projet'!$B$12,Paramètres!$A$1:$I$89,3,0)*0.475*44/12</f>
        <v>8.5116835534836834</v>
      </c>
      <c r="CM64" s="21">
        <f>EXP(-LN(2)/2)*CM63+(1-EXP(-LN(2)/2))/(LN(2)/2)*CG64*CJ64*VLOOKUP('Données projet'!$B$12,Paramètres!$A$1:$I$89,3,0)*0.475*44/12</f>
        <v>8.5345879360668311E-5</v>
      </c>
      <c r="CN64" s="22">
        <f t="shared" si="12"/>
        <v>100.415257563735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401</v>
      </c>
      <c r="CU64" s="17">
        <f>CT64*VLOOKUP('Données projet'!$B$13,Paramètres!$A$1:$I$89,3,0)*VLOOKUP('Données projet'!$B$13,Paramètres!$A$1:$I$89,5,0)</f>
        <v>250.22399999999999</v>
      </c>
      <c r="CV64" s="13">
        <f t="shared" si="41"/>
        <v>60.633904580527918</v>
      </c>
      <c r="CW64" s="20">
        <f t="shared" si="13"/>
        <v>541.41085047775289</v>
      </c>
      <c r="CX64" s="59">
        <f t="shared" si="14"/>
        <v>834.74418381108626</v>
      </c>
      <c r="CY64" s="59">
        <f ca="1">AVERAGE(OFFSET($CX$3,0,0,'Données projet'!$E$13+1,1))-AVERAGE(OFFSET($H$3,0,0,'Données projet'!$E$13+1,1))</f>
        <v>269.77739619445515</v>
      </c>
      <c r="CZ64" s="59">
        <f t="shared" si="42"/>
        <v>347.56964743629885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75.07669705822677</v>
      </c>
      <c r="DG64" s="21">
        <f>EXP(-LN(2)/25)*DG63+(1-EXP(-LN(2)/25))/(LN(2)/25)*Calculateur!DB64*Calculateur!DD64*VLOOKUP('Données projet'!$B$13,Paramètres!$A$1:$I$89,3,0)*0.475*44/12</f>
        <v>38.841135494562359</v>
      </c>
      <c r="DH64" s="21">
        <f>EXP(-LN(2)/2)*DH63+(1-EXP(-LN(2)/2))/(LN(2)/2)*DB64*DE64*VLOOKUP('Données projet'!$B$13,Paramètres!$A$1:$I$89,3,0)*0.475*44/12</f>
        <v>5.3599129971741777E-7</v>
      </c>
      <c r="DI64" s="22">
        <f t="shared" si="15"/>
        <v>113.91783308878043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17.600000000000001</v>
      </c>
      <c r="DO64" s="12">
        <f>IF('Données projet'!$A$166&gt;35,DO63+DN64-DW63,IF(A64&lt;'Données projet'!$A$166,$DL$205^A64,IF(A64='Données projet'!$A$166,'Données projet'!$B$166,DO63+DN64-DW63)))</f>
        <v>541.6</v>
      </c>
      <c r="DP64" s="17">
        <f>DO64*VLOOKUP('Données projet'!$B$14,Paramètres!$A$1:$I$89,3,0)*VLOOKUP('Données projet'!$B$14,Paramètres!$A$1:$I$89,5,0)</f>
        <v>260.50959999999998</v>
      </c>
      <c r="DQ64" s="13">
        <f t="shared" si="43"/>
        <v>62.830991700589358</v>
      </c>
      <c r="DR64" s="20">
        <f t="shared" si="16"/>
        <v>563.15153054519317</v>
      </c>
      <c r="DS64" s="59">
        <f t="shared" si="17"/>
        <v>856.48486387852654</v>
      </c>
      <c r="DT64" s="59">
        <f ca="1">AVERAGE(OFFSET($DS$3,0,0,'Données projet'!$E$14+1,1))-AVERAGE(OFFSET($H$3,0,0,'Données projet'!$E$14+1,1))</f>
        <v>312.64506496298173</v>
      </c>
      <c r="DU64" s="59">
        <f t="shared" si="44"/>
        <v>259.97532509897508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89.484975804783232</v>
      </c>
      <c r="EB64" s="21">
        <f>EXP(-LN(2)/25)*EB63+(1-EXP(-LN(2)/25))/(LN(2)/25)*Calculateur!DW64*Calculateur!DY64*VLOOKUP('Données projet'!$B$14,Paramètres!$A$1:$I$89,3,0)*0.475*44/12</f>
        <v>8.2876918810235889</v>
      </c>
      <c r="EC64" s="21">
        <f>EXP(-LN(2)/2)*EC63+(1-EXP(-LN(2)/2))/(LN(2)/2)*DW64*DZ64*VLOOKUP('Données projet'!$B$14,Paramètres!$A$1:$I$89,3,0)*0.475*44/12</f>
        <v>8.3099935166966256E-5</v>
      </c>
      <c r="ED64" s="22">
        <f t="shared" si="18"/>
        <v>97.772750785741991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7.2</v>
      </c>
      <c r="EJ64" s="12">
        <f>IF('Données projet'!$A$192&gt;35,EJ63+EI64-ER63,IF(A64&lt;'Données projet'!$A$192,$EG$205^A64,IF(A64='Données projet'!$A$192,'Données projet'!$B$192,EJ63+EI64-ER63)))</f>
        <v>200.19999999999996</v>
      </c>
      <c r="EK64" s="17">
        <f>EJ64*VLOOKUP('Données projet'!$B$15,Paramètres!$A$1:$I$89,3,0)*VLOOKUP('Données projet'!$B$15,Paramètres!$A$1:$I$89,5,0)</f>
        <v>181.14095999999995</v>
      </c>
      <c r="EL64" s="13">
        <f t="shared" si="45"/>
        <v>45.575935320610945</v>
      </c>
      <c r="EM64" s="20">
        <f t="shared" si="19"/>
        <v>394.86525935006392</v>
      </c>
      <c r="EN64" s="59">
        <f t="shared" si="20"/>
        <v>688.19859268339724</v>
      </c>
      <c r="EO64" s="59">
        <f ca="1">AVERAGE(OFFSET($EN$3,0,0,'Données projet'!$E$15+1,1))-AVERAGE(OFFSET($H$3,0,0,'Données projet'!$E$15+1,1))</f>
        <v>269.64423257646359</v>
      </c>
      <c r="EP64" s="59">
        <f t="shared" si="46"/>
        <v>161.0819079811821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42.074457549837625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42.074457549837625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9.1999999999999993</v>
      </c>
      <c r="FE64" s="12">
        <f>IF('Données projet'!$A$218&gt;35,FE63+FD64-FM63,IF(A64&lt;'Données projet'!$A$218,$FB$205^A64,IF(A64='Données projet'!$A$218,'Données projet'!$B$218,FE63+FD64-FM63)))</f>
        <v>282.20000000000022</v>
      </c>
      <c r="FF64" s="17">
        <f>FE64*VLOOKUP('Données projet'!$B$16,Paramètres!$A$1:$I$89,3,0)*VLOOKUP('Données projet'!$B$16,Paramètres!$A$1:$I$89,5,0)</f>
        <v>220.11600000000018</v>
      </c>
      <c r="FG64" s="13">
        <f t="shared" si="47"/>
        <v>54.140096973925971</v>
      </c>
      <c r="FH64" s="20">
        <f t="shared" si="22"/>
        <v>477.66270222958809</v>
      </c>
      <c r="FI64" s="59">
        <f t="shared" si="23"/>
        <v>770.99603556292141</v>
      </c>
      <c r="FJ64" s="59">
        <f ca="1">AVERAGE(OFFSET($FI$3,0,0,'Données projet'!$E$16+1,1))-AVERAGE(OFFSET($H$3,0,0,'Données projet'!$E$16+1,1))</f>
        <v>283.77864672734273</v>
      </c>
      <c r="FK64" s="59">
        <f t="shared" si="48"/>
        <v>270.94620935643866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59.385687796712638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59.385687796712638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5.2</v>
      </c>
      <c r="FZ64" s="12">
        <f>IF('Données projet'!$A$244&gt;35,FZ63+FY64-GH63,IF(A64&lt;'Données projet'!$A$244,$FW$205^A64,IF(A64='Données projet'!$A$244,'Données projet'!$B$244,FZ63+FY64-GH63)))</f>
        <v>285.19999999999987</v>
      </c>
      <c r="GA64" s="17">
        <f>FZ64*VLOOKUP('Données projet'!$B$17,Paramètres!$A$1:$I$89,3,0)*VLOOKUP('Données projet'!$B$17,Paramètres!$A$1:$I$89,5,0)</f>
        <v>275.84543999999988</v>
      </c>
      <c r="GB64" s="13">
        <f t="shared" si="49"/>
        <v>66.088268521855227</v>
      </c>
      <c r="GC64" s="20">
        <f t="shared" si="25"/>
        <v>595.53454234223091</v>
      </c>
      <c r="GD64" s="59">
        <f t="shared" si="26"/>
        <v>888.86787567556416</v>
      </c>
      <c r="GE64" s="59">
        <f ca="1">AVERAGE(OFFSET($GD$3,0,0,'Données projet'!$E$17+1,1))-AVERAGE(OFFSET($H$3,0,0,'Données projet'!$E$17+1,1))</f>
        <v>347.54503437087288</v>
      </c>
      <c r="GF64" s="59">
        <f t="shared" si="50"/>
        <v>340.05673244455954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48.137715053497807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48.137715053497807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18.600000000000001</v>
      </c>
      <c r="N65" s="13">
        <f>IF('Données projet'!$A$36&gt;35,N64+M65-V64,IF(A65&lt;'Données projet'!$A$36,$K$205^A65,IF(A65='Données projet'!$A$36,'Données projet'!$B$36,N64+M65-V64)))</f>
        <v>618.19999999999993</v>
      </c>
      <c r="O65" s="13">
        <f>N65*VLOOKUP('Données projet'!$B$9,Paramètres!$A$1:$I$89,3,0)*VLOOKUP('Données projet'!$B$9,Paramètres!$A$1:$I$89,5,0)</f>
        <v>289.31759999999997</v>
      </c>
      <c r="P65" s="13">
        <f t="shared" si="33"/>
        <v>68.932318451827797</v>
      </c>
      <c r="Q65" s="20">
        <f t="shared" si="53"/>
        <v>623.95194130359994</v>
      </c>
      <c r="R65" s="59">
        <f t="shared" si="0"/>
        <v>917.28527463693331</v>
      </c>
      <c r="S65" s="59">
        <f ca="1">AVERAGE(OFFSET($R$3,0,0,'Données projet'!$E$9+1,1))-AVERAGE(OFFSET($H$3,0,0,'Données projet'!$E$9+1,1))</f>
        <v>342.49944586217674</v>
      </c>
      <c r="T65" s="59">
        <f t="shared" si="34"/>
        <v>282.29766600872563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94.070625326153248</v>
      </c>
      <c r="AA65" s="21">
        <f>EXP(-LN(2)/25)*AA64+(1-EXP(-LN(2)/25))/(LN(2)/25)*Calculateur!V65*Calculateur!X65*VLOOKUP('Données projet'!$B$9,Paramètres!$A$1:$I$89,3,0)*0.475*44/12</f>
        <v>16.504985535982453</v>
      </c>
      <c r="AB65" s="21">
        <f>EXP(-LN(2)/2)*AB64+(1-EXP(-LN(2)/2))/(LN(2)/2)*V65*Y65*VLOOKUP('Données projet'!$B$9,Paramètres!$A$1:$I$89,3,0)*0.475*44/12</f>
        <v>1.2633436089572589E-6</v>
      </c>
      <c r="AC65" s="22">
        <f t="shared" si="3"/>
        <v>110.57561212547931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</v>
      </c>
      <c r="AI65" s="13">
        <f>IF('Données projet'!$A$62&gt;35,AI64+AH65-AQ64,IF(A65&lt;'Données projet'!$A$62,$AF$205^A65,IF(A65='Données projet'!$A$62,'Données projet'!$B$62,AI64+AH65-AQ64)))</f>
        <v>738.99999999999966</v>
      </c>
      <c r="AJ65" s="13">
        <f>AI65*VLOOKUP('Données projet'!$B$10,Paramètres!$A$1:$I$89,3,0)*VLOOKUP('Données projet'!$B$10,Paramètres!$A$1:$I$89,5,0)</f>
        <v>413.10099999999983</v>
      </c>
      <c r="AK65" s="13">
        <f t="shared" si="35"/>
        <v>94.427689670462357</v>
      </c>
      <c r="AL65" s="20">
        <f t="shared" si="4"/>
        <v>883.94580117605494</v>
      </c>
      <c r="AM65" s="59">
        <f t="shared" si="5"/>
        <v>1177.2791345093883</v>
      </c>
      <c r="AN65" s="59">
        <f ca="1">AVERAGE(OFFSET($AM$3,0,0,'Données projet'!$E$10+1,1))-AVERAGE(OFFSET($H$3,0,0,'Données projet'!$E$10+1,1))</f>
        <v>490.96084572840579</v>
      </c>
      <c r="AO65" s="59">
        <f t="shared" si="36"/>
        <v>597.91658789908263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106.1484823232136</v>
      </c>
      <c r="AV65" s="21">
        <f>EXP(-LN(2)/25)*AV64+(1-EXP(-LN(2)/25))/(LN(2)/25)*Calculateur!AQ65*Calculateur!AS65*VLOOKUP('Données projet'!$B$10,Paramètres!$A$1:$I$89,3,0)*0.475*44/12</f>
        <v>23.794225590194142</v>
      </c>
      <c r="AW65" s="21">
        <f>EXP(-LN(2)/2)*AW64+(1-EXP(-LN(2)/2))/(LN(2)/2)*AQ65*AT65*VLOOKUP('Données projet'!$B$10,Paramètres!$A$1:$I$89,3,0)*0.475*44/12</f>
        <v>1.2977346294233172E-5</v>
      </c>
      <c r="AX65" s="21">
        <f t="shared" si="6"/>
        <v>129.94272089075403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3.4</v>
      </c>
      <c r="BD65" s="12">
        <f>IF('Données projet'!$A$88&gt;35,BD64+BC65-BL64,IF(A65&lt;'Données projet'!$A$88,$BA$205^A65,IF(A65='Données projet'!$A$88,'Données projet'!$B$88,BD64+BC65-BL64)))</f>
        <v>191.8</v>
      </c>
      <c r="BE65" s="13">
        <f>BD65*VLOOKUP('Données projet'!$B$11,Paramètres!$A$1:$I$89,3,0)*VLOOKUP('Données projet'!$B$11,Paramètres!$A$1:$I$89,5,0)</f>
        <v>152.59608000000003</v>
      </c>
      <c r="BF65" s="13">
        <f t="shared" si="37"/>
        <v>39.167963646360036</v>
      </c>
      <c r="BG65" s="20">
        <f t="shared" si="7"/>
        <v>333.98904268407705</v>
      </c>
      <c r="BH65" s="59">
        <f t="shared" si="8"/>
        <v>627.32237601741031</v>
      </c>
      <c r="BI65" s="59">
        <f ca="1">AVERAGE(OFFSET($BH$3,0,0,'Données projet'!$E$11+1,1))-AVERAGE(OFFSET($H$3,0,0,'Données projet'!$E$11+1,1))</f>
        <v>167.80254365106839</v>
      </c>
      <c r="BJ65" s="59">
        <f t="shared" si="38"/>
        <v>167.42302164950172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31.332666378251552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31.332666378251552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17.600000000000001</v>
      </c>
      <c r="BY65" s="12">
        <f>IF('Données projet'!$A$114&gt;35,BY64+BX65-CG64,IF(A65&lt;'Données projet'!$A$114,$BV$205^A65,IF(A65='Données projet'!$A$114,'Données projet'!$B$114,BY64+BX65-CG64)))</f>
        <v>559.20000000000005</v>
      </c>
      <c r="BZ65" s="13">
        <f>BY65*VLOOKUP('Données projet'!$B$12,Paramètres!$A$1:$I$89,3,0)*VLOOKUP('Données projet'!$B$12,Paramètres!$A$1:$I$89,5,0)</f>
        <v>276.2448</v>
      </c>
      <c r="CA65" s="13">
        <f t="shared" si="39"/>
        <v>66.172804631956268</v>
      </c>
      <c r="CB65" s="20">
        <f t="shared" si="10"/>
        <v>596.37732806732379</v>
      </c>
      <c r="CC65" s="59">
        <f t="shared" si="11"/>
        <v>889.71066140065705</v>
      </c>
      <c r="CD65" s="59">
        <f ca="1">AVERAGE(OFFSET($CC$3,0,0,'Données projet'!$E$12+1,1))-AVERAGE(OFFSET($H$3,0,0,'Données projet'!$E$12+1,1))</f>
        <v>322.06606384496587</v>
      </c>
      <c r="CE65" s="59">
        <f t="shared" si="40"/>
        <v>267.71713177624713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90.101317307256679</v>
      </c>
      <c r="CL65" s="21">
        <f>EXP(-LN(2)/25)*CL64+(1-EXP(-LN(2)/25))/(LN(2)/25)*Calculateur!CG65*Calculateur!CI65*VLOOKUP('Données projet'!$B$12,Paramètres!$A$1:$I$89,3,0)*0.475*44/12</f>
        <v>8.278931119103687</v>
      </c>
      <c r="CM65" s="21">
        <f>EXP(-LN(2)/2)*CM64+(1-EXP(-LN(2)/2))/(LN(2)/2)*CG65*CJ65*VLOOKUP('Données projet'!$B$12,Paramètres!$A$1:$I$89,3,0)*0.475*44/12</f>
        <v>6.0348650042257576E-5</v>
      </c>
      <c r="CN65" s="22">
        <f t="shared" si="12"/>
        <v>98.380308775010405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401</v>
      </c>
      <c r="CU65" s="17">
        <f>CT65*VLOOKUP('Données projet'!$B$13,Paramètres!$A$1:$I$89,3,0)*VLOOKUP('Données projet'!$B$13,Paramètres!$A$1:$I$89,5,0)</f>
        <v>250.22399999999999</v>
      </c>
      <c r="CV65" s="13">
        <f t="shared" si="41"/>
        <v>60.633904580527918</v>
      </c>
      <c r="CW65" s="20">
        <f t="shared" si="13"/>
        <v>541.41085047775289</v>
      </c>
      <c r="CX65" s="59">
        <f t="shared" si="14"/>
        <v>834.74418381108626</v>
      </c>
      <c r="CY65" s="59">
        <f ca="1">AVERAGE(OFFSET($CX$3,0,0,'Données projet'!$E$13+1,1))-AVERAGE(OFFSET($H$3,0,0,'Données projet'!$E$13+1,1))</f>
        <v>269.77739619445515</v>
      </c>
      <c r="CZ65" s="59">
        <f t="shared" si="42"/>
        <v>347.56964743629885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73.604488821178535</v>
      </c>
      <c r="DG65" s="21">
        <f>EXP(-LN(2)/25)*DG64+(1-EXP(-LN(2)/25))/(LN(2)/25)*Calculateur!DB65*Calculateur!DD65*VLOOKUP('Données projet'!$B$13,Paramètres!$A$1:$I$89,3,0)*0.475*44/12</f>
        <v>37.779022601897005</v>
      </c>
      <c r="DH65" s="21">
        <f>EXP(-LN(2)/2)*DH64+(1-EXP(-LN(2)/2))/(LN(2)/2)*DB65*DE65*VLOOKUP('Données projet'!$B$13,Paramètres!$A$1:$I$89,3,0)*0.475*44/12</f>
        <v>3.7900308268717734E-7</v>
      </c>
      <c r="DI65" s="22">
        <f t="shared" si="15"/>
        <v>111.38351180207862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17.600000000000001</v>
      </c>
      <c r="DO65" s="12">
        <f>IF('Données projet'!$A$166&gt;35,DO64+DN65-DW64,IF(A65&lt;'Données projet'!$A$166,$DL$205^A65,IF(A65='Données projet'!$A$166,'Données projet'!$B$166,DO64+DN65-DW64)))</f>
        <v>559.20000000000005</v>
      </c>
      <c r="DP65" s="17">
        <f>DO65*VLOOKUP('Données projet'!$B$14,Paramètres!$A$1:$I$89,3,0)*VLOOKUP('Données projet'!$B$14,Paramètres!$A$1:$I$89,5,0)</f>
        <v>268.97520000000003</v>
      </c>
      <c r="DQ65" s="13">
        <f t="shared" si="43"/>
        <v>64.631732752143648</v>
      </c>
      <c r="DR65" s="20">
        <f t="shared" si="16"/>
        <v>581.03207454331687</v>
      </c>
      <c r="DS65" s="59">
        <f t="shared" si="17"/>
        <v>874.36540787665012</v>
      </c>
      <c r="DT65" s="59">
        <f ca="1">AVERAGE(OFFSET($DS$3,0,0,'Données projet'!$E$14+1,1))-AVERAGE(OFFSET($H$3,0,0,'Données projet'!$E$14+1,1))</f>
        <v>312.64506496298173</v>
      </c>
      <c r="DU65" s="59">
        <f t="shared" si="44"/>
        <v>259.97532509897508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87.730230009697308</v>
      </c>
      <c r="EB65" s="21">
        <f>EXP(-LN(2)/25)*EB64+(1-EXP(-LN(2)/25))/(LN(2)/25)*Calculateur!DW65*Calculateur!DY65*VLOOKUP('Données projet'!$B$14,Paramètres!$A$1:$I$89,3,0)*0.475*44/12</f>
        <v>8.061064510706224</v>
      </c>
      <c r="EC65" s="21">
        <f>EXP(-LN(2)/2)*EC64+(1-EXP(-LN(2)/2))/(LN(2)/2)*DW65*DZ65*VLOOKUP('Données projet'!$B$14,Paramètres!$A$1:$I$89,3,0)*0.475*44/12</f>
        <v>5.8760527672724295E-5</v>
      </c>
      <c r="ED65" s="22">
        <f t="shared" si="18"/>
        <v>95.791353280931219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7.2</v>
      </c>
      <c r="EJ65" s="12">
        <f>IF('Données projet'!$A$192&gt;35,EJ64+EI65-ER64,IF(A65&lt;'Données projet'!$A$192,$EG$205^A65,IF(A65='Données projet'!$A$192,'Données projet'!$B$192,EJ64+EI65-ER64)))</f>
        <v>207.39999999999995</v>
      </c>
      <c r="EK65" s="17">
        <f>EJ65*VLOOKUP('Données projet'!$B$15,Paramètres!$A$1:$I$89,3,0)*VLOOKUP('Données projet'!$B$15,Paramètres!$A$1:$I$89,5,0)</f>
        <v>187.65551999999994</v>
      </c>
      <c r="EL65" s="13">
        <f t="shared" si="45"/>
        <v>47.021247649900147</v>
      </c>
      <c r="EM65" s="20">
        <f t="shared" si="19"/>
        <v>408.72870365690932</v>
      </c>
      <c r="EN65" s="59">
        <f t="shared" si="20"/>
        <v>702.06203699024263</v>
      </c>
      <c r="EO65" s="59">
        <f ca="1">AVERAGE(OFFSET($EN$3,0,0,'Données projet'!$E$15+1,1))-AVERAGE(OFFSET($H$3,0,0,'Données projet'!$E$15+1,1))</f>
        <v>269.64423257646359</v>
      </c>
      <c r="EP65" s="59">
        <f t="shared" si="46"/>
        <v>161.0819079811821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41.249403100170419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41.249403100170419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9.1999999999999993</v>
      </c>
      <c r="FE65" s="12">
        <f>IF('Données projet'!$A$218&gt;35,FE64+FD65-FM64,IF(A65&lt;'Données projet'!$A$218,$FB$205^A65,IF(A65='Données projet'!$A$218,'Données projet'!$B$218,FE64+FD65-FM64)))</f>
        <v>291.4000000000002</v>
      </c>
      <c r="FF65" s="17">
        <f>FE65*VLOOKUP('Données projet'!$B$16,Paramètres!$A$1:$I$89,3,0)*VLOOKUP('Données projet'!$B$16,Paramètres!$A$1:$I$89,5,0)</f>
        <v>227.29200000000017</v>
      </c>
      <c r="FG65" s="13">
        <f t="shared" si="47"/>
        <v>55.696745617483749</v>
      </c>
      <c r="FH65" s="20">
        <f t="shared" si="22"/>
        <v>492.87206528378442</v>
      </c>
      <c r="FI65" s="59">
        <f t="shared" si="23"/>
        <v>786.20539861711768</v>
      </c>
      <c r="FJ65" s="59">
        <f ca="1">AVERAGE(OFFSET($FI$3,0,0,'Données projet'!$E$16+1,1))-AVERAGE(OFFSET($H$3,0,0,'Données projet'!$E$16+1,1))</f>
        <v>283.77864672734273</v>
      </c>
      <c r="FK65" s="59">
        <f t="shared" si="48"/>
        <v>270.94620935643866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58.221170680712063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58.221170680712063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5.2</v>
      </c>
      <c r="FZ65" s="12">
        <f>IF('Données projet'!$A$244&gt;35,FZ64+FY65-GH64,IF(A65&lt;'Données projet'!$A$244,$FW$205^A65,IF(A65='Données projet'!$A$244,'Données projet'!$B$244,FZ64+FY65-GH64)))</f>
        <v>290.39999999999986</v>
      </c>
      <c r="GA65" s="17">
        <f>FZ65*VLOOKUP('Données projet'!$B$17,Paramètres!$A$1:$I$89,3,0)*VLOOKUP('Données projet'!$B$17,Paramètres!$A$1:$I$89,5,0)</f>
        <v>280.87487999999991</v>
      </c>
      <c r="GB65" s="13">
        <f t="shared" si="49"/>
        <v>67.151862592195855</v>
      </c>
      <c r="GC65" s="20">
        <f t="shared" si="25"/>
        <v>606.14657668140751</v>
      </c>
      <c r="GD65" s="59">
        <f t="shared" si="26"/>
        <v>899.47991001474088</v>
      </c>
      <c r="GE65" s="59">
        <f ca="1">AVERAGE(OFFSET($GD$3,0,0,'Données projet'!$E$17+1,1))-AVERAGE(OFFSET($H$3,0,0,'Données projet'!$E$17+1,1))</f>
        <v>347.54503437087288</v>
      </c>
      <c r="GF65" s="59">
        <f t="shared" si="50"/>
        <v>340.05673244455954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47.193763822405728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47.193763822405728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18.600000000000001</v>
      </c>
      <c r="N66" s="13">
        <f>IF('Données projet'!$A$36&gt;35,N65+M66-V65,IF(A66&lt;'Données projet'!$A$36,$K$205^A66,IF(A66='Données projet'!$A$36,'Données projet'!$B$36,N65+M66-V65)))</f>
        <v>636.79999999999995</v>
      </c>
      <c r="O66" s="13">
        <f>N66*VLOOKUP('Données projet'!$B$9,Paramètres!$A$1:$I$89,3,0)*VLOOKUP('Données projet'!$B$9,Paramètres!$A$1:$I$89,5,0)</f>
        <v>298.02239999999995</v>
      </c>
      <c r="P66" s="13">
        <f t="shared" si="33"/>
        <v>70.761723107893317</v>
      </c>
      <c r="Q66" s="20">
        <f t="shared" si="53"/>
        <v>642.29901441291406</v>
      </c>
      <c r="R66" s="59">
        <f t="shared" si="0"/>
        <v>935.63234774624743</v>
      </c>
      <c r="S66" s="59">
        <f ca="1">AVERAGE(OFFSET($R$3,0,0,'Données projet'!$E$9+1,1))-AVERAGE(OFFSET($H$3,0,0,'Données projet'!$E$9+1,1))</f>
        <v>342.49944586217674</v>
      </c>
      <c r="T66" s="59">
        <f t="shared" si="34"/>
        <v>282.29766600872563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92.225957740923278</v>
      </c>
      <c r="AA66" s="21">
        <f>EXP(-LN(2)/25)*AA65+(1-EXP(-LN(2)/25))/(LN(2)/25)*Calculateur!V66*Calculateur!X66*VLOOKUP('Données projet'!$B$9,Paramètres!$A$1:$I$89,3,0)*0.475*44/12</f>
        <v>16.053655838541545</v>
      </c>
      <c r="AB66" s="21">
        <f>EXP(-LN(2)/2)*AB65+(1-EXP(-LN(2)/2))/(LN(2)/2)*V66*Y66*VLOOKUP('Données projet'!$B$9,Paramètres!$A$1:$I$89,3,0)*0.475*44/12</f>
        <v>8.9331883286236372E-7</v>
      </c>
      <c r="AC66" s="22">
        <f t="shared" si="3"/>
        <v>108.27961447278365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</v>
      </c>
      <c r="AI66" s="13">
        <f>IF('Données projet'!$A$62&gt;35,AI65+AH66-AQ65,IF(A66&lt;'Données projet'!$A$62,$AF$205^A66,IF(A66='Données projet'!$A$62,'Données projet'!$B$62,AI65+AH66-AQ65)))</f>
        <v>748.99999999999966</v>
      </c>
      <c r="AJ66" s="13">
        <f>AI66*VLOOKUP('Données projet'!$B$10,Paramètres!$A$1:$I$89,3,0)*VLOOKUP('Données projet'!$B$10,Paramètres!$A$1:$I$89,5,0)</f>
        <v>418.6909999999998</v>
      </c>
      <c r="AK66" s="13">
        <f t="shared" si="35"/>
        <v>95.555848328260851</v>
      </c>
      <c r="AL66" s="20">
        <f t="shared" si="4"/>
        <v>895.64659417172061</v>
      </c>
      <c r="AM66" s="59">
        <f t="shared" si="5"/>
        <v>1188.9799275050539</v>
      </c>
      <c r="AN66" s="59">
        <f ca="1">AVERAGE(OFFSET($AM$3,0,0,'Données projet'!$E$10+1,1))-AVERAGE(OFFSET($H$3,0,0,'Données projet'!$E$10+1,1))</f>
        <v>490.96084572840579</v>
      </c>
      <c r="AO66" s="59">
        <f t="shared" si="36"/>
        <v>597.91658789908263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104.06697532903664</v>
      </c>
      <c r="AV66" s="21">
        <f>EXP(-LN(2)/25)*AV65+(1-EXP(-LN(2)/25))/(LN(2)/25)*Calculateur!AQ66*Calculateur!AS66*VLOOKUP('Données projet'!$B$10,Paramètres!$A$1:$I$89,3,0)*0.475*44/12</f>
        <v>23.14357124014634</v>
      </c>
      <c r="AW66" s="21">
        <f>EXP(-LN(2)/2)*AW65+(1-EXP(-LN(2)/2))/(LN(2)/2)*AQ66*AT66*VLOOKUP('Données projet'!$B$10,Paramètres!$A$1:$I$89,3,0)*0.475*44/12</f>
        <v>9.1763695664583887E-6</v>
      </c>
      <c r="AX66" s="21">
        <f t="shared" si="6"/>
        <v>127.21055574555255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3.4</v>
      </c>
      <c r="BD66" s="12">
        <f>IF('Données projet'!$A$88&gt;35,BD65+BC66-BL65,IF(A66&lt;'Données projet'!$A$88,$BA$205^A66,IF(A66='Données projet'!$A$88,'Données projet'!$B$88,BD65+BC66-BL65)))</f>
        <v>195.20000000000002</v>
      </c>
      <c r="BE66" s="13">
        <f>BD66*VLOOKUP('Données projet'!$B$11,Paramètres!$A$1:$I$89,3,0)*VLOOKUP('Données projet'!$B$11,Paramètres!$A$1:$I$89,5,0)</f>
        <v>155.30112000000003</v>
      </c>
      <c r="BF66" s="13">
        <f t="shared" si="37"/>
        <v>39.780838288983972</v>
      </c>
      <c r="BG66" s="20">
        <f t="shared" si="7"/>
        <v>339.76774401998046</v>
      </c>
      <c r="BH66" s="59">
        <f t="shared" si="8"/>
        <v>633.10107735331371</v>
      </c>
      <c r="BI66" s="59">
        <f ca="1">AVERAGE(OFFSET($BH$3,0,0,'Données projet'!$E$11+1,1))-AVERAGE(OFFSET($H$3,0,0,'Données projet'!$E$11+1,1))</f>
        <v>167.80254365106839</v>
      </c>
      <c r="BJ66" s="59">
        <f t="shared" si="38"/>
        <v>167.42302164950172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30.718251901613471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30.718251901613471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17.600000000000001</v>
      </c>
      <c r="BY66" s="12">
        <f>IF('Données projet'!$A$114&gt;35,BY65+BX66-CG65,IF(A66&lt;'Données projet'!$A$114,$BV$205^A66,IF(A66='Données projet'!$A$114,'Données projet'!$B$114,BY65+BX66-CG65)))</f>
        <v>576.80000000000007</v>
      </c>
      <c r="BZ66" s="13">
        <f>BY66*VLOOKUP('Données projet'!$B$12,Paramètres!$A$1:$I$89,3,0)*VLOOKUP('Données projet'!$B$12,Paramètres!$A$1:$I$89,5,0)</f>
        <v>284.93920000000003</v>
      </c>
      <c r="CA66" s="13">
        <f t="shared" si="39"/>
        <v>68.009739185879127</v>
      </c>
      <c r="CB66" s="20">
        <f t="shared" si="10"/>
        <v>614.71940241540619</v>
      </c>
      <c r="CC66" s="59">
        <f t="shared" si="11"/>
        <v>908.05273574873945</v>
      </c>
      <c r="CD66" s="59">
        <f ca="1">AVERAGE(OFFSET($CC$3,0,0,'Données projet'!$E$12+1,1))-AVERAGE(OFFSET($H$3,0,0,'Données projet'!$E$12+1,1))</f>
        <v>322.06606384496587</v>
      </c>
      <c r="CE66" s="59">
        <f t="shared" si="40"/>
        <v>267.71713177624713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88.334485431238434</v>
      </c>
      <c r="CL66" s="21">
        <f>EXP(-LN(2)/25)*CL65+(1-EXP(-LN(2)/25))/(LN(2)/25)*Calculateur!CG66*Calculateur!CI66*VLOOKUP('Données projet'!$B$12,Paramètres!$A$1:$I$89,3,0)*0.475*44/12</f>
        <v>8.0525433122817311</v>
      </c>
      <c r="CM66" s="21">
        <f>EXP(-LN(2)/2)*CM65+(1-EXP(-LN(2)/2))/(LN(2)/2)*CG66*CJ66*VLOOKUP('Données projet'!$B$12,Paramètres!$A$1:$I$89,3,0)*0.475*44/12</f>
        <v>4.2672939680334162E-5</v>
      </c>
      <c r="CN66" s="22">
        <f t="shared" si="12"/>
        <v>96.387071416459847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401</v>
      </c>
      <c r="CU66" s="17">
        <f>CT66*VLOOKUP('Données projet'!$B$13,Paramètres!$A$1:$I$89,3,0)*VLOOKUP('Données projet'!$B$13,Paramètres!$A$1:$I$89,5,0)</f>
        <v>250.22399999999999</v>
      </c>
      <c r="CV66" s="13">
        <f t="shared" si="41"/>
        <v>60.633904580527918</v>
      </c>
      <c r="CW66" s="20">
        <f t="shared" si="13"/>
        <v>541.41085047775289</v>
      </c>
      <c r="CX66" s="59">
        <f t="shared" si="14"/>
        <v>834.74418381108626</v>
      </c>
      <c r="CY66" s="59">
        <f ca="1">AVERAGE(OFFSET($CX$3,0,0,'Données projet'!$E$13+1,1))-AVERAGE(OFFSET($H$3,0,0,'Données projet'!$E$13+1,1))</f>
        <v>269.77739619445515</v>
      </c>
      <c r="CZ66" s="59">
        <f t="shared" si="42"/>
        <v>347.56964743629885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72.161149689700466</v>
      </c>
      <c r="DG66" s="21">
        <f>EXP(-LN(2)/25)*DG65+(1-EXP(-LN(2)/25))/(LN(2)/25)*Calculateur!DB66*Calculateur!DD66*VLOOKUP('Données projet'!$B$13,Paramètres!$A$1:$I$89,3,0)*0.475*44/12</f>
        <v>36.745953242135677</v>
      </c>
      <c r="DH66" s="21">
        <f>EXP(-LN(2)/2)*DH65+(1-EXP(-LN(2)/2))/(LN(2)/2)*DB66*DE66*VLOOKUP('Données projet'!$B$13,Paramètres!$A$1:$I$89,3,0)*0.475*44/12</f>
        <v>2.6799564985870888E-7</v>
      </c>
      <c r="DI66" s="22">
        <f t="shared" si="15"/>
        <v>108.90710319983178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17.600000000000001</v>
      </c>
      <c r="DO66" s="12">
        <f>IF('Données projet'!$A$166&gt;35,DO65+DN66-DW65,IF(A66&lt;'Données projet'!$A$166,$DL$205^A66,IF(A66='Données projet'!$A$166,'Données projet'!$B$166,DO65+DN66-DW65)))</f>
        <v>576.80000000000007</v>
      </c>
      <c r="DP66" s="17">
        <f>DO66*VLOOKUP('Données projet'!$B$14,Paramètres!$A$1:$I$89,3,0)*VLOOKUP('Données projet'!$B$14,Paramètres!$A$1:$I$89,5,0)</f>
        <v>277.44080000000002</v>
      </c>
      <c r="DQ66" s="13">
        <f t="shared" si="43"/>
        <v>66.42588767473832</v>
      </c>
      <c r="DR66" s="20">
        <f t="shared" si="16"/>
        <v>598.90114770016919</v>
      </c>
      <c r="DS66" s="59">
        <f t="shared" si="17"/>
        <v>892.23448103350256</v>
      </c>
      <c r="DT66" s="59">
        <f ca="1">AVERAGE(OFFSET($DS$3,0,0,'Données projet'!$E$14+1,1))-AVERAGE(OFFSET($H$3,0,0,'Données projet'!$E$14+1,1))</f>
        <v>312.64506496298173</v>
      </c>
      <c r="DU66" s="59">
        <f t="shared" si="44"/>
        <v>259.97532509897508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86.009893709363766</v>
      </c>
      <c r="EB66" s="21">
        <f>EXP(-LN(2)/25)*EB65+(1-EXP(-LN(2)/25))/(LN(2)/25)*Calculateur!DW66*Calculateur!DY66*VLOOKUP('Données projet'!$B$14,Paramètres!$A$1:$I$89,3,0)*0.475*44/12</f>
        <v>7.8406342777480038</v>
      </c>
      <c r="EC66" s="21">
        <f>EXP(-LN(2)/2)*EC65+(1-EXP(-LN(2)/2))/(LN(2)/2)*DW66*DZ66*VLOOKUP('Données projet'!$B$14,Paramètres!$A$1:$I$89,3,0)*0.475*44/12</f>
        <v>4.1549967583483128E-5</v>
      </c>
      <c r="ED66" s="22">
        <f t="shared" si="18"/>
        <v>93.850569537079352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7.2</v>
      </c>
      <c r="EJ66" s="12">
        <f>IF('Données projet'!$A$192&gt;35,EJ65+EI66-ER65,IF(A66&lt;'Données projet'!$A$192,$EG$205^A66,IF(A66='Données projet'!$A$192,'Données projet'!$B$192,EJ65+EI66-ER65)))</f>
        <v>214.59999999999994</v>
      </c>
      <c r="EK66" s="17">
        <f>EJ66*VLOOKUP('Données projet'!$B$15,Paramètres!$A$1:$I$89,3,0)*VLOOKUP('Données projet'!$B$15,Paramètres!$A$1:$I$89,5,0)</f>
        <v>194.17007999999996</v>
      </c>
      <c r="EL66" s="13">
        <f t="shared" si="45"/>
        <v>48.460730182351035</v>
      </c>
      <c r="EM66" s="20">
        <f t="shared" si="19"/>
        <v>422.5819944009279</v>
      </c>
      <c r="EN66" s="59">
        <f t="shared" si="20"/>
        <v>715.91532773426115</v>
      </c>
      <c r="EO66" s="59">
        <f ca="1">AVERAGE(OFFSET($EN$3,0,0,'Données projet'!$E$15+1,1))-AVERAGE(OFFSET($H$3,0,0,'Données projet'!$E$15+1,1))</f>
        <v>269.64423257646359</v>
      </c>
      <c r="EP66" s="59">
        <f t="shared" si="46"/>
        <v>161.0819079811821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40.440527465027657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40.440527465027657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9.1999999999999993</v>
      </c>
      <c r="FE66" s="12">
        <f>IF('Données projet'!$A$218&gt;35,FE65+FD66-FM65,IF(A66&lt;'Données projet'!$A$218,$FB$205^A66,IF(A66='Données projet'!$A$218,'Données projet'!$B$218,FE65+FD66-FM65)))</f>
        <v>300.60000000000019</v>
      </c>
      <c r="FF66" s="17">
        <f>FE66*VLOOKUP('Données projet'!$B$16,Paramètres!$A$1:$I$89,3,0)*VLOOKUP('Données projet'!$B$16,Paramètres!$A$1:$I$89,5,0)</f>
        <v>234.46800000000016</v>
      </c>
      <c r="FG66" s="13">
        <f t="shared" si="47"/>
        <v>57.247683153605443</v>
      </c>
      <c r="FH66" s="20">
        <f t="shared" si="22"/>
        <v>508.07148149252976</v>
      </c>
      <c r="FI66" s="59">
        <f t="shared" si="23"/>
        <v>801.40481482586301</v>
      </c>
      <c r="FJ66" s="59">
        <f ca="1">AVERAGE(OFFSET($FI$3,0,0,'Données projet'!$E$16+1,1))-AVERAGE(OFFSET($H$3,0,0,'Données projet'!$E$16+1,1))</f>
        <v>283.77864672734273</v>
      </c>
      <c r="FK66" s="59">
        <f t="shared" si="48"/>
        <v>270.94620935643866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57.079489035070957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57.079489035070957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5.2</v>
      </c>
      <c r="FZ66" s="12">
        <f>IF('Données projet'!$A$244&gt;35,FZ65+FY66-GH65,IF(A66&lt;'Données projet'!$A$244,$FW$205^A66,IF(A66='Données projet'!$A$244,'Données projet'!$B$244,FZ65+FY66-GH65)))</f>
        <v>295.59999999999985</v>
      </c>
      <c r="GA66" s="17">
        <f>FZ66*VLOOKUP('Données projet'!$B$17,Paramètres!$A$1:$I$89,3,0)*VLOOKUP('Données projet'!$B$17,Paramètres!$A$1:$I$89,5,0)</f>
        <v>285.90431999999987</v>
      </c>
      <c r="GB66" s="13">
        <f t="shared" si="49"/>
        <v>68.21324199961451</v>
      </c>
      <c r="GC66" s="20">
        <f t="shared" si="25"/>
        <v>616.75475381599506</v>
      </c>
      <c r="GD66" s="59">
        <f t="shared" si="26"/>
        <v>910.08808714932843</v>
      </c>
      <c r="GE66" s="59">
        <f ca="1">AVERAGE(OFFSET($GD$3,0,0,'Données projet'!$E$17+1,1))-AVERAGE(OFFSET($H$3,0,0,'Données projet'!$E$17+1,1))</f>
        <v>347.54503437087288</v>
      </c>
      <c r="GF66" s="59">
        <f t="shared" si="50"/>
        <v>340.05673244455954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46.268322899201969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46.268322899201969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18.600000000000001</v>
      </c>
      <c r="N67" s="13">
        <f>IF('Données projet'!$A$36&gt;35,N66+M67-V66,IF(A67&lt;'Données projet'!$A$36,$K$205^A67,IF(A67='Données projet'!$A$36,'Données projet'!$B$36,N66+M67-V66)))</f>
        <v>655.4</v>
      </c>
      <c r="O67" s="13">
        <f>N67*VLOOKUP('Données projet'!$B$9,Paramètres!$A$1:$I$89,3,0)*VLOOKUP('Données projet'!$B$9,Paramètres!$A$1:$I$89,5,0)</f>
        <v>306.72719999999998</v>
      </c>
      <c r="P67" s="13">
        <f t="shared" si="33"/>
        <v>72.584917646145584</v>
      </c>
      <c r="Q67" s="20">
        <f t="shared" ref="Q67:Q98" si="54">(O67+P67)*0.475*44/12</f>
        <v>660.63527156703685</v>
      </c>
      <c r="R67" s="59">
        <f t="shared" ref="R67:R130" si="55">Q67+(I67+J67)*44/12</f>
        <v>953.96860490037011</v>
      </c>
      <c r="S67" s="59">
        <f ca="1">AVERAGE(OFFSET($R$3,0,0,'Données projet'!$E$9+1,1))-AVERAGE(OFFSET($H$3,0,0,'Données projet'!$E$9+1,1))</f>
        <v>342.49944586217674</v>
      </c>
      <c r="T67" s="59">
        <f t="shared" si="34"/>
        <v>282.29766600872563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90.417462961903539</v>
      </c>
      <c r="AA67" s="21">
        <f>EXP(-LN(2)/25)*AA66+(1-EXP(-LN(2)/25))/(LN(2)/25)*Calculateur!V67*Calculateur!X67*VLOOKUP('Données projet'!$B$9,Paramètres!$A$1:$I$89,3,0)*0.475*44/12</f>
        <v>15.614667775411556</v>
      </c>
      <c r="AB67" s="21">
        <f>EXP(-LN(2)/2)*AB66+(1-EXP(-LN(2)/2))/(LN(2)/2)*V67*Y67*VLOOKUP('Données projet'!$B$9,Paramètres!$A$1:$I$89,3,0)*0.475*44/12</f>
        <v>6.3167180447862944E-7</v>
      </c>
      <c r="AC67" s="22">
        <f t="shared" si="3"/>
        <v>106.03213136898691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</v>
      </c>
      <c r="AI67" s="13">
        <f>IF('Données projet'!$A$62&gt;35,AI66+AH67-AQ66,IF(A67&lt;'Données projet'!$A$62,$AF$205^A67,IF(A67='Données projet'!$A$62,'Données projet'!$B$62,AI66+AH67-AQ66)))</f>
        <v>758.99999999999966</v>
      </c>
      <c r="AJ67" s="13">
        <f>AI67*VLOOKUP('Données projet'!$B$10,Paramètres!$A$1:$I$89,3,0)*VLOOKUP('Données projet'!$B$10,Paramètres!$A$1:$I$89,5,0)</f>
        <v>424.28099999999978</v>
      </c>
      <c r="AK67" s="13">
        <f t="shared" si="35"/>
        <v>96.682255052757768</v>
      </c>
      <c r="AL67" s="20">
        <f t="shared" si="4"/>
        <v>907.34433588355262</v>
      </c>
      <c r="AM67" s="59">
        <f t="shared" si="5"/>
        <v>1200.677669216886</v>
      </c>
      <c r="AN67" s="59">
        <f ca="1">AVERAGE(OFFSET($AM$3,0,0,'Données projet'!$E$10+1,1))-AVERAGE(OFFSET($H$3,0,0,'Données projet'!$E$10+1,1))</f>
        <v>490.96084572840579</v>
      </c>
      <c r="AO67" s="59">
        <f t="shared" si="36"/>
        <v>597.91658789908263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102.02628541742159</v>
      </c>
      <c r="AV67" s="21">
        <f>EXP(-LN(2)/25)*AV66+(1-EXP(-LN(2)/25))/(LN(2)/25)*Calculateur!AQ67*Calculateur!AS67*VLOOKUP('Données projet'!$B$10,Paramètres!$A$1:$I$89,3,0)*0.475*44/12</f>
        <v>22.510709067517023</v>
      </c>
      <c r="AW67" s="21">
        <f>EXP(-LN(2)/2)*AW66+(1-EXP(-LN(2)/2))/(LN(2)/2)*AQ67*AT67*VLOOKUP('Données projet'!$B$10,Paramètres!$A$1:$I$89,3,0)*0.475*44/12</f>
        <v>6.488673147116586E-6</v>
      </c>
      <c r="AX67" s="21">
        <f t="shared" si="6"/>
        <v>124.53700097361177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3.4</v>
      </c>
      <c r="BD67" s="12">
        <f>IF('Données projet'!$A$88&gt;35,BD66+BC67-BL66,IF(A67&lt;'Données projet'!$A$88,$BA$205^A67,IF(A67='Données projet'!$A$88,'Données projet'!$B$88,BD66+BC67-BL66)))</f>
        <v>198.60000000000002</v>
      </c>
      <c r="BE67" s="13">
        <f>BD67*VLOOKUP('Données projet'!$B$11,Paramètres!$A$1:$I$89,3,0)*VLOOKUP('Données projet'!$B$11,Paramètres!$A$1:$I$89,5,0)</f>
        <v>158.00616000000002</v>
      </c>
      <c r="BF67" s="13">
        <f t="shared" si="37"/>
        <v>40.392471545814118</v>
      </c>
      <c r="BG67" s="20">
        <f t="shared" si="7"/>
        <v>345.54428327562624</v>
      </c>
      <c r="BH67" s="59">
        <f t="shared" si="8"/>
        <v>638.87761660895956</v>
      </c>
      <c r="BI67" s="59">
        <f ca="1">AVERAGE(OFFSET($BH$3,0,0,'Données projet'!$E$11+1,1))-AVERAGE(OFFSET($H$3,0,0,'Données projet'!$E$11+1,1))</f>
        <v>167.80254365106839</v>
      </c>
      <c r="BJ67" s="59">
        <f t="shared" si="38"/>
        <v>167.42302164950172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30.115885718106437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30.115885718106437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17.600000000000001</v>
      </c>
      <c r="BY67" s="12">
        <f>IF('Données projet'!$A$114&gt;35,BY66+BX67-CG66,IF(A67&lt;'Données projet'!$A$114,$BV$205^A67,IF(A67='Données projet'!$A$114,'Données projet'!$B$114,BY66+BX67-CG66)))</f>
        <v>594.40000000000009</v>
      </c>
      <c r="BZ67" s="13">
        <f>BY67*VLOOKUP('Données projet'!$B$12,Paramètres!$A$1:$I$89,3,0)*VLOOKUP('Données projet'!$B$12,Paramètres!$A$1:$I$89,5,0)</f>
        <v>293.63360000000006</v>
      </c>
      <c r="CA67" s="13">
        <f t="shared" si="39"/>
        <v>69.840159942070514</v>
      </c>
      <c r="CB67" s="20">
        <f t="shared" si="10"/>
        <v>633.05013189910608</v>
      </c>
      <c r="CC67" s="59">
        <f t="shared" si="11"/>
        <v>926.38346523243945</v>
      </c>
      <c r="CD67" s="59">
        <f ca="1">AVERAGE(OFFSET($CC$3,0,0,'Données projet'!$E$12+1,1))-AVERAGE(OFFSET($H$3,0,0,'Données projet'!$E$12+1,1))</f>
        <v>322.06606384496587</v>
      </c>
      <c r="CE67" s="59">
        <f t="shared" si="40"/>
        <v>267.71713177624713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86.602300050647884</v>
      </c>
      <c r="CL67" s="21">
        <f>EXP(-LN(2)/25)*CL66+(1-EXP(-LN(2)/25))/(LN(2)/25)*Calculateur!CG67*Calculateur!CI67*VLOOKUP('Données projet'!$B$12,Paramètres!$A$1:$I$89,3,0)*0.475*44/12</f>
        <v>7.8323460919425392</v>
      </c>
      <c r="CM67" s="21">
        <f>EXP(-LN(2)/2)*CM66+(1-EXP(-LN(2)/2))/(LN(2)/2)*CG67*CJ67*VLOOKUP('Données projet'!$B$12,Paramètres!$A$1:$I$89,3,0)*0.475*44/12</f>
        <v>3.0174325021128791E-5</v>
      </c>
      <c r="CN67" s="22">
        <f t="shared" si="12"/>
        <v>94.434676316915443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401</v>
      </c>
      <c r="CU67" s="17">
        <f>CT67*VLOOKUP('Données projet'!$B$13,Paramètres!$A$1:$I$89,3,0)*VLOOKUP('Données projet'!$B$13,Paramètres!$A$1:$I$89,5,0)</f>
        <v>250.22399999999999</v>
      </c>
      <c r="CV67" s="13">
        <f t="shared" si="41"/>
        <v>60.633904580527918</v>
      </c>
      <c r="CW67" s="20">
        <f t="shared" si="13"/>
        <v>541.41085047775289</v>
      </c>
      <c r="CX67" s="59">
        <f t="shared" si="14"/>
        <v>834.74418381108626</v>
      </c>
      <c r="CY67" s="59">
        <f ca="1">AVERAGE(OFFSET($CX$3,0,0,'Données projet'!$E$13+1,1))-AVERAGE(OFFSET($H$3,0,0,'Données projet'!$E$13+1,1))</f>
        <v>269.77739619445515</v>
      </c>
      <c r="CZ67" s="59">
        <f t="shared" si="42"/>
        <v>347.56964743629885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70.746113558240737</v>
      </c>
      <c r="DG67" s="21">
        <f>EXP(-LN(2)/25)*DG66+(1-EXP(-LN(2)/25))/(LN(2)/25)*Calculateur!DB67*Calculateur!DD67*VLOOKUP('Données projet'!$B$13,Paramètres!$A$1:$I$89,3,0)*0.475*44/12</f>
        <v>35.741133218343776</v>
      </c>
      <c r="DH67" s="21">
        <f>EXP(-LN(2)/2)*DH66+(1-EXP(-LN(2)/2))/(LN(2)/2)*DB67*DE67*VLOOKUP('Données projet'!$B$13,Paramètres!$A$1:$I$89,3,0)*0.475*44/12</f>
        <v>1.8950154134358867E-7</v>
      </c>
      <c r="DI67" s="22">
        <f t="shared" si="15"/>
        <v>106.48724696608605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17.600000000000001</v>
      </c>
      <c r="DO67" s="12">
        <f>IF('Données projet'!$A$166&gt;35,DO66+DN67-DW66,IF(A67&lt;'Données projet'!$A$166,$DL$205^A67,IF(A67='Données projet'!$A$166,'Données projet'!$B$166,DO66+DN67-DW66)))</f>
        <v>594.40000000000009</v>
      </c>
      <c r="DP67" s="17">
        <f>DO67*VLOOKUP('Données projet'!$B$14,Paramètres!$A$1:$I$89,3,0)*VLOOKUP('Données projet'!$B$14,Paramètres!$A$1:$I$89,5,0)</f>
        <v>285.90640000000002</v>
      </c>
      <c r="DQ67" s="13">
        <f t="shared" si="43"/>
        <v>68.213680496821723</v>
      </c>
      <c r="DR67" s="20">
        <f t="shared" si="16"/>
        <v>616.75914019863114</v>
      </c>
      <c r="DS67" s="59">
        <f t="shared" si="17"/>
        <v>910.09247353196452</v>
      </c>
      <c r="DT67" s="59">
        <f ca="1">AVERAGE(OFFSET($DS$3,0,0,'Données projet'!$E$14+1,1))-AVERAGE(OFFSET($H$3,0,0,'Données projet'!$E$14+1,1))</f>
        <v>312.64506496298173</v>
      </c>
      <c r="DU67" s="59">
        <f t="shared" si="44"/>
        <v>259.97532509897508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84.323292154578226</v>
      </c>
      <c r="EB67" s="21">
        <f>EXP(-LN(2)/25)*EB66+(1-EXP(-LN(2)/25))/(LN(2)/25)*Calculateur!DW67*Calculateur!DY67*VLOOKUP('Données projet'!$B$14,Paramètres!$A$1:$I$89,3,0)*0.475*44/12</f>
        <v>7.6262317211019477</v>
      </c>
      <c r="EC67" s="21">
        <f>EXP(-LN(2)/2)*EC66+(1-EXP(-LN(2)/2))/(LN(2)/2)*DW67*DZ67*VLOOKUP('Données projet'!$B$14,Paramètres!$A$1:$I$89,3,0)*0.475*44/12</f>
        <v>2.9380263836362148E-5</v>
      </c>
      <c r="ED67" s="22">
        <f t="shared" si="18"/>
        <v>91.949553255944011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7.2</v>
      </c>
      <c r="EJ67" s="12">
        <f>IF('Données projet'!$A$192&gt;35,EJ66+EI67-ER66,IF(A67&lt;'Données projet'!$A$192,$EG$205^A67,IF(A67='Données projet'!$A$192,'Données projet'!$B$192,EJ66+EI67-ER66)))</f>
        <v>221.79999999999993</v>
      </c>
      <c r="EK67" s="17">
        <f>EJ67*VLOOKUP('Données projet'!$B$15,Paramètres!$A$1:$I$89,3,0)*VLOOKUP('Données projet'!$B$15,Paramètres!$A$1:$I$89,5,0)</f>
        <v>200.68463999999992</v>
      </c>
      <c r="EL67" s="13">
        <f t="shared" si="45"/>
        <v>49.894600936700193</v>
      </c>
      <c r="EM67" s="20">
        <f t="shared" si="19"/>
        <v>436.42551129808606</v>
      </c>
      <c r="EN67" s="59">
        <f t="shared" si="20"/>
        <v>729.75884463141938</v>
      </c>
      <c r="EO67" s="59">
        <f ca="1">AVERAGE(OFFSET($EN$3,0,0,'Données projet'!$E$15+1,1))-AVERAGE(OFFSET($H$3,0,0,'Données projet'!$E$15+1,1))</f>
        <v>269.64423257646359</v>
      </c>
      <c r="EP67" s="59">
        <f t="shared" si="46"/>
        <v>161.0819079811821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39.647513387724622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39.647513387724622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9.1999999999999993</v>
      </c>
      <c r="FE67" s="12">
        <f>IF('Données projet'!$A$218&gt;35,FE66+FD67-FM66,IF(A67&lt;'Données projet'!$A$218,$FB$205^A67,IF(A67='Données projet'!$A$218,'Données projet'!$B$218,FE66+FD67-FM66)))</f>
        <v>309.80000000000018</v>
      </c>
      <c r="FF67" s="17">
        <f>FE67*VLOOKUP('Données projet'!$B$16,Paramètres!$A$1:$I$89,3,0)*VLOOKUP('Données projet'!$B$16,Paramètres!$A$1:$I$89,5,0)</f>
        <v>241.64400000000015</v>
      </c>
      <c r="FG67" s="13">
        <f t="shared" si="47"/>
        <v>58.793104433546993</v>
      </c>
      <c r="FH67" s="20">
        <f t="shared" si="22"/>
        <v>523.26129022176121</v>
      </c>
      <c r="FI67" s="59">
        <f t="shared" si="23"/>
        <v>816.59462355509459</v>
      </c>
      <c r="FJ67" s="59">
        <f ca="1">AVERAGE(OFFSET($FI$3,0,0,'Données projet'!$E$16+1,1))-AVERAGE(OFFSET($H$3,0,0,'Données projet'!$E$16+1,1))</f>
        <v>283.77864672734273</v>
      </c>
      <c r="FK67" s="59">
        <f t="shared" si="48"/>
        <v>270.94620935643866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55.960195070143826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55.960195070143826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5.2</v>
      </c>
      <c r="FZ67" s="12">
        <f>IF('Données projet'!$A$244&gt;35,FZ66+FY67-GH66,IF(A67&lt;'Données projet'!$A$244,$FW$205^A67,IF(A67='Données projet'!$A$244,'Données projet'!$B$244,FZ66+FY67-GH66)))</f>
        <v>300.79999999999984</v>
      </c>
      <c r="GA67" s="17">
        <f>FZ67*VLOOKUP('Données projet'!$B$17,Paramètres!$A$1:$I$89,3,0)*VLOOKUP('Données projet'!$B$17,Paramètres!$A$1:$I$89,5,0)</f>
        <v>290.93375999999984</v>
      </c>
      <c r="GB67" s="13">
        <f t="shared" si="49"/>
        <v>69.272450197832413</v>
      </c>
      <c r="GC67" s="20">
        <f t="shared" si="25"/>
        <v>627.35914942789123</v>
      </c>
      <c r="GD67" s="59">
        <f t="shared" si="26"/>
        <v>920.69248276122448</v>
      </c>
      <c r="GE67" s="59">
        <f ca="1">AVERAGE(OFFSET($GD$3,0,0,'Données projet'!$E$17+1,1))-AVERAGE(OFFSET($H$3,0,0,'Données projet'!$E$17+1,1))</f>
        <v>347.54503437087288</v>
      </c>
      <c r="GF67" s="59">
        <f t="shared" si="50"/>
        <v>340.05673244455954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45.361029308039008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45.361029308039008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674</v>
      </c>
      <c r="L68" s="12">
        <f>VLOOKUP(A68,'Données projet'!$A$35:$I$55,9,0)</f>
        <v>18.600000000000001</v>
      </c>
      <c r="M68" s="12">
        <f t="array" ref="M68">INDEX(L:L,MIN(IF(ISNUMBER(L68:L264),ROW(L68:L264),"")))</f>
        <v>18.600000000000001</v>
      </c>
      <c r="N68" s="13">
        <f>IF('Données projet'!$A$36&gt;35,N67+M68-V67,IF(A68&lt;'Données projet'!$A$36,$K$205^A68,IF(A68='Données projet'!$A$36,'Données projet'!$B$36,N67+M68-V67)))</f>
        <v>674</v>
      </c>
      <c r="O68" s="13">
        <f>N68*VLOOKUP('Données projet'!$B$9,Paramètres!$A$1:$I$89,3,0)*VLOOKUP('Données projet'!$B$9,Paramètres!$A$1:$I$89,5,0)</f>
        <v>315.43200000000002</v>
      </c>
      <c r="P68" s="13">
        <f t="shared" si="33"/>
        <v>74.402098550585634</v>
      </c>
      <c r="Q68" s="20">
        <f t="shared" si="54"/>
        <v>678.96105497560313</v>
      </c>
      <c r="R68" s="59">
        <f t="shared" si="55"/>
        <v>972.2943883089365</v>
      </c>
      <c r="S68" s="59">
        <f ca="1">AVERAGE(OFFSET($R$3,0,0,'Données projet'!$E$9+1,1))-AVERAGE(OFFSET($H$3,0,0,'Données projet'!$E$9+1,1))</f>
        <v>342.49944586217674</v>
      </c>
      <c r="T68" s="59">
        <f t="shared" si="34"/>
        <v>282.29766600872563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48</v>
      </c>
      <c r="W68" s="16">
        <f>IF(ISNA(VLOOKUP(A68,'Données projet'!$A$35:$I$55,5,0)),0%,VLOOKUP(A68,'Données projet'!$A$35:$I$55,5,0)*VLOOKUP('Données projet'!$B$9,Paramètres!$A$1:$I$89,7,0))</f>
        <v>0.55000000000000004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105.03440082227408</v>
      </c>
      <c r="AA68" s="21">
        <f>EXP(-LN(2)/25)*AA67+(1-EXP(-LN(2)/25))/(LN(2)/25)*Calculateur!V68*Calculateur!X68*VLOOKUP('Données projet'!$B$9,Paramètres!$A$1:$I$89,3,0)*0.475*44/12</f>
        <v>15.187683863953236</v>
      </c>
      <c r="AB68" s="21">
        <f>EXP(-LN(2)/2)*AB67+(1-EXP(-LN(2)/2))/(LN(2)/2)*V68*Y68*VLOOKUP('Données projet'!$B$9,Paramètres!$A$1:$I$89,3,0)*0.475*44/12</f>
        <v>4.4665941643118186E-7</v>
      </c>
      <c r="AC68" s="22">
        <f t="shared" ref="AC68:AC131" si="57">SUM(Z68:AB68)</f>
        <v>120.22208513288673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769</v>
      </c>
      <c r="AG68" s="12">
        <f>VLOOKUP(A68,'Données projet'!$A$61:$I$81,9,0)</f>
        <v>10</v>
      </c>
      <c r="AH68" s="12">
        <f t="array" ref="AH68">INDEX(AG:AG,MIN(IF(ISNUMBER(AG68:AG264),ROW(AG68:AG264),"")))</f>
        <v>10</v>
      </c>
      <c r="AI68" s="13">
        <f>IF('Données projet'!$A$62&gt;35,AI67+AH68-AQ67,IF(A68&lt;'Données projet'!$A$62,$AF$205^A68,IF(A68='Données projet'!$A$62,'Données projet'!$B$62,AI67+AH68-AQ67)))</f>
        <v>768.99999999999966</v>
      </c>
      <c r="AJ68" s="13">
        <f>AI68*VLOOKUP('Données projet'!$B$10,Paramètres!$A$1:$I$89,3,0)*VLOOKUP('Données projet'!$B$10,Paramètres!$A$1:$I$89,5,0)</f>
        <v>429.87099999999981</v>
      </c>
      <c r="AK68" s="13">
        <f t="shared" si="35"/>
        <v>97.806935594587088</v>
      </c>
      <c r="AL68" s="20">
        <f t="shared" ref="AL68:AL131" si="58">(AJ68+AK68)*0.475*44/12</f>
        <v>919.03907116057201</v>
      </c>
      <c r="AM68" s="59">
        <f t="shared" ref="AM68:AM131" si="59">AL68+(AD68+AE68)*44/12</f>
        <v>1212.3724044939054</v>
      </c>
      <c r="AN68" s="59">
        <f ca="1">AVERAGE(OFFSET($AM$3,0,0,'Données projet'!$E$10+1,1))-AVERAGE(OFFSET($H$3,0,0,'Données projet'!$E$10+1,1))</f>
        <v>490.96084572840579</v>
      </c>
      <c r="AO68" s="59">
        <f t="shared" si="36"/>
        <v>597.91658789908263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29</v>
      </c>
      <c r="AR68" s="16">
        <f>IF(ISNA(VLOOKUP(A68,'Données projet'!$A$61:$I$81,5,0)),0%,VLOOKUP(A68,'Données projet'!$A$61:$I$81,5,0)*VLOOKUP('Données projet'!$B$10,Paramètres!$A$1:$I$89,7,0))</f>
        <v>0.55000000000000004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111.85332720319708</v>
      </c>
      <c r="AV68" s="21">
        <f>EXP(-LN(2)/25)*AV67+(1-EXP(-LN(2)/25))/(LN(2)/25)*Calculateur!AQ68*Calculateur!AS68*VLOOKUP('Données projet'!$B$10,Paramètres!$A$1:$I$89,3,0)*0.475*44/12</f>
        <v>21.895152544279028</v>
      </c>
      <c r="AW68" s="21">
        <f>EXP(-LN(2)/2)*AW67+(1-EXP(-LN(2)/2))/(LN(2)/2)*AQ68*AT68*VLOOKUP('Données projet'!$B$10,Paramètres!$A$1:$I$89,3,0)*0.475*44/12</f>
        <v>4.5881847832291943E-6</v>
      </c>
      <c r="AX68" s="21">
        <f t="shared" ref="AX68:AX131" si="60">SUM(AU68:AW68)</f>
        <v>133.74848433566089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202</v>
      </c>
      <c r="BB68" s="12">
        <f>VLOOKUP(A68,'Données projet'!$A$87:$I$107,9,0)</f>
        <v>3.4</v>
      </c>
      <c r="BC68" s="12">
        <f t="array" ref="BC68">INDEX(BB:BB,MIN(IF(ISNUMBER(BB68:BB264),ROW(BB68:BB264),"")))</f>
        <v>3.4</v>
      </c>
      <c r="BD68" s="12">
        <f>IF('Données projet'!$A$88&gt;35,BD67+BC68-BL67,IF(A68&lt;'Données projet'!$A$88,$BA$205^A68,IF(A68='Données projet'!$A$88,'Données projet'!$B$88,BD67+BC68-BL67)))</f>
        <v>202.00000000000003</v>
      </c>
      <c r="BE68" s="13">
        <f>BD68*VLOOKUP('Données projet'!$B$11,Paramètres!$A$1:$I$89,3,0)*VLOOKUP('Données projet'!$B$11,Paramètres!$A$1:$I$89,5,0)</f>
        <v>160.71120000000002</v>
      </c>
      <c r="BF68" s="13">
        <f t="shared" si="37"/>
        <v>41.002887121655327</v>
      </c>
      <c r="BG68" s="20">
        <f t="shared" ref="BG68:BG131" si="61">(BE68+BF68)*0.475*44/12</f>
        <v>351.31870173688304</v>
      </c>
      <c r="BH68" s="59">
        <f t="shared" ref="BH68:BH131" si="62">BG68+(AY68+AZ68)*44/12</f>
        <v>644.65203507021636</v>
      </c>
      <c r="BI68" s="59">
        <f ca="1">AVERAGE(OFFSET($BH$3,0,0,'Données projet'!$E$11+1,1))-AVERAGE(OFFSET($H$3,0,0,'Données projet'!$E$11+1,1))</f>
        <v>167.80254365106839</v>
      </c>
      <c r="BJ68" s="59">
        <f t="shared" si="38"/>
        <v>167.42302164950172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8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33.254463440026079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33.254463440026079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612</v>
      </c>
      <c r="BW68" s="12">
        <f>VLOOKUP(A68,'Données projet'!$A$113:$I$133,9,0)</f>
        <v>17.600000000000001</v>
      </c>
      <c r="BX68" s="12">
        <f t="array" ref="BX68">INDEX(BW:BW,MIN(IF(ISNUMBER(BW68:BW264),ROW(BW68:BW264),"")))</f>
        <v>17.600000000000001</v>
      </c>
      <c r="BY68" s="12">
        <f>IF('Données projet'!$A$114&gt;35,BY67+BX68-CG67,IF(A68&lt;'Données projet'!$A$114,$BV$205^A68,IF(A68='Données projet'!$A$114,'Données projet'!$B$114,BY67+BX68-CG67)))</f>
        <v>612.00000000000011</v>
      </c>
      <c r="BZ68" s="13">
        <f>BY68*VLOOKUP('Données projet'!$B$12,Paramètres!$A$1:$I$89,3,0)*VLOOKUP('Données projet'!$B$12,Paramètres!$A$1:$I$89,5,0)</f>
        <v>302.32800000000009</v>
      </c>
      <c r="CA68" s="13">
        <f t="shared" si="39"/>
        <v>71.664281915377458</v>
      </c>
      <c r="CB68" s="20">
        <f t="shared" ref="CB68:CB131" si="64">(BZ68+CA68)*0.475*44/12</f>
        <v>651.36989100261587</v>
      </c>
      <c r="CC68" s="59">
        <f t="shared" ref="CC68:CC131" si="65">CB68+(BT68+BU68)*44/12</f>
        <v>944.70322433594924</v>
      </c>
      <c r="CD68" s="59">
        <f ca="1">AVERAGE(OFFSET($CC$3,0,0,'Données projet'!$E$12+1,1))-AVERAGE(OFFSET($H$3,0,0,'Données projet'!$E$12+1,1))</f>
        <v>322.06606384496587</v>
      </c>
      <c r="CE68" s="59">
        <f t="shared" si="40"/>
        <v>267.71713177624713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45</v>
      </c>
      <c r="CH68" s="16">
        <f>IF(ISNA(VLOOKUP(A68,'Données projet'!$A$113:$I$133,5,0)),0%,VLOOKUP(A68,'Données projet'!$A$113:$I$133,5,0)*VLOOKUP('Données projet'!$B$12,Paramètres!$A$1:$I$89,7,0))</f>
        <v>0.55000000000000004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101.12332208327349</v>
      </c>
      <c r="CL68" s="21">
        <f>EXP(-LN(2)/25)*CL67+(1-EXP(-LN(2)/25))/(LN(2)/25)*Calculateur!CG68*Calculateur!CI68*VLOOKUP('Données projet'!$B$12,Paramètres!$A$1:$I$89,3,0)*0.475*44/12</f>
        <v>7.6181701761731908</v>
      </c>
      <c r="CM68" s="21">
        <f>EXP(-LN(2)/2)*CM67+(1-EXP(-LN(2)/2))/(LN(2)/2)*CG68*CJ68*VLOOKUP('Données projet'!$B$12,Paramètres!$A$1:$I$89,3,0)*0.475*44/12</f>
        <v>2.1336469840167085E-5</v>
      </c>
      <c r="CN68" s="22">
        <f t="shared" ref="CN68:CN131" si="66">SUM(CK68:CM68)</f>
        <v>108.74151359591653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401</v>
      </c>
      <c r="CU68" s="17">
        <f>CT68*VLOOKUP('Données projet'!$B$13,Paramètres!$A$1:$I$89,3,0)*VLOOKUP('Données projet'!$B$13,Paramètres!$A$1:$I$89,5,0)</f>
        <v>250.22399999999999</v>
      </c>
      <c r="CV68" s="13">
        <f t="shared" si="41"/>
        <v>60.633904580527918</v>
      </c>
      <c r="CW68" s="20">
        <f t="shared" ref="CW68:CW131" si="67">(CU68+CV68)*0.475*44/12</f>
        <v>541.41085047775289</v>
      </c>
      <c r="CX68" s="59">
        <f t="shared" ref="CX68:CX131" si="68">CW68+(CO68+CP68)*44/12</f>
        <v>834.74418381108626</v>
      </c>
      <c r="CY68" s="59">
        <f ca="1">AVERAGE(OFFSET($CX$3,0,0,'Données projet'!$E$13+1,1))-AVERAGE(OFFSET($H$3,0,0,'Données projet'!$E$13+1,1))</f>
        <v>269.77739619445515</v>
      </c>
      <c r="CZ68" s="59">
        <f t="shared" si="42"/>
        <v>347.56964743629885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69.358825422232115</v>
      </c>
      <c r="DG68" s="21">
        <f>EXP(-LN(2)/25)*DG67+(1-EXP(-LN(2)/25))/(LN(2)/25)*Calculateur!DB68*Calculateur!DD68*VLOOKUP('Données projet'!$B$13,Paramètres!$A$1:$I$89,3,0)*0.475*44/12</f>
        <v>34.763790050943655</v>
      </c>
      <c r="DH68" s="21">
        <f>EXP(-LN(2)/2)*DH67+(1-EXP(-LN(2)/2))/(LN(2)/2)*DB68*DE68*VLOOKUP('Données projet'!$B$13,Paramètres!$A$1:$I$89,3,0)*0.475*44/12</f>
        <v>1.3399782492935444E-7</v>
      </c>
      <c r="DI68" s="22">
        <f t="shared" ref="DI68:DI131" si="69">SUM(DF68:DH68)</f>
        <v>104.1226156071736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612</v>
      </c>
      <c r="DM68" s="12">
        <f>VLOOKUP(A68,'Données projet'!$A$165:$I$185,9,0)</f>
        <v>17.600000000000001</v>
      </c>
      <c r="DN68" s="12">
        <f t="array" ref="DN68">INDEX(DM:DM,MIN(IF(ISNUMBER(DM68:DM264),ROW(DM68:DM264),"")))</f>
        <v>17.600000000000001</v>
      </c>
      <c r="DO68" s="12">
        <f>IF('Données projet'!$A$166&gt;35,DO67+DN68-DW67,IF(A68&lt;'Données projet'!$A$166,$DL$205^A68,IF(A68='Données projet'!$A$166,'Données projet'!$B$166,DO67+DN68-DW67)))</f>
        <v>612.00000000000011</v>
      </c>
      <c r="DP68" s="17">
        <f>DO68*VLOOKUP('Données projet'!$B$14,Paramètres!$A$1:$I$89,3,0)*VLOOKUP('Données projet'!$B$14,Paramètres!$A$1:$I$89,5,0)</f>
        <v>294.37200000000007</v>
      </c>
      <c r="DQ68" s="13">
        <f t="shared" si="43"/>
        <v>69.995321225846425</v>
      </c>
      <c r="DR68" s="20">
        <f t="shared" ref="DR68:DR131" si="70">(DP68+DQ68)*0.475*44/12</f>
        <v>634.6064178016826</v>
      </c>
      <c r="DS68" s="59">
        <f t="shared" ref="DS68:DS131" si="71">DR68+(DJ68+DK68)*44/12</f>
        <v>927.93975113501597</v>
      </c>
      <c r="DT68" s="59">
        <f ca="1">AVERAGE(OFFSET($DS$3,0,0,'Données projet'!$E$14+1,1))-AVERAGE(OFFSET($H$3,0,0,'Données projet'!$E$14+1,1))</f>
        <v>312.64506496298173</v>
      </c>
      <c r="DU68" s="59">
        <f t="shared" si="44"/>
        <v>259.97532509897508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45</v>
      </c>
      <c r="DX68" s="16">
        <f>IF(ISNA(VLOOKUP(A68,'Données projet'!$A$165:$I$185,5,0)),0%,VLOOKUP(A68,'Données projet'!$A$165:$I$185,5,0)*VLOOKUP('Données projet'!$B$14,Paramètres!$A$1:$I$89,7,0))</f>
        <v>0.55000000000000004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98.462182028450528</v>
      </c>
      <c r="EB68" s="21">
        <f>EXP(-LN(2)/25)*EB67+(1-EXP(-LN(2)/25))/(LN(2)/25)*Calculateur!DW68*Calculateur!DY68*VLOOKUP('Données projet'!$B$14,Paramètres!$A$1:$I$89,3,0)*0.475*44/12</f>
        <v>7.417692013642319</v>
      </c>
      <c r="EC68" s="21">
        <f>EXP(-LN(2)/2)*EC67+(1-EXP(-LN(2)/2))/(LN(2)/2)*DW68*DZ68*VLOOKUP('Données projet'!$B$14,Paramètres!$A$1:$I$89,3,0)*0.475*44/12</f>
        <v>2.0774983791741564E-5</v>
      </c>
      <c r="ED68" s="22">
        <f t="shared" ref="ED68:ED131" si="72">SUM(EA68:EC68)</f>
        <v>105.87989481707665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229</v>
      </c>
      <c r="EH68" s="12">
        <f>VLOOKUP(A68,'Données projet'!$A$191:$I$211,9,0)</f>
        <v>7.2</v>
      </c>
      <c r="EI68" s="12">
        <f t="array" ref="EI68">INDEX(EH:EH,MIN(IF(ISNUMBER(EH68:EH264),ROW(EH68:EH264),"")))</f>
        <v>7.2</v>
      </c>
      <c r="EJ68" s="12">
        <f>IF('Données projet'!$A$192&gt;35,EJ67+EI68-ER67,IF(A68&lt;'Données projet'!$A$192,$EG$205^A68,IF(A68='Données projet'!$A$192,'Données projet'!$B$192,EJ67+EI68-ER67)))</f>
        <v>228.99999999999991</v>
      </c>
      <c r="EK68" s="17">
        <f>EJ68*VLOOKUP('Données projet'!$B$15,Paramètres!$A$1:$I$89,3,0)*VLOOKUP('Données projet'!$B$15,Paramètres!$A$1:$I$89,5,0)</f>
        <v>207.19919999999991</v>
      </c>
      <c r="EL68" s="13">
        <f t="shared" si="45"/>
        <v>51.3230629736655</v>
      </c>
      <c r="EM68" s="20">
        <f t="shared" ref="EM68:EM131" si="73">(EK68+EL68)*0.475*44/12</f>
        <v>450.25960801246725</v>
      </c>
      <c r="EN68" s="59">
        <f t="shared" ref="EN68:EN131" si="74">EM68+(EE68+EF68)*44/12</f>
        <v>743.59294134580057</v>
      </c>
      <c r="EO68" s="59">
        <f ca="1">AVERAGE(OFFSET($EN$3,0,0,'Données projet'!$E$15+1,1))-AVERAGE(OFFSET($H$3,0,0,'Données projet'!$E$15+1,1))</f>
        <v>269.64423257646359</v>
      </c>
      <c r="EP68" s="59">
        <f t="shared" si="46"/>
        <v>161.0819079811821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21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47.902123115381436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47.902123115381436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319</v>
      </c>
      <c r="FC68" s="12">
        <f>VLOOKUP(A68,'Données projet'!$A$217:$I$237,9,0)</f>
        <v>9.1999999999999993</v>
      </c>
      <c r="FD68" s="12">
        <f t="array" ref="FD68">INDEX(FC:FC,MIN(IF(ISNUMBER(FC68:FC264),ROW(FC68:FC264),"")))</f>
        <v>9.1999999999999993</v>
      </c>
      <c r="FE68" s="12">
        <f>IF('Données projet'!$A$218&gt;35,FE67+FD68-FM67,IF(A68&lt;'Données projet'!$A$218,$FB$205^A68,IF(A68='Données projet'!$A$218,'Données projet'!$B$218,FE67+FD68-FM67)))</f>
        <v>319.00000000000017</v>
      </c>
      <c r="FF68" s="17">
        <f>FE68*VLOOKUP('Données projet'!$B$16,Paramètres!$A$1:$I$89,3,0)*VLOOKUP('Données projet'!$B$16,Paramètres!$A$1:$I$89,5,0)</f>
        <v>248.82000000000014</v>
      </c>
      <c r="FG68" s="13">
        <f t="shared" si="47"/>
        <v>60.333192077890068</v>
      </c>
      <c r="FH68" s="20">
        <f t="shared" ref="FH68:FH131" si="76">(FF68+FG68)*0.475*44/12</f>
        <v>538.44180953565876</v>
      </c>
      <c r="FI68" s="59">
        <f t="shared" ref="FI68:FI131" si="77">FH68+(EZ68+FA68)*44/12</f>
        <v>831.77514286899213</v>
      </c>
      <c r="FJ68" s="59">
        <f ca="1">AVERAGE(OFFSET($FI$3,0,0,'Données projet'!$E$16+1,1))-AVERAGE(OFFSET($H$3,0,0,'Données projet'!$E$16+1,1))</f>
        <v>283.77864672734273</v>
      </c>
      <c r="FK68" s="59">
        <f t="shared" si="48"/>
        <v>270.94620935643866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37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68.581516093095019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68.581516093095019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306</v>
      </c>
      <c r="FX68" s="12">
        <f>VLOOKUP(A68,'Données projet'!$A$243:$I$263,9,0)</f>
        <v>5.2</v>
      </c>
      <c r="FY68" s="12">
        <f t="array" ref="FY68">INDEX(FX:FX,MIN(IF(ISNUMBER(FX68:FX264),ROW(FX68:FX264),"")))</f>
        <v>5.2</v>
      </c>
      <c r="FZ68" s="12">
        <f>IF('Données projet'!$A$244&gt;35,FZ67+FY68-GH67,IF(A68&lt;'Données projet'!$A$244,$FW$205^A68,IF(A68='Données projet'!$A$244,'Données projet'!$B$244,FZ67+FY68-GH67)))</f>
        <v>305.99999999999983</v>
      </c>
      <c r="GA68" s="17">
        <f>FZ68*VLOOKUP('Données projet'!$B$17,Paramètres!$A$1:$I$89,3,0)*VLOOKUP('Données projet'!$B$17,Paramètres!$A$1:$I$89,5,0)</f>
        <v>295.96319999999986</v>
      </c>
      <c r="GB68" s="13">
        <f t="shared" si="49"/>
        <v>70.329529052104192</v>
      </c>
      <c r="GC68" s="20">
        <f t="shared" ref="GC68:GC131" si="79">(GA68+GB68)*0.475*44/12</f>
        <v>637.95983643241459</v>
      </c>
      <c r="GD68" s="59">
        <f t="shared" ref="GD68:GD131" si="80">GC68+(FU68+FV68)*44/12</f>
        <v>931.29316976574796</v>
      </c>
      <c r="GE68" s="59">
        <f ca="1">AVERAGE(OFFSET($GD$3,0,0,'Données projet'!$E$17+1,1))-AVERAGE(OFFSET($H$3,0,0,'Données projet'!$E$17+1,1))</f>
        <v>347.54503437087288</v>
      </c>
      <c r="GF68" s="59">
        <f t="shared" si="50"/>
        <v>340.05673244455954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13</v>
      </c>
      <c r="GI68" s="16">
        <f>IF(ISNA(VLOOKUP(A68,'Données projet'!$A$243:$I$263,5,0)),0%,VLOOKUP(A68,'Données projet'!$A$243:$I$263,5,0)*VLOOKUP('Données projet'!$B$17,Paramètres!$A$1:$I$89,7,0))</f>
        <v>0.43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50.448416407365372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50.448416407365372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17.2</v>
      </c>
      <c r="N69" s="13">
        <f>IF('Données projet'!$A$36&gt;35,N68+M69-V68,IF(A69&lt;'Données projet'!$A$36,$K$205^A69,IF(A69='Données projet'!$A$36,'Données projet'!$B$36,N68+M69-V68)))</f>
        <v>643.20000000000005</v>
      </c>
      <c r="O69" s="13">
        <f>N69*VLOOKUP('Données projet'!$B$9,Paramètres!$A$1:$I$89,3,0)*VLOOKUP('Données projet'!$B$9,Paramètres!$A$1:$I$89,5,0)</f>
        <v>301.01760000000002</v>
      </c>
      <c r="P69" s="13">
        <f t="shared" ref="P69:P132" si="87">EXP(-1.0587+0.8836*LN(O69)+0.284)</f>
        <v>71.389749461171519</v>
      </c>
      <c r="Q69" s="20">
        <f t="shared" si="54"/>
        <v>648.60946697820702</v>
      </c>
      <c r="R69" s="59">
        <f t="shared" si="55"/>
        <v>941.9428003115404</v>
      </c>
      <c r="S69" s="59">
        <f ca="1">AVERAGE(OFFSET($R$3,0,0,'Données projet'!$E$9+1,1))-AVERAGE(OFFSET($H$3,0,0,'Données projet'!$E$9+1,1))</f>
        <v>342.49944586217674</v>
      </c>
      <c r="T69" s="59">
        <f t="shared" ref="T69:T132" si="88">$T$3</f>
        <v>282.29766600872563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102.97474028680793</v>
      </c>
      <c r="AA69" s="21">
        <f>EXP(-LN(2)/25)*AA68+(1-EXP(-LN(2)/25))/(LN(2)/25)*Calculateur!V69*Calculateur!X69*VLOOKUP('Données projet'!$B$9,Paramètres!$A$1:$I$89,3,0)*0.475*44/12</f>
        <v>14.772375850007853</v>
      </c>
      <c r="AB69" s="21">
        <f>EXP(-LN(2)/2)*AB68+(1-EXP(-LN(2)/2))/(LN(2)/2)*V69*Y69*VLOOKUP('Données projet'!$B$9,Paramètres!$A$1:$I$89,3,0)*0.475*44/12</f>
        <v>3.1583590223931472E-7</v>
      </c>
      <c r="AC69" s="22">
        <f t="shared" si="57"/>
        <v>117.74711645265168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739.99999999999966</v>
      </c>
      <c r="AJ69" s="13">
        <f>AI69*VLOOKUP('Données projet'!$B$10,Paramètres!$A$1:$I$89,3,0)*VLOOKUP('Données projet'!$B$10,Paramètres!$A$1:$I$89,5,0)</f>
        <v>413.65999999999985</v>
      </c>
      <c r="AK69" s="13">
        <f t="shared" ref="AK69:AK132" si="89">EXP(-1.0587+0.8836*LN(AJ69)+0.284)</f>
        <v>94.540585122244352</v>
      </c>
      <c r="AL69" s="20">
        <f t="shared" si="58"/>
        <v>885.11601908790863</v>
      </c>
      <c r="AM69" s="59">
        <f t="shared" si="59"/>
        <v>1178.4493524212419</v>
      </c>
      <c r="AN69" s="59">
        <f ca="1">AVERAGE(OFFSET($AM$3,0,0,'Données projet'!$E$10+1,1))-AVERAGE(OFFSET($H$3,0,0,'Données projet'!$E$10+1,1))</f>
        <v>490.96084572840579</v>
      </c>
      <c r="AO69" s="59">
        <f t="shared" ref="AO69:AO132" si="90">$AO$3</f>
        <v>597.91658789908263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109.65995168053544</v>
      </c>
      <c r="AV69" s="21">
        <f>EXP(-LN(2)/25)*AV68+(1-EXP(-LN(2)/25))/(LN(2)/25)*Calculateur!AQ69*Calculateur!AS69*VLOOKUP('Données projet'!$B$10,Paramètres!$A$1:$I$89,3,0)*0.475*44/12</f>
        <v>21.296428446539689</v>
      </c>
      <c r="AW69" s="21">
        <f>EXP(-LN(2)/2)*AW68+(1-EXP(-LN(2)/2))/(LN(2)/2)*AQ69*AT69*VLOOKUP('Données projet'!$B$10,Paramètres!$A$1:$I$89,3,0)*0.475*44/12</f>
        <v>3.244336573558293E-6</v>
      </c>
      <c r="AX69" s="21">
        <f t="shared" si="60"/>
        <v>130.9563833714117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</v>
      </c>
      <c r="BD69" s="12">
        <f>IF('Données projet'!$A$88&gt;35,BD68+BC69-BL68,IF(A69&lt;'Données projet'!$A$88,$BA$205^A69,IF(A69='Données projet'!$A$88,'Données projet'!$B$88,BD68+BC69-BL68)))</f>
        <v>197.00000000000003</v>
      </c>
      <c r="BE69" s="13">
        <f>BD69*VLOOKUP('Données projet'!$B$11,Paramètres!$A$1:$I$89,3,0)*VLOOKUP('Données projet'!$B$11,Paramètres!$A$1:$I$89,5,0)</f>
        <v>156.73320000000004</v>
      </c>
      <c r="BF69" s="13">
        <f t="shared" ref="BF69:BF132" si="91">EXP(-1.0587+0.8836*LN(BE69)+0.284)</f>
        <v>40.104797241533682</v>
      </c>
      <c r="BG69" s="20">
        <f t="shared" si="61"/>
        <v>342.82617852900449</v>
      </c>
      <c r="BH69" s="59">
        <f t="shared" si="62"/>
        <v>636.15951186233781</v>
      </c>
      <c r="BI69" s="59">
        <f ca="1">AVERAGE(OFFSET($BH$3,0,0,'Données projet'!$E$11+1,1))-AVERAGE(OFFSET($H$3,0,0,'Données projet'!$E$11+1,1))</f>
        <v>167.80254365106839</v>
      </c>
      <c r="BJ69" s="59">
        <f t="shared" ref="BJ69:BJ132" si="92">$BJ$3</f>
        <v>167.42302164950172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32.602363695187066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32.602363695187066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16.399999999999999</v>
      </c>
      <c r="BY69" s="12">
        <f>IF('Données projet'!$A$114&gt;35,BY68+BX69-CG68,IF(A69&lt;'Données projet'!$A$114,$BV$205^A69,IF(A69='Données projet'!$A$114,'Données projet'!$B$114,BY68+BX69-CG68)))</f>
        <v>583.40000000000009</v>
      </c>
      <c r="BZ69" s="13">
        <f>BY69*VLOOKUP('Données projet'!$B$12,Paramètres!$A$1:$I$89,3,0)*VLOOKUP('Données projet'!$B$12,Paramètres!$A$1:$I$89,5,0)</f>
        <v>288.19960000000003</v>
      </c>
      <c r="CA69" s="13">
        <f t="shared" ref="CA69:CA132" si="93">EXP(-1.0587+0.8836*LN(BZ69)+0.284)</f>
        <v>68.696898457282572</v>
      </c>
      <c r="CB69" s="20">
        <f t="shared" si="64"/>
        <v>621.59473481310067</v>
      </c>
      <c r="CC69" s="59">
        <f t="shared" si="65"/>
        <v>914.92806814643404</v>
      </c>
      <c r="CD69" s="59">
        <f ca="1">AVERAGE(OFFSET($CC$3,0,0,'Données projet'!$E$12+1,1))-AVERAGE(OFFSET($H$3,0,0,'Données projet'!$E$12+1,1))</f>
        <v>322.06606384496587</v>
      </c>
      <c r="CE69" s="59">
        <f t="shared" ref="CE69:CE132" si="94">$CE$3</f>
        <v>267.71713177624713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99.140355416356655</v>
      </c>
      <c r="CL69" s="21">
        <f>EXP(-LN(2)/25)*CL68+(1-EXP(-LN(2)/25))/(LN(2)/25)*Calculateur!CG69*Calculateur!CI69*VLOOKUP('Données projet'!$B$12,Paramètres!$A$1:$I$89,3,0)*0.475*44/12</f>
        <v>7.4098509120835772</v>
      </c>
      <c r="CM69" s="21">
        <f>EXP(-LN(2)/2)*CM68+(1-EXP(-LN(2)/2))/(LN(2)/2)*CG69*CJ69*VLOOKUP('Données projet'!$B$12,Paramètres!$A$1:$I$89,3,0)*0.475*44/12</f>
        <v>1.5087162510564399E-5</v>
      </c>
      <c r="CN69" s="22">
        <f t="shared" si="66"/>
        <v>106.55022141560273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401</v>
      </c>
      <c r="CU69" s="17">
        <f>CT69*VLOOKUP('Données projet'!$B$13,Paramètres!$A$1:$I$89,3,0)*VLOOKUP('Données projet'!$B$13,Paramètres!$A$1:$I$89,5,0)</f>
        <v>250.22399999999999</v>
      </c>
      <c r="CV69" s="13">
        <f t="shared" ref="CV69:CV132" si="95">EXP(-1.0587+0.8836*LN(CU69)+0.284)</f>
        <v>60.633904580527918</v>
      </c>
      <c r="CW69" s="20">
        <f t="shared" si="67"/>
        <v>541.41085047775289</v>
      </c>
      <c r="CX69" s="59">
        <f t="shared" si="68"/>
        <v>834.74418381108626</v>
      </c>
      <c r="CY69" s="59">
        <f ca="1">AVERAGE(OFFSET($CX$3,0,0,'Données projet'!$E$13+1,1))-AVERAGE(OFFSET($H$3,0,0,'Données projet'!$E$13+1,1))</f>
        <v>269.77739619445515</v>
      </c>
      <c r="CZ69" s="59">
        <f t="shared" ref="CZ69:CZ132" si="96">$CZ$3</f>
        <v>347.56964743629885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67.998741160408414</v>
      </c>
      <c r="DG69" s="21">
        <f>EXP(-LN(2)/25)*DG68+(1-EXP(-LN(2)/25))/(LN(2)/25)*Calculateur!DB69*Calculateur!DD69*VLOOKUP('Données projet'!$B$13,Paramètres!$A$1:$I$89,3,0)*0.475*44/12</f>
        <v>33.813172383852333</v>
      </c>
      <c r="DH69" s="21">
        <f>EXP(-LN(2)/2)*DH68+(1-EXP(-LN(2)/2))/(LN(2)/2)*DB69*DE69*VLOOKUP('Données projet'!$B$13,Paramètres!$A$1:$I$89,3,0)*0.475*44/12</f>
        <v>9.4750770671794336E-8</v>
      </c>
      <c r="DI69" s="22">
        <f t="shared" si="69"/>
        <v>101.81191363901152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16.399999999999999</v>
      </c>
      <c r="DO69" s="12">
        <f>IF('Données projet'!$A$166&gt;35,DO68+DN69-DW68,IF(A69&lt;'Données projet'!$A$166,$DL$205^A69,IF(A69='Données projet'!$A$166,'Données projet'!$B$166,DO68+DN69-DW68)))</f>
        <v>583.40000000000009</v>
      </c>
      <c r="DP69" s="17">
        <f>DO69*VLOOKUP('Données projet'!$B$14,Paramètres!$A$1:$I$89,3,0)*VLOOKUP('Données projet'!$B$14,Paramètres!$A$1:$I$89,5,0)</f>
        <v>280.61540000000008</v>
      </c>
      <c r="DQ69" s="13">
        <f t="shared" ref="DQ69:DQ132" si="97">EXP(-1.0587+0.8836*LN(DP69)+0.284)</f>
        <v>67.097043969752875</v>
      </c>
      <c r="DR69" s="20">
        <f t="shared" si="70"/>
        <v>605.59917324731964</v>
      </c>
      <c r="DS69" s="59">
        <f t="shared" si="71"/>
        <v>898.9325065806529</v>
      </c>
      <c r="DT69" s="59">
        <f ca="1">AVERAGE(OFFSET($DS$3,0,0,'Données projet'!$E$14+1,1))-AVERAGE(OFFSET($H$3,0,0,'Données projet'!$E$14+1,1))</f>
        <v>312.64506496298173</v>
      </c>
      <c r="DU69" s="59">
        <f t="shared" ref="DU69:DU132" si="98">$DU$3</f>
        <v>259.97532509897508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96.531398694873616</v>
      </c>
      <c r="EB69" s="21">
        <f>EXP(-LN(2)/25)*EB68+(1-EXP(-LN(2)/25))/(LN(2)/25)*Calculateur!DW69*Calculateur!DY69*VLOOKUP('Données projet'!$B$14,Paramètres!$A$1:$I$89,3,0)*0.475*44/12</f>
        <v>7.2148548354497999</v>
      </c>
      <c r="EC69" s="21">
        <f>EXP(-LN(2)/2)*EC68+(1-EXP(-LN(2)/2))/(LN(2)/2)*DW69*DZ69*VLOOKUP('Données projet'!$B$14,Paramètres!$A$1:$I$89,3,0)*0.475*44/12</f>
        <v>1.4690131918181074E-5</v>
      </c>
      <c r="ED69" s="22">
        <f t="shared" si="72"/>
        <v>103.74626822045533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6.8</v>
      </c>
      <c r="EJ69" s="12">
        <f>IF('Données projet'!$A$192&gt;35,EJ68+EI69-ER68,IF(A69&lt;'Données projet'!$A$192,$EG$205^A69,IF(A69='Données projet'!$A$192,'Données projet'!$B$192,EJ68+EI69-ER68)))</f>
        <v>214.79999999999993</v>
      </c>
      <c r="EK69" s="17">
        <f>EJ69*VLOOKUP('Données projet'!$B$15,Paramètres!$A$1:$I$89,3,0)*VLOOKUP('Données projet'!$B$15,Paramètres!$A$1:$I$89,5,0)</f>
        <v>194.35103999999993</v>
      </c>
      <c r="EL69" s="13">
        <f t="shared" ref="EL69:EL132" si="99">EXP(-1.0587+0.8836*LN(EK69)+0.284)</f>
        <v>48.500634729810159</v>
      </c>
      <c r="EM69" s="20">
        <f t="shared" si="73"/>
        <v>422.96666682108594</v>
      </c>
      <c r="EN69" s="59">
        <f t="shared" si="74"/>
        <v>716.30000015441919</v>
      </c>
      <c r="EO69" s="59">
        <f ca="1">AVERAGE(OFFSET($EN$3,0,0,'Données projet'!$E$15+1,1))-AVERAGE(OFFSET($H$3,0,0,'Données projet'!$E$15+1,1))</f>
        <v>269.64423257646359</v>
      </c>
      <c r="EP69" s="59">
        <f t="shared" ref="EP69:EP132" si="100">$EP$3</f>
        <v>161.0819079811821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46.962791698498926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46.962791698498926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9</v>
      </c>
      <c r="FE69" s="12">
        <f>IF('Données projet'!$A$218&gt;35,FE68+FD69-FM68,IF(A69&lt;'Données projet'!$A$218,$FB$205^A69,IF(A69='Données projet'!$A$218,'Données projet'!$B$218,FE68+FD69-FM68)))</f>
        <v>291.00000000000017</v>
      </c>
      <c r="FF69" s="17">
        <f>FE69*VLOOKUP('Données projet'!$B$16,Paramètres!$A$1:$I$89,3,0)*VLOOKUP('Données projet'!$B$16,Paramètres!$A$1:$I$89,5,0)</f>
        <v>226.98000000000013</v>
      </c>
      <c r="FG69" s="13">
        <f t="shared" ref="FG69:FG132" si="101">EXP(-1.0587+0.8836*LN(FF69)+0.284)</f>
        <v>55.629185455335978</v>
      </c>
      <c r="FH69" s="20">
        <f t="shared" si="76"/>
        <v>492.21099800137699</v>
      </c>
      <c r="FI69" s="59">
        <f t="shared" si="77"/>
        <v>785.54433133471025</v>
      </c>
      <c r="FJ69" s="59">
        <f ca="1">AVERAGE(OFFSET($FI$3,0,0,'Données projet'!$E$16+1,1))-AVERAGE(OFFSET($H$3,0,0,'Données projet'!$E$16+1,1))</f>
        <v>283.77864672734273</v>
      </c>
      <c r="FK69" s="59">
        <f t="shared" ref="FK69:FK132" si="102">$FK$3</f>
        <v>270.94620935643866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67.236674393103812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67.236674393103812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4.5999999999999996</v>
      </c>
      <c r="FZ69" s="12">
        <f>IF('Données projet'!$A$244&gt;35,FZ68+FY69-GH68,IF(A69&lt;'Données projet'!$A$244,$FW$205^A69,IF(A69='Données projet'!$A$244,'Données projet'!$B$244,FZ68+FY69-GH68)))</f>
        <v>297.59999999999985</v>
      </c>
      <c r="GA69" s="17">
        <f>FZ69*VLOOKUP('Données projet'!$B$17,Paramètres!$A$1:$I$89,3,0)*VLOOKUP('Données projet'!$B$17,Paramètres!$A$1:$I$89,5,0)</f>
        <v>287.83871999999985</v>
      </c>
      <c r="GB69" s="13">
        <f t="shared" ref="GB69:GB132" si="103">EXP(-1.0587+0.8836*LN(GA69)+0.284)</f>
        <v>68.620884395190288</v>
      </c>
      <c r="GC69" s="20">
        <f t="shared" si="79"/>
        <v>620.83381098828943</v>
      </c>
      <c r="GD69" s="59">
        <f t="shared" si="80"/>
        <v>914.1671443216228</v>
      </c>
      <c r="GE69" s="59">
        <f ca="1">AVERAGE(OFFSET($GD$3,0,0,'Données projet'!$E$17+1,1))-AVERAGE(OFFSET($H$3,0,0,'Données projet'!$E$17+1,1))</f>
        <v>347.54503437087288</v>
      </c>
      <c r="GF69" s="59">
        <f t="shared" ref="GF69:GF132" si="104">$GF$3</f>
        <v>340.05673244455954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49.459153732112611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49.459153732112611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17.2</v>
      </c>
      <c r="N70" s="13">
        <f>IF('Données projet'!$A$36&gt;35,N69+M70-V69,IF(A70&lt;'Données projet'!$A$36,$K$205^A70,IF(A70='Données projet'!$A$36,'Données projet'!$B$36,N69+M70-V69)))</f>
        <v>660.40000000000009</v>
      </c>
      <c r="O70" s="13">
        <f>N70*VLOOKUP('Données projet'!$B$9,Paramètres!$A$1:$I$89,3,0)*VLOOKUP('Données projet'!$B$9,Paramètres!$A$1:$I$89,5,0)</f>
        <v>309.06720000000007</v>
      </c>
      <c r="P70" s="13">
        <f t="shared" si="87"/>
        <v>73.073990251564425</v>
      </c>
      <c r="Q70" s="20">
        <f t="shared" si="54"/>
        <v>665.5625730214748</v>
      </c>
      <c r="R70" s="59">
        <f t="shared" si="55"/>
        <v>958.89590635480818</v>
      </c>
      <c r="S70" s="59">
        <f ca="1">AVERAGE(OFFSET($R$3,0,0,'Données projet'!$E$9+1,1))-AVERAGE(OFFSET($H$3,0,0,'Données projet'!$E$9+1,1))</f>
        <v>342.49944586217674</v>
      </c>
      <c r="T70" s="59">
        <f t="shared" si="88"/>
        <v>282.29766600872563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100.95546843817338</v>
      </c>
      <c r="AA70" s="21">
        <f>EXP(-LN(2)/25)*AA69+(1-EXP(-LN(2)/25))/(LN(2)/25)*Calculateur!V70*Calculateur!X70*VLOOKUP('Données projet'!$B$9,Paramètres!$A$1:$I$89,3,0)*0.475*44/12</f>
        <v>14.368424455543904</v>
      </c>
      <c r="AB70" s="21">
        <f>EXP(-LN(2)/2)*AB69+(1-EXP(-LN(2)/2))/(LN(2)/2)*V70*Y70*VLOOKUP('Données projet'!$B$9,Paramètres!$A$1:$I$89,3,0)*0.475*44/12</f>
        <v>2.2332970821559093E-7</v>
      </c>
      <c r="AC70" s="22">
        <f t="shared" si="57"/>
        <v>115.32389311704699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739.99999999999966</v>
      </c>
      <c r="AJ70" s="13">
        <f>AI70*VLOOKUP('Données projet'!$B$10,Paramètres!$A$1:$I$89,3,0)*VLOOKUP('Données projet'!$B$10,Paramètres!$A$1:$I$89,5,0)</f>
        <v>413.65999999999985</v>
      </c>
      <c r="AK70" s="13">
        <f t="shared" si="89"/>
        <v>94.540585122244352</v>
      </c>
      <c r="AL70" s="20">
        <f t="shared" si="58"/>
        <v>885.11601908790863</v>
      </c>
      <c r="AM70" s="59">
        <f t="shared" si="59"/>
        <v>1178.4493524212419</v>
      </c>
      <c r="AN70" s="59">
        <f ca="1">AVERAGE(OFFSET($AM$3,0,0,'Données projet'!$E$10+1,1))-AVERAGE(OFFSET($H$3,0,0,'Données projet'!$E$10+1,1))</f>
        <v>490.96084572840579</v>
      </c>
      <c r="AO70" s="59">
        <f t="shared" si="90"/>
        <v>597.91658789908263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107.50958691404622</v>
      </c>
      <c r="AV70" s="21">
        <f>EXP(-LN(2)/25)*AV69+(1-EXP(-LN(2)/25))/(LN(2)/25)*Calculateur!AQ70*Calculateur!AS70*VLOOKUP('Données projet'!$B$10,Paramètres!$A$1:$I$89,3,0)*0.475*44/12</f>
        <v>20.714076490738563</v>
      </c>
      <c r="AW70" s="21">
        <f>EXP(-LN(2)/2)*AW69+(1-EXP(-LN(2)/2))/(LN(2)/2)*AQ70*AT70*VLOOKUP('Données projet'!$B$10,Paramètres!$A$1:$I$89,3,0)*0.475*44/12</f>
        <v>2.2940923916145972E-6</v>
      </c>
      <c r="AX70" s="21">
        <f t="shared" si="60"/>
        <v>128.22366569887717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</v>
      </c>
      <c r="BD70" s="12">
        <f>IF('Données projet'!$A$88&gt;35,BD69+BC70-BL69,IF(A70&lt;'Données projet'!$A$88,$BA$205^A70,IF(A70='Données projet'!$A$88,'Données projet'!$B$88,BD69+BC70-BL69)))</f>
        <v>200.00000000000003</v>
      </c>
      <c r="BE70" s="13">
        <f>BD70*VLOOKUP('Données projet'!$B$11,Paramètres!$A$1:$I$89,3,0)*VLOOKUP('Données projet'!$B$11,Paramètres!$A$1:$I$89,5,0)</f>
        <v>159.12000000000003</v>
      </c>
      <c r="BF70" s="13">
        <f t="shared" si="91"/>
        <v>40.643965284387697</v>
      </c>
      <c r="BG70" s="20">
        <f t="shared" si="61"/>
        <v>347.92223953697527</v>
      </c>
      <c r="BH70" s="59">
        <f t="shared" si="62"/>
        <v>641.25557287030858</v>
      </c>
      <c r="BI70" s="59">
        <f ca="1">AVERAGE(OFFSET($BH$3,0,0,'Données projet'!$E$11+1,1))-AVERAGE(OFFSET($H$3,0,0,'Données projet'!$E$11+1,1))</f>
        <v>167.80254365106839</v>
      </c>
      <c r="BJ70" s="59">
        <f t="shared" si="92"/>
        <v>167.42302164950172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31.963051228602772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31.963051228602772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16.399999999999999</v>
      </c>
      <c r="BY70" s="12">
        <f>IF('Données projet'!$A$114&gt;35,BY69+BX70-CG69,IF(A70&lt;'Données projet'!$A$114,$BV$205^A70,IF(A70='Données projet'!$A$114,'Données projet'!$B$114,BY69+BX70-CG69)))</f>
        <v>599.80000000000007</v>
      </c>
      <c r="BZ70" s="13">
        <f>BY70*VLOOKUP('Données projet'!$B$12,Paramètres!$A$1:$I$89,3,0)*VLOOKUP('Données projet'!$B$12,Paramètres!$A$1:$I$89,5,0)</f>
        <v>296.30120000000005</v>
      </c>
      <c r="CA70" s="13">
        <f t="shared" si="93"/>
        <v>70.400493944359269</v>
      </c>
      <c r="CB70" s="20">
        <f t="shared" si="64"/>
        <v>638.67211695309231</v>
      </c>
      <c r="CC70" s="59">
        <f t="shared" si="65"/>
        <v>932.00545028642568</v>
      </c>
      <c r="CD70" s="59">
        <f ca="1">AVERAGE(OFFSET($CC$3,0,0,'Données projet'!$E$12+1,1))-AVERAGE(OFFSET($H$3,0,0,'Données projet'!$E$12+1,1))</f>
        <v>322.06606384496587</v>
      </c>
      <c r="CE70" s="59">
        <f t="shared" si="94"/>
        <v>267.71713177624713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97.196273516287818</v>
      </c>
      <c r="CL70" s="21">
        <f>EXP(-LN(2)/25)*CL69+(1-EXP(-LN(2)/25))/(LN(2)/25)*Calculateur!CG70*Calculateur!CI70*VLOOKUP('Données projet'!$B$12,Paramètres!$A$1:$I$89,3,0)*0.475*44/12</f>
        <v>7.2072281492255277</v>
      </c>
      <c r="CM70" s="21">
        <f>EXP(-LN(2)/2)*CM69+(1-EXP(-LN(2)/2))/(LN(2)/2)*CG70*CJ70*VLOOKUP('Données projet'!$B$12,Paramètres!$A$1:$I$89,3,0)*0.475*44/12</f>
        <v>1.0668234920083544E-5</v>
      </c>
      <c r="CN70" s="22">
        <f t="shared" si="66"/>
        <v>104.40351233374827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401</v>
      </c>
      <c r="CU70" s="17">
        <f>CT70*VLOOKUP('Données projet'!$B$13,Paramètres!$A$1:$I$89,3,0)*VLOOKUP('Données projet'!$B$13,Paramètres!$A$1:$I$89,5,0)</f>
        <v>250.22399999999999</v>
      </c>
      <c r="CV70" s="13">
        <f t="shared" si="95"/>
        <v>60.633904580527918</v>
      </c>
      <c r="CW70" s="20">
        <f t="shared" si="67"/>
        <v>541.41085047775289</v>
      </c>
      <c r="CX70" s="59">
        <f t="shared" si="68"/>
        <v>834.74418381108626</v>
      </c>
      <c r="CY70" s="59">
        <f ca="1">AVERAGE(OFFSET($CX$3,0,0,'Données projet'!$E$13+1,1))-AVERAGE(OFFSET($H$3,0,0,'Données projet'!$E$13+1,1))</f>
        <v>269.77739619445515</v>
      </c>
      <c r="CZ70" s="59">
        <f t="shared" si="96"/>
        <v>347.56964743629885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66.665327321389583</v>
      </c>
      <c r="DG70" s="21">
        <f>EXP(-LN(2)/25)*DG69+(1-EXP(-LN(2)/25))/(LN(2)/25)*Calculateur!DB70*Calculateur!DD70*VLOOKUP('Données projet'!$B$13,Paramètres!$A$1:$I$89,3,0)*0.475*44/12</f>
        <v>32.888549406858438</v>
      </c>
      <c r="DH70" s="21">
        <f>EXP(-LN(2)/2)*DH69+(1-EXP(-LN(2)/2))/(LN(2)/2)*DB70*DE70*VLOOKUP('Données projet'!$B$13,Paramètres!$A$1:$I$89,3,0)*0.475*44/12</f>
        <v>6.6998912464677221E-8</v>
      </c>
      <c r="DI70" s="22">
        <f t="shared" si="69"/>
        <v>99.553876795246921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16.399999999999999</v>
      </c>
      <c r="DO70" s="12">
        <f>IF('Données projet'!$A$166&gt;35,DO69+DN70-DW69,IF(A70&lt;'Données projet'!$A$166,$DL$205^A70,IF(A70='Données projet'!$A$166,'Données projet'!$B$166,DO69+DN70-DW69)))</f>
        <v>599.80000000000007</v>
      </c>
      <c r="DP70" s="17">
        <f>DO70*VLOOKUP('Données projet'!$B$14,Paramètres!$A$1:$I$89,3,0)*VLOOKUP('Données projet'!$B$14,Paramètres!$A$1:$I$89,5,0)</f>
        <v>288.50380000000001</v>
      </c>
      <c r="DQ70" s="13">
        <f t="shared" si="97"/>
        <v>68.760965105495728</v>
      </c>
      <c r="DR70" s="20">
        <f t="shared" si="70"/>
        <v>622.2361325587384</v>
      </c>
      <c r="DS70" s="59">
        <f t="shared" si="71"/>
        <v>915.56946589207178</v>
      </c>
      <c r="DT70" s="59">
        <f ca="1">AVERAGE(OFFSET($DS$3,0,0,'Données projet'!$E$14+1,1))-AVERAGE(OFFSET($H$3,0,0,'Données projet'!$E$14+1,1))</f>
        <v>312.64506496298173</v>
      </c>
      <c r="DU70" s="59">
        <f t="shared" si="98"/>
        <v>259.97532509897508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94.63847684480659</v>
      </c>
      <c r="EB70" s="21">
        <f>EXP(-LN(2)/25)*EB69+(1-EXP(-LN(2)/25))/(LN(2)/25)*Calculateur!DW70*Calculateur!DY70*VLOOKUP('Données projet'!$B$14,Paramètres!$A$1:$I$89,3,0)*0.475*44/12</f>
        <v>7.0175642505616995</v>
      </c>
      <c r="EC70" s="21">
        <f>EXP(-LN(2)/2)*EC69+(1-EXP(-LN(2)/2))/(LN(2)/2)*DW70*DZ70*VLOOKUP('Données projet'!$B$14,Paramètres!$A$1:$I$89,3,0)*0.475*44/12</f>
        <v>1.0387491895870782E-5</v>
      </c>
      <c r="ED70" s="22">
        <f t="shared" si="72"/>
        <v>101.65605148286019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6.8</v>
      </c>
      <c r="EJ70" s="12">
        <f>IF('Données projet'!$A$192&gt;35,EJ69+EI70-ER69,IF(A70&lt;'Données projet'!$A$192,$EG$205^A70,IF(A70='Données projet'!$A$192,'Données projet'!$B$192,EJ69+EI70-ER69)))</f>
        <v>221.59999999999994</v>
      </c>
      <c r="EK70" s="17">
        <f>EJ70*VLOOKUP('Données projet'!$B$15,Paramètres!$A$1:$I$89,3,0)*VLOOKUP('Données projet'!$B$15,Paramètres!$A$1:$I$89,5,0)</f>
        <v>200.50367999999995</v>
      </c>
      <c r="EL70" s="13">
        <f t="shared" si="99"/>
        <v>49.854845135229887</v>
      </c>
      <c r="EM70" s="20">
        <f t="shared" si="73"/>
        <v>436.04109794385857</v>
      </c>
      <c r="EN70" s="59">
        <f t="shared" si="74"/>
        <v>729.37443127719189</v>
      </c>
      <c r="EO70" s="59">
        <f ca="1">AVERAGE(OFFSET($EN$3,0,0,'Données projet'!$E$15+1,1))-AVERAGE(OFFSET($H$3,0,0,'Données projet'!$E$15+1,1))</f>
        <v>269.64423257646359</v>
      </c>
      <c r="EP70" s="59">
        <f t="shared" si="100"/>
        <v>161.0819079811821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46.041879997765889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46.041879997765889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9</v>
      </c>
      <c r="FE70" s="12">
        <f>IF('Données projet'!$A$218&gt;35,FE69+FD70-FM69,IF(A70&lt;'Données projet'!$A$218,$FB$205^A70,IF(A70='Données projet'!$A$218,'Données projet'!$B$218,FE69+FD70-FM69)))</f>
        <v>300.00000000000017</v>
      </c>
      <c r="FF70" s="17">
        <f>FE70*VLOOKUP('Données projet'!$B$16,Paramètres!$A$1:$I$89,3,0)*VLOOKUP('Données projet'!$B$16,Paramètres!$A$1:$I$89,5,0)</f>
        <v>234.00000000000014</v>
      </c>
      <c r="FG70" s="13">
        <f t="shared" si="101"/>
        <v>57.14670524255714</v>
      </c>
      <c r="FH70" s="20">
        <f t="shared" si="76"/>
        <v>507.08051163078727</v>
      </c>
      <c r="FI70" s="59">
        <f t="shared" si="77"/>
        <v>800.41384496412059</v>
      </c>
      <c r="FJ70" s="59">
        <f ca="1">AVERAGE(OFFSET($FI$3,0,0,'Données projet'!$E$16+1,1))-AVERAGE(OFFSET($H$3,0,0,'Données projet'!$E$16+1,1))</f>
        <v>283.77864672734273</v>
      </c>
      <c r="FK70" s="59">
        <f t="shared" si="102"/>
        <v>270.94620935643866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65.918204218576989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65.918204218576989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4.5999999999999996</v>
      </c>
      <c r="FZ70" s="12">
        <f>IF('Données projet'!$A$244&gt;35,FZ69+FY70-GH69,IF(A70&lt;'Données projet'!$A$244,$FW$205^A70,IF(A70='Données projet'!$A$244,'Données projet'!$B$244,FZ69+FY70-GH69)))</f>
        <v>302.19999999999987</v>
      </c>
      <c r="GA70" s="17">
        <f>FZ70*VLOOKUP('Données projet'!$B$17,Paramètres!$A$1:$I$89,3,0)*VLOOKUP('Données projet'!$B$17,Paramètres!$A$1:$I$89,5,0)</f>
        <v>292.2878399999999</v>
      </c>
      <c r="GB70" s="13">
        <f t="shared" si="103"/>
        <v>69.557256114171651</v>
      </c>
      <c r="GC70" s="20">
        <f t="shared" si="79"/>
        <v>630.21354239884874</v>
      </c>
      <c r="GD70" s="59">
        <f t="shared" si="80"/>
        <v>923.54687573218212</v>
      </c>
      <c r="GE70" s="59">
        <f ca="1">AVERAGE(OFFSET($GD$3,0,0,'Données projet'!$E$17+1,1))-AVERAGE(OFFSET($H$3,0,0,'Données projet'!$E$17+1,1))</f>
        <v>347.54503437087288</v>
      </c>
      <c r="GF70" s="59">
        <f t="shared" si="104"/>
        <v>340.05673244455954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48.489289894530906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48.489289894530906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17.2</v>
      </c>
      <c r="N71" s="13">
        <f>IF('Données projet'!$A$36&gt;35,N70+M71-V70,IF(A71&lt;'Données projet'!$A$36,$K$205^A71,IF(A71='Données projet'!$A$36,'Données projet'!$B$36,N70+M71-V70)))</f>
        <v>677.60000000000014</v>
      </c>
      <c r="O71" s="13">
        <f>N71*VLOOKUP('Données projet'!$B$9,Paramètres!$A$1:$I$89,3,0)*VLOOKUP('Données projet'!$B$9,Paramètres!$A$1:$I$89,5,0)</f>
        <v>317.11680000000007</v>
      </c>
      <c r="P71" s="13">
        <f t="shared" si="87"/>
        <v>74.753132191289879</v>
      </c>
      <c r="Q71" s="20">
        <f t="shared" si="54"/>
        <v>682.50679856649663</v>
      </c>
      <c r="R71" s="59">
        <f t="shared" si="55"/>
        <v>975.84013189982988</v>
      </c>
      <c r="S71" s="59">
        <f ca="1">AVERAGE(OFFSET($R$3,0,0,'Données projet'!$E$9+1,1))-AVERAGE(OFFSET($H$3,0,0,'Données projet'!$E$9+1,1))</f>
        <v>342.49944586217674</v>
      </c>
      <c r="T71" s="59">
        <f t="shared" si="88"/>
        <v>282.29766600872563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98.975793278856358</v>
      </c>
      <c r="AA71" s="21">
        <f>EXP(-LN(2)/25)*AA70+(1-EXP(-LN(2)/25))/(LN(2)/25)*Calculateur!V71*Calculateur!X71*VLOOKUP('Données projet'!$B$9,Paramètres!$A$1:$I$89,3,0)*0.475*44/12</f>
        <v>13.975519133204454</v>
      </c>
      <c r="AB71" s="21">
        <f>EXP(-LN(2)/2)*AB70+(1-EXP(-LN(2)/2))/(LN(2)/2)*V71*Y71*VLOOKUP('Données projet'!$B$9,Paramètres!$A$1:$I$89,3,0)*0.475*44/12</f>
        <v>1.5791795111965736E-7</v>
      </c>
      <c r="AC71" s="22">
        <f t="shared" si="57"/>
        <v>112.95131256997877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739.99999999999966</v>
      </c>
      <c r="AJ71" s="13">
        <f>AI71*VLOOKUP('Données projet'!$B$10,Paramètres!$A$1:$I$89,3,0)*VLOOKUP('Données projet'!$B$10,Paramètres!$A$1:$I$89,5,0)</f>
        <v>413.65999999999985</v>
      </c>
      <c r="AK71" s="13">
        <f t="shared" si="89"/>
        <v>94.540585122244352</v>
      </c>
      <c r="AL71" s="20">
        <f t="shared" si="58"/>
        <v>885.11601908790863</v>
      </c>
      <c r="AM71" s="59">
        <f t="shared" si="59"/>
        <v>1178.4493524212419</v>
      </c>
      <c r="AN71" s="59">
        <f ca="1">AVERAGE(OFFSET($AM$3,0,0,'Données projet'!$E$10+1,1))-AVERAGE(OFFSET($H$3,0,0,'Données projet'!$E$10+1,1))</f>
        <v>490.96084572840579</v>
      </c>
      <c r="AO71" s="59">
        <f t="shared" si="90"/>
        <v>597.91658789908263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105.40138948903487</v>
      </c>
      <c r="AV71" s="21">
        <f>EXP(-LN(2)/25)*AV70+(1-EXP(-LN(2)/25))/(LN(2)/25)*Calculateur!AQ71*Calculateur!AS71*VLOOKUP('Données projet'!$B$10,Paramètres!$A$1:$I$89,3,0)*0.475*44/12</f>
        <v>20.147648979793377</v>
      </c>
      <c r="AW71" s="21">
        <f>EXP(-LN(2)/2)*AW70+(1-EXP(-LN(2)/2))/(LN(2)/2)*AQ71*AT71*VLOOKUP('Données projet'!$B$10,Paramètres!$A$1:$I$89,3,0)*0.475*44/12</f>
        <v>1.6221682867791465E-6</v>
      </c>
      <c r="AX71" s="21">
        <f t="shared" si="60"/>
        <v>125.54904009099653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</v>
      </c>
      <c r="BD71" s="12">
        <f>IF('Données projet'!$A$88&gt;35,BD70+BC71-BL70,IF(A71&lt;'Données projet'!$A$88,$BA$205^A71,IF(A71='Données projet'!$A$88,'Données projet'!$B$88,BD70+BC71-BL70)))</f>
        <v>203.00000000000003</v>
      </c>
      <c r="BE71" s="13">
        <f>BD71*VLOOKUP('Données projet'!$B$11,Paramètres!$A$1:$I$89,3,0)*VLOOKUP('Données projet'!$B$11,Paramètres!$A$1:$I$89,5,0)</f>
        <v>161.50680000000003</v>
      </c>
      <c r="BF71" s="13">
        <f t="shared" si="91"/>
        <v>41.182192723897103</v>
      </c>
      <c r="BG71" s="20">
        <f t="shared" si="61"/>
        <v>353.01666232745418</v>
      </c>
      <c r="BH71" s="59">
        <f t="shared" si="62"/>
        <v>646.3499956607875</v>
      </c>
      <c r="BI71" s="59">
        <f ca="1">AVERAGE(OFFSET($BH$3,0,0,'Données projet'!$E$11+1,1))-AVERAGE(OFFSET($H$3,0,0,'Données projet'!$E$11+1,1))</f>
        <v>167.80254365106839</v>
      </c>
      <c r="BJ71" s="59">
        <f t="shared" si="92"/>
        <v>167.42302164950172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31.336275289546098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31.336275289546098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16.399999999999999</v>
      </c>
      <c r="BY71" s="12">
        <f>IF('Données projet'!$A$114&gt;35,BY70+BX71-CG70,IF(A71&lt;'Données projet'!$A$114,$BV$205^A71,IF(A71='Données projet'!$A$114,'Données projet'!$B$114,BY70+BX71-CG70)))</f>
        <v>616.20000000000005</v>
      </c>
      <c r="BZ71" s="13">
        <f>BY71*VLOOKUP('Données projet'!$B$12,Paramètres!$A$1:$I$89,3,0)*VLOOKUP('Données projet'!$B$12,Paramètres!$A$1:$I$89,5,0)</f>
        <v>304.40280000000001</v>
      </c>
      <c r="CA71" s="13">
        <f t="shared" si="93"/>
        <v>72.098675370850486</v>
      </c>
      <c r="CB71" s="20">
        <f t="shared" si="64"/>
        <v>655.74006960423117</v>
      </c>
      <c r="CC71" s="59">
        <f t="shared" si="65"/>
        <v>949.07340293756442</v>
      </c>
      <c r="CD71" s="59">
        <f ca="1">AVERAGE(OFFSET($CC$3,0,0,'Données projet'!$E$12+1,1))-AVERAGE(OFFSET($H$3,0,0,'Données projet'!$E$12+1,1))</f>
        <v>322.06606384496587</v>
      </c>
      <c r="CE71" s="59">
        <f t="shared" si="94"/>
        <v>267.71713177624713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95.29031387650646</v>
      </c>
      <c r="CL71" s="21">
        <f>EXP(-LN(2)/25)*CL70+(1-EXP(-LN(2)/25))/(LN(2)/25)*Calculateur!CG71*Calculateur!CI71*VLOOKUP('Données projet'!$B$12,Paramètres!$A$1:$I$89,3,0)*0.475*44/12</f>
        <v>7.0101461164732992</v>
      </c>
      <c r="CM71" s="21">
        <f>EXP(-LN(2)/2)*CM70+(1-EXP(-LN(2)/2))/(LN(2)/2)*CG71*CJ71*VLOOKUP('Données projet'!$B$12,Paramètres!$A$1:$I$89,3,0)*0.475*44/12</f>
        <v>7.5435812552822004E-6</v>
      </c>
      <c r="CN71" s="22">
        <f t="shared" si="66"/>
        <v>102.30046753656102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401</v>
      </c>
      <c r="CU71" s="17">
        <f>CT71*VLOOKUP('Données projet'!$B$13,Paramètres!$A$1:$I$89,3,0)*VLOOKUP('Données projet'!$B$13,Paramètres!$A$1:$I$89,5,0)</f>
        <v>250.22399999999999</v>
      </c>
      <c r="CV71" s="13">
        <f t="shared" si="95"/>
        <v>60.633904580527918</v>
      </c>
      <c r="CW71" s="20">
        <f t="shared" si="67"/>
        <v>541.41085047775289</v>
      </c>
      <c r="CX71" s="59">
        <f t="shared" si="68"/>
        <v>834.74418381108626</v>
      </c>
      <c r="CY71" s="59">
        <f ca="1">AVERAGE(OFFSET($CX$3,0,0,'Données projet'!$E$13+1,1))-AVERAGE(OFFSET($H$3,0,0,'Données projet'!$E$13+1,1))</f>
        <v>269.77739619445515</v>
      </c>
      <c r="CZ71" s="59">
        <f t="shared" si="96"/>
        <v>347.56964743629885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65.358060914451784</v>
      </c>
      <c r="DG71" s="21">
        <f>EXP(-LN(2)/25)*DG70+(1-EXP(-LN(2)/25))/(LN(2)/25)*Calculateur!DB71*Calculateur!DD71*VLOOKUP('Données projet'!$B$13,Paramètres!$A$1:$I$89,3,0)*0.475*44/12</f>
        <v>31.989210293794248</v>
      </c>
      <c r="DH71" s="21">
        <f>EXP(-LN(2)/2)*DH70+(1-EXP(-LN(2)/2))/(LN(2)/2)*DB71*DE71*VLOOKUP('Données projet'!$B$13,Paramètres!$A$1:$I$89,3,0)*0.475*44/12</f>
        <v>4.7375385335897168E-8</v>
      </c>
      <c r="DI71" s="22">
        <f t="shared" si="69"/>
        <v>97.347271255621408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16.399999999999999</v>
      </c>
      <c r="DO71" s="12">
        <f>IF('Données projet'!$A$166&gt;35,DO70+DN71-DW70,IF(A71&lt;'Données projet'!$A$166,$DL$205^A71,IF(A71='Données projet'!$A$166,'Données projet'!$B$166,DO70+DN71-DW70)))</f>
        <v>616.20000000000005</v>
      </c>
      <c r="DP71" s="17">
        <f>DO71*VLOOKUP('Données projet'!$B$14,Paramètres!$A$1:$I$89,3,0)*VLOOKUP('Données projet'!$B$14,Paramètres!$A$1:$I$89,5,0)</f>
        <v>296.39220000000006</v>
      </c>
      <c r="DQ71" s="13">
        <f t="shared" si="97"/>
        <v>70.419598266536553</v>
      </c>
      <c r="DR71" s="20">
        <f t="shared" si="70"/>
        <v>638.86388198088457</v>
      </c>
      <c r="DS71" s="59">
        <f t="shared" si="71"/>
        <v>932.19721531421783</v>
      </c>
      <c r="DT71" s="59">
        <f ca="1">AVERAGE(OFFSET($DS$3,0,0,'Données projet'!$E$14+1,1))-AVERAGE(OFFSET($H$3,0,0,'Données projet'!$E$14+1,1))</f>
        <v>312.64506496298173</v>
      </c>
      <c r="DU71" s="59">
        <f t="shared" si="98"/>
        <v>259.97532509897508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92.782674037651063</v>
      </c>
      <c r="EB71" s="21">
        <f>EXP(-LN(2)/25)*EB70+(1-EXP(-LN(2)/25))/(LN(2)/25)*Calculateur!DW71*Calculateur!DY71*VLOOKUP('Données projet'!$B$14,Paramètres!$A$1:$I$89,3,0)*0.475*44/12</f>
        <v>6.8256685870924247</v>
      </c>
      <c r="EC71" s="21">
        <f>EXP(-LN(2)/2)*EC70+(1-EXP(-LN(2)/2))/(LN(2)/2)*DW71*DZ71*VLOOKUP('Données projet'!$B$14,Paramètres!$A$1:$I$89,3,0)*0.475*44/12</f>
        <v>7.3450659590905369E-6</v>
      </c>
      <c r="ED71" s="22">
        <f t="shared" si="72"/>
        <v>99.608349969809439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6.8</v>
      </c>
      <c r="EJ71" s="12">
        <f>IF('Données projet'!$A$192&gt;35,EJ70+EI71-ER70,IF(A71&lt;'Données projet'!$A$192,$EG$205^A71,IF(A71='Données projet'!$A$192,'Données projet'!$B$192,EJ70+EI71-ER70)))</f>
        <v>228.39999999999995</v>
      </c>
      <c r="EK71" s="17">
        <f>EJ71*VLOOKUP('Données projet'!$B$15,Paramètres!$A$1:$I$89,3,0)*VLOOKUP('Données projet'!$B$15,Paramètres!$A$1:$I$89,5,0)</f>
        <v>206.65631999999994</v>
      </c>
      <c r="EL71" s="13">
        <f t="shared" si="99"/>
        <v>51.20422634371338</v>
      </c>
      <c r="EM71" s="20">
        <f t="shared" si="73"/>
        <v>449.10711821530072</v>
      </c>
      <c r="EN71" s="59">
        <f t="shared" si="74"/>
        <v>742.44045154863397</v>
      </c>
      <c r="EO71" s="59">
        <f ca="1">AVERAGE(OFFSET($EN$3,0,0,'Données projet'!$E$15+1,1))-AVERAGE(OFFSET($H$3,0,0,'Données projet'!$E$15+1,1))</f>
        <v>269.64423257646359</v>
      </c>
      <c r="EP71" s="59">
        <f t="shared" si="100"/>
        <v>161.0819079811821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45.139026813783552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45.139026813783552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9</v>
      </c>
      <c r="FE71" s="12">
        <f>IF('Données projet'!$A$218&gt;35,FE70+FD71-FM70,IF(A71&lt;'Données projet'!$A$218,$FB$205^A71,IF(A71='Données projet'!$A$218,'Données projet'!$B$218,FE70+FD71-FM70)))</f>
        <v>309.00000000000017</v>
      </c>
      <c r="FF71" s="17">
        <f>FE71*VLOOKUP('Données projet'!$B$16,Paramètres!$A$1:$I$89,3,0)*VLOOKUP('Données projet'!$B$16,Paramètres!$A$1:$I$89,5,0)</f>
        <v>241.02000000000015</v>
      </c>
      <c r="FG71" s="13">
        <f t="shared" si="101"/>
        <v>58.658934253765338</v>
      </c>
      <c r="FH71" s="20">
        <f t="shared" si="76"/>
        <v>521.94081049197484</v>
      </c>
      <c r="FI71" s="59">
        <f t="shared" si="77"/>
        <v>815.2741438253081</v>
      </c>
      <c r="FJ71" s="59">
        <f ca="1">AVERAGE(OFFSET($FI$3,0,0,'Données projet'!$E$16+1,1))-AVERAGE(OFFSET($H$3,0,0,'Données projet'!$E$16+1,1))</f>
        <v>283.77864672734273</v>
      </c>
      <c r="FK71" s="59">
        <f t="shared" si="102"/>
        <v>270.94620935643866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64.625588439985236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64.625588439985236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4.5999999999999996</v>
      </c>
      <c r="FZ71" s="12">
        <f>IF('Données projet'!$A$244&gt;35,FZ70+FY71-GH70,IF(A71&lt;'Données projet'!$A$244,$FW$205^A71,IF(A71='Données projet'!$A$244,'Données projet'!$B$244,FZ70+FY71-GH70)))</f>
        <v>306.7999999999999</v>
      </c>
      <c r="GA71" s="17">
        <f>FZ71*VLOOKUP('Données projet'!$B$17,Paramètres!$A$1:$I$89,3,0)*VLOOKUP('Données projet'!$B$17,Paramètres!$A$1:$I$89,5,0)</f>
        <v>296.7369599999999</v>
      </c>
      <c r="GB71" s="13">
        <f t="shared" si="103"/>
        <v>70.491970164645167</v>
      </c>
      <c r="GC71" s="20">
        <f t="shared" si="79"/>
        <v>639.59038670342341</v>
      </c>
      <c r="GD71" s="59">
        <f t="shared" si="80"/>
        <v>932.92372003675678</v>
      </c>
      <c r="GE71" s="59">
        <f ca="1">AVERAGE(OFFSET($GD$3,0,0,'Données projet'!$E$17+1,1))-AVERAGE(OFFSET($H$3,0,0,'Données projet'!$E$17+1,1))</f>
        <v>347.54503437087288</v>
      </c>
      <c r="GF71" s="59">
        <f t="shared" si="104"/>
        <v>340.05673244455954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47.538444495245649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47.538444495245649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17.2</v>
      </c>
      <c r="N72" s="13">
        <f>IF('Données projet'!$A$36&gt;35,N71+M72-V71,IF(A72&lt;'Données projet'!$A$36,$K$205^A72,IF(A72='Données projet'!$A$36,'Données projet'!$B$36,N71+M72-V71)))</f>
        <v>694.80000000000018</v>
      </c>
      <c r="O72" s="13">
        <f>N72*VLOOKUP('Données projet'!$B$9,Paramètres!$A$1:$I$89,3,0)*VLOOKUP('Données projet'!$B$9,Paramètres!$A$1:$I$89,5,0)</f>
        <v>325.16640000000007</v>
      </c>
      <c r="P72" s="13">
        <f t="shared" si="87"/>
        <v>76.427319591571546</v>
      </c>
      <c r="Q72" s="20">
        <f t="shared" si="54"/>
        <v>699.44239495532054</v>
      </c>
      <c r="R72" s="59">
        <f t="shared" si="55"/>
        <v>992.77572828865391</v>
      </c>
      <c r="S72" s="59">
        <f ca="1">AVERAGE(OFFSET($R$3,0,0,'Données projet'!$E$9+1,1))-AVERAGE(OFFSET($H$3,0,0,'Données projet'!$E$9+1,1))</f>
        <v>342.49944586217674</v>
      </c>
      <c r="T72" s="59">
        <f t="shared" si="88"/>
        <v>282.29766600872563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97.034938341930911</v>
      </c>
      <c r="AA72" s="21">
        <f>EXP(-LN(2)/25)*AA71+(1-EXP(-LN(2)/25))/(LN(2)/25)*Calculateur!V72*Calculateur!X72*VLOOKUP('Données projet'!$B$9,Paramètres!$A$1:$I$89,3,0)*0.475*44/12</f>
        <v>13.593357827566368</v>
      </c>
      <c r="AB72" s="21">
        <f>EXP(-LN(2)/2)*AB71+(1-EXP(-LN(2)/2))/(LN(2)/2)*V72*Y72*VLOOKUP('Données projet'!$B$9,Paramètres!$A$1:$I$89,3,0)*0.475*44/12</f>
        <v>1.1166485410779547E-7</v>
      </c>
      <c r="AC72" s="22">
        <f t="shared" si="57"/>
        <v>110.62829628116214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739.99999999999966</v>
      </c>
      <c r="AJ72" s="13">
        <f>AI72*VLOOKUP('Données projet'!$B$10,Paramètres!$A$1:$I$89,3,0)*VLOOKUP('Données projet'!$B$10,Paramètres!$A$1:$I$89,5,0)</f>
        <v>413.65999999999985</v>
      </c>
      <c r="AK72" s="13">
        <f t="shared" si="89"/>
        <v>94.540585122244352</v>
      </c>
      <c r="AL72" s="20">
        <f t="shared" si="58"/>
        <v>885.11601908790863</v>
      </c>
      <c r="AM72" s="59">
        <f t="shared" si="59"/>
        <v>1178.4493524212419</v>
      </c>
      <c r="AN72" s="59">
        <f ca="1">AVERAGE(OFFSET($AM$3,0,0,'Données projet'!$E$10+1,1))-AVERAGE(OFFSET($H$3,0,0,'Données projet'!$E$10+1,1))</f>
        <v>490.96084572840579</v>
      </c>
      <c r="AO72" s="59">
        <f t="shared" si="90"/>
        <v>597.91658789908263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103.33453252965452</v>
      </c>
      <c r="AV72" s="21">
        <f>EXP(-LN(2)/25)*AV71+(1-EXP(-LN(2)/25))/(LN(2)/25)*Calculateur!AQ72*Calculateur!AS72*VLOOKUP('Données projet'!$B$10,Paramètres!$A$1:$I$89,3,0)*0.475*44/12</f>
        <v>19.596710458922114</v>
      </c>
      <c r="AW72" s="21">
        <f>EXP(-LN(2)/2)*AW71+(1-EXP(-LN(2)/2))/(LN(2)/2)*AQ72*AT72*VLOOKUP('Données projet'!$B$10,Paramètres!$A$1:$I$89,3,0)*0.475*44/12</f>
        <v>1.1470461958072986E-6</v>
      </c>
      <c r="AX72" s="21">
        <f t="shared" si="60"/>
        <v>122.93124413562283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</v>
      </c>
      <c r="BD72" s="12">
        <f>IF('Données projet'!$A$88&gt;35,BD71+BC72-BL71,IF(A72&lt;'Données projet'!$A$88,$BA$205^A72,IF(A72='Données projet'!$A$88,'Données projet'!$B$88,BD71+BC72-BL71)))</f>
        <v>206.00000000000003</v>
      </c>
      <c r="BE72" s="13">
        <f>BD72*VLOOKUP('Données projet'!$B$11,Paramètres!$A$1:$I$89,3,0)*VLOOKUP('Données projet'!$B$11,Paramètres!$A$1:$I$89,5,0)</f>
        <v>163.89360000000002</v>
      </c>
      <c r="BF72" s="13">
        <f t="shared" si="91"/>
        <v>41.71949506642347</v>
      </c>
      <c r="BG72" s="20">
        <f t="shared" si="61"/>
        <v>358.10947390735419</v>
      </c>
      <c r="BH72" s="59">
        <f t="shared" si="62"/>
        <v>651.44280724068744</v>
      </c>
      <c r="BI72" s="59">
        <f ca="1">AVERAGE(OFFSET($BH$3,0,0,'Données projet'!$E$11+1,1))-AVERAGE(OFFSET($H$3,0,0,'Données projet'!$E$11+1,1))</f>
        <v>167.80254365106839</v>
      </c>
      <c r="BJ72" s="59">
        <f t="shared" si="92"/>
        <v>167.42302164950172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30.721790044358748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30.721790044358748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16.399999999999999</v>
      </c>
      <c r="BY72" s="12">
        <f>IF('Données projet'!$A$114&gt;35,BY71+BX72-CG71,IF(A72&lt;'Données projet'!$A$114,$BV$205^A72,IF(A72='Données projet'!$A$114,'Données projet'!$B$114,BY71+BX72-CG71)))</f>
        <v>632.6</v>
      </c>
      <c r="BZ72" s="13">
        <f>BY72*VLOOKUP('Données projet'!$B$12,Paramètres!$A$1:$I$89,3,0)*VLOOKUP('Données projet'!$B$12,Paramètres!$A$1:$I$89,5,0)</f>
        <v>312.50440000000003</v>
      </c>
      <c r="CA72" s="13">
        <f t="shared" si="93"/>
        <v>73.791603392541887</v>
      </c>
      <c r="CB72" s="20">
        <f t="shared" si="64"/>
        <v>672.79887257534381</v>
      </c>
      <c r="CC72" s="59">
        <f t="shared" si="65"/>
        <v>966.13220590867718</v>
      </c>
      <c r="CD72" s="59">
        <f ca="1">AVERAGE(OFFSET($CC$3,0,0,'Données projet'!$E$12+1,1))-AVERAGE(OFFSET($H$3,0,0,'Données projet'!$E$12+1,1))</f>
        <v>322.06606384496587</v>
      </c>
      <c r="CE72" s="59">
        <f t="shared" si="94"/>
        <v>267.71713177624713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93.421728942740629</v>
      </c>
      <c r="CL72" s="21">
        <f>EXP(-LN(2)/25)*CL71+(1-EXP(-LN(2)/25))/(LN(2)/25)*Calculateur!CG72*Calculateur!CI72*VLOOKUP('Données projet'!$B$12,Paramètres!$A$1:$I$89,3,0)*0.475*44/12</f>
        <v>6.8184533022707745</v>
      </c>
      <c r="CM72" s="21">
        <f>EXP(-LN(2)/2)*CM71+(1-EXP(-LN(2)/2))/(LN(2)/2)*CG72*CJ72*VLOOKUP('Données projet'!$B$12,Paramètres!$A$1:$I$89,3,0)*0.475*44/12</f>
        <v>5.3341174600417728E-6</v>
      </c>
      <c r="CN72" s="22">
        <f t="shared" si="66"/>
        <v>100.24018757912886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401</v>
      </c>
      <c r="CU72" s="17">
        <f>CT72*VLOOKUP('Données projet'!$B$13,Paramètres!$A$1:$I$89,3,0)*VLOOKUP('Données projet'!$B$13,Paramètres!$A$1:$I$89,5,0)</f>
        <v>250.22399999999999</v>
      </c>
      <c r="CV72" s="13">
        <f t="shared" si="95"/>
        <v>60.633904580527918</v>
      </c>
      <c r="CW72" s="20">
        <f t="shared" si="67"/>
        <v>541.41085047775289</v>
      </c>
      <c r="CX72" s="59">
        <f t="shared" si="68"/>
        <v>834.74418381108626</v>
      </c>
      <c r="CY72" s="59">
        <f ca="1">AVERAGE(OFFSET($CX$3,0,0,'Données projet'!$E$13+1,1))-AVERAGE(OFFSET($H$3,0,0,'Données projet'!$E$13+1,1))</f>
        <v>269.77739619445515</v>
      </c>
      <c r="CZ72" s="59">
        <f t="shared" si="96"/>
        <v>347.56964743629885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64.076429204400256</v>
      </c>
      <c r="DG72" s="21">
        <f>EXP(-LN(2)/25)*DG71+(1-EXP(-LN(2)/25))/(LN(2)/25)*Calculateur!DB72*Calculateur!DD72*VLOOKUP('Données projet'!$B$13,Paramètres!$A$1:$I$89,3,0)*0.475*44/12</f>
        <v>31.114463656070988</v>
      </c>
      <c r="DH72" s="21">
        <f>EXP(-LN(2)/2)*DH71+(1-EXP(-LN(2)/2))/(LN(2)/2)*DB72*DE72*VLOOKUP('Données projet'!$B$13,Paramètres!$A$1:$I$89,3,0)*0.475*44/12</f>
        <v>3.349945623233861E-8</v>
      </c>
      <c r="DI72" s="22">
        <f t="shared" si="69"/>
        <v>95.190892893970712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16.399999999999999</v>
      </c>
      <c r="DO72" s="12">
        <f>IF('Données projet'!$A$166&gt;35,DO71+DN72-DW71,IF(A72&lt;'Données projet'!$A$166,$DL$205^A72,IF(A72='Données projet'!$A$166,'Données projet'!$B$166,DO71+DN72-DW71)))</f>
        <v>632.6</v>
      </c>
      <c r="DP72" s="17">
        <f>DO72*VLOOKUP('Données projet'!$B$14,Paramètres!$A$1:$I$89,3,0)*VLOOKUP('Données projet'!$B$14,Paramètres!$A$1:$I$89,5,0)</f>
        <v>304.28060000000005</v>
      </c>
      <c r="DQ72" s="13">
        <f t="shared" si="97"/>
        <v>72.073100367212803</v>
      </c>
      <c r="DR72" s="20">
        <f t="shared" si="70"/>
        <v>655.48269480622912</v>
      </c>
      <c r="DS72" s="59">
        <f t="shared" si="71"/>
        <v>948.81602813956238</v>
      </c>
      <c r="DT72" s="59">
        <f ca="1">AVERAGE(OFFSET($DS$3,0,0,'Données projet'!$E$14+1,1))-AVERAGE(OFFSET($H$3,0,0,'Données projet'!$E$14+1,1))</f>
        <v>312.64506496298173</v>
      </c>
      <c r="DU72" s="59">
        <f t="shared" si="98"/>
        <v>259.97532509897508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90.963262391615913</v>
      </c>
      <c r="EB72" s="21">
        <f>EXP(-LN(2)/25)*EB71+(1-EXP(-LN(2)/25))/(LN(2)/25)*Calculateur!DW72*Calculateur!DY72*VLOOKUP('Données projet'!$B$14,Paramètres!$A$1:$I$89,3,0)*0.475*44/12</f>
        <v>6.6390203206320715</v>
      </c>
      <c r="EC72" s="21">
        <f>EXP(-LN(2)/2)*EC71+(1-EXP(-LN(2)/2))/(LN(2)/2)*DW72*DZ72*VLOOKUP('Données projet'!$B$14,Paramètres!$A$1:$I$89,3,0)*0.475*44/12</f>
        <v>5.193745947935391E-6</v>
      </c>
      <c r="ED72" s="22">
        <f t="shared" si="72"/>
        <v>97.602287905993933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6.8</v>
      </c>
      <c r="EJ72" s="12">
        <f>IF('Données projet'!$A$192&gt;35,EJ71+EI72-ER71,IF(A72&lt;'Données projet'!$A$192,$EG$205^A72,IF(A72='Données projet'!$A$192,'Données projet'!$B$192,EJ71+EI72-ER71)))</f>
        <v>235.19999999999996</v>
      </c>
      <c r="EK72" s="17">
        <f>EJ72*VLOOKUP('Données projet'!$B$15,Paramètres!$A$1:$I$89,3,0)*VLOOKUP('Données projet'!$B$15,Paramètres!$A$1:$I$89,5,0)</f>
        <v>212.80895999999996</v>
      </c>
      <c r="EL72" s="13">
        <f t="shared" si="99"/>
        <v>52.548938637485847</v>
      </c>
      <c r="EM72" s="20">
        <f t="shared" si="73"/>
        <v>462.16500679362099</v>
      </c>
      <c r="EN72" s="59">
        <f t="shared" si="74"/>
        <v>755.4983401269543</v>
      </c>
      <c r="EO72" s="59">
        <f ca="1">AVERAGE(OFFSET($EN$3,0,0,'Données projet'!$E$15+1,1))-AVERAGE(OFFSET($H$3,0,0,'Données projet'!$E$15+1,1))</f>
        <v>269.64423257646359</v>
      </c>
      <c r="EP72" s="59">
        <f t="shared" si="100"/>
        <v>161.0819079811821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44.253878030053045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44.253878030053045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9</v>
      </c>
      <c r="FE72" s="12">
        <f>IF('Données projet'!$A$218&gt;35,FE71+FD72-FM71,IF(A72&lt;'Données projet'!$A$218,$FB$205^A72,IF(A72='Données projet'!$A$218,'Données projet'!$B$218,FE71+FD72-FM71)))</f>
        <v>318.00000000000017</v>
      </c>
      <c r="FF72" s="17">
        <f>FE72*VLOOKUP('Données projet'!$B$16,Paramètres!$A$1:$I$89,3,0)*VLOOKUP('Données projet'!$B$16,Paramètres!$A$1:$I$89,5,0)</f>
        <v>248.04000000000013</v>
      </c>
      <c r="FG72" s="13">
        <f t="shared" si="101"/>
        <v>60.166044284441391</v>
      </c>
      <c r="FH72" s="20">
        <f t="shared" si="76"/>
        <v>536.79219379540234</v>
      </c>
      <c r="FI72" s="59">
        <f t="shared" si="77"/>
        <v>830.12552712873571</v>
      </c>
      <c r="FJ72" s="59">
        <f ca="1">AVERAGE(OFFSET($FI$3,0,0,'Données projet'!$E$16+1,1))-AVERAGE(OFFSET($H$3,0,0,'Données projet'!$E$16+1,1))</f>
        <v>283.77864672734273</v>
      </c>
      <c r="FK72" s="59">
        <f t="shared" si="102"/>
        <v>270.94620935643866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63.358320068393901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63.358320068393901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4.5999999999999996</v>
      </c>
      <c r="FZ72" s="12">
        <f>IF('Données projet'!$A$244&gt;35,FZ71+FY72-GH71,IF(A72&lt;'Données projet'!$A$244,$FW$205^A72,IF(A72='Données projet'!$A$244,'Données projet'!$B$244,FZ71+FY72-GH71)))</f>
        <v>311.39999999999992</v>
      </c>
      <c r="GA72" s="17">
        <f>FZ72*VLOOKUP('Données projet'!$B$17,Paramètres!$A$1:$I$89,3,0)*VLOOKUP('Données projet'!$B$17,Paramètres!$A$1:$I$89,5,0)</f>
        <v>301.18607999999995</v>
      </c>
      <c r="GB72" s="13">
        <f t="shared" si="103"/>
        <v>71.425054271756295</v>
      </c>
      <c r="GC72" s="20">
        <f t="shared" si="79"/>
        <v>648.96439218997534</v>
      </c>
      <c r="GD72" s="59">
        <f t="shared" si="80"/>
        <v>942.2977255233086</v>
      </c>
      <c r="GE72" s="59">
        <f ca="1">AVERAGE(OFFSET($GD$3,0,0,'Données projet'!$E$17+1,1))-AVERAGE(OFFSET($H$3,0,0,'Données projet'!$E$17+1,1))</f>
        <v>347.54503437087288</v>
      </c>
      <c r="GF72" s="59">
        <f t="shared" si="104"/>
        <v>340.05673244455954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46.606244594281947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46.606244594281947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712</v>
      </c>
      <c r="L73" s="12">
        <f>VLOOKUP(A73,'Données projet'!$A$35:$I$55,9,0)</f>
        <v>17.2</v>
      </c>
      <c r="M73" s="12">
        <f t="array" ref="M73">INDEX(L:L,MIN(IF(ISNUMBER(L73:L269),ROW(L73:L269),"")))</f>
        <v>17.2</v>
      </c>
      <c r="N73" s="13">
        <f>IF('Données projet'!$A$36&gt;35,N72+M73-V72,IF(A73&lt;'Données projet'!$A$36,$K$205^A73,IF(A73='Données projet'!$A$36,'Données projet'!$B$36,N72+M73-V72)))</f>
        <v>712.00000000000023</v>
      </c>
      <c r="O73" s="13">
        <f>N73*VLOOKUP('Données projet'!$B$9,Paramètres!$A$1:$I$89,3,0)*VLOOKUP('Données projet'!$B$9,Paramètres!$A$1:$I$89,5,0)</f>
        <v>333.21600000000007</v>
      </c>
      <c r="P73" s="13">
        <f t="shared" si="87"/>
        <v>78.096689211412567</v>
      </c>
      <c r="Q73" s="20">
        <f t="shared" si="54"/>
        <v>716.36960037654364</v>
      </c>
      <c r="R73" s="59">
        <f t="shared" si="55"/>
        <v>1009.702933709877</v>
      </c>
      <c r="S73" s="59">
        <f ca="1">AVERAGE(OFFSET($R$3,0,0,'Données projet'!$E$9+1,1))-AVERAGE(OFFSET($H$3,0,0,'Données projet'!$E$9+1,1))</f>
        <v>342.49944586217674</v>
      </c>
      <c r="T73" s="59">
        <f t="shared" si="88"/>
        <v>282.29766600872563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45</v>
      </c>
      <c r="W73" s="16">
        <f>IF(ISNA(VLOOKUP(A73,'Données projet'!$A$35:$I$55,5,0)),0%,VLOOKUP(A73,'Données projet'!$A$35:$I$55,5,0)*VLOOKUP('Données projet'!$B$9,Paramètres!$A$1:$I$89,7,0))</f>
        <v>0.55000000000000004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110.49773847387014</v>
      </c>
      <c r="AA73" s="21">
        <f>EXP(-LN(2)/25)*AA72+(1-EXP(-LN(2)/25))/(LN(2)/25)*Calculateur!V73*Calculateur!X73*VLOOKUP('Données projet'!$B$9,Paramètres!$A$1:$I$89,3,0)*0.475*44/12</f>
        <v>13.221646742927947</v>
      </c>
      <c r="AB73" s="21">
        <f>EXP(-LN(2)/2)*AB72+(1-EXP(-LN(2)/2))/(LN(2)/2)*V73*Y73*VLOOKUP('Données projet'!$B$9,Paramètres!$A$1:$I$89,3,0)*0.475*44/12</f>
        <v>7.895897555982868E-8</v>
      </c>
      <c r="AC73" s="22">
        <f t="shared" si="57"/>
        <v>123.71938529575706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739.99999999999966</v>
      </c>
      <c r="AJ73" s="13">
        <f>AI73*VLOOKUP('Données projet'!$B$10,Paramètres!$A$1:$I$89,3,0)*VLOOKUP('Données projet'!$B$10,Paramètres!$A$1:$I$89,5,0)</f>
        <v>413.65999999999985</v>
      </c>
      <c r="AK73" s="13">
        <f t="shared" si="89"/>
        <v>94.540585122244352</v>
      </c>
      <c r="AL73" s="20">
        <f t="shared" si="58"/>
        <v>885.11601908790863</v>
      </c>
      <c r="AM73" s="59">
        <f t="shared" si="59"/>
        <v>1178.4493524212419</v>
      </c>
      <c r="AN73" s="59">
        <f ca="1">AVERAGE(OFFSET($AM$3,0,0,'Données projet'!$E$10+1,1))-AVERAGE(OFFSET($H$3,0,0,'Données projet'!$E$10+1,1))</f>
        <v>490.96084572840579</v>
      </c>
      <c r="AO73" s="59">
        <f t="shared" si="90"/>
        <v>597.91658789908263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101.30820537458936</v>
      </c>
      <c r="AV73" s="21">
        <f>EXP(-LN(2)/25)*AV72+(1-EXP(-LN(2)/25))/(LN(2)/25)*Calculateur!AQ73*Calculateur!AS73*VLOOKUP('Données projet'!$B$10,Paramètres!$A$1:$I$89,3,0)*0.475*44/12</f>
        <v>19.060837380876674</v>
      </c>
      <c r="AW73" s="21">
        <f>EXP(-LN(2)/2)*AW72+(1-EXP(-LN(2)/2))/(LN(2)/2)*AQ73*AT73*VLOOKUP('Données projet'!$B$10,Paramètres!$A$1:$I$89,3,0)*0.475*44/12</f>
        <v>8.1108414338957324E-7</v>
      </c>
      <c r="AX73" s="21">
        <f t="shared" si="60"/>
        <v>120.36904356655019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209</v>
      </c>
      <c r="BB73" s="12">
        <f>VLOOKUP(A73,'Données projet'!$A$87:$I$107,9,0)</f>
        <v>3</v>
      </c>
      <c r="BC73" s="12">
        <f t="array" ref="BC73">INDEX(BB:BB,MIN(IF(ISNUMBER(BB73:BB269),ROW(BB73:BB269),"")))</f>
        <v>3</v>
      </c>
      <c r="BD73" s="12">
        <f>IF('Données projet'!$A$88&gt;35,BD72+BC73-BL72,IF(A73&lt;'Données projet'!$A$88,$BA$205^A73,IF(A73='Données projet'!$A$88,'Données projet'!$B$88,BD72+BC73-BL72)))</f>
        <v>209.00000000000003</v>
      </c>
      <c r="BE73" s="13">
        <f>BD73*VLOOKUP('Données projet'!$B$11,Paramètres!$A$1:$I$89,3,0)*VLOOKUP('Données projet'!$B$11,Paramètres!$A$1:$I$89,5,0)</f>
        <v>166.28040000000004</v>
      </c>
      <c r="BF73" s="13">
        <f t="shared" si="91"/>
        <v>42.255887340755905</v>
      </c>
      <c r="BG73" s="20">
        <f t="shared" si="61"/>
        <v>363.2007004518166</v>
      </c>
      <c r="BH73" s="59">
        <f t="shared" si="62"/>
        <v>656.53403378514986</v>
      </c>
      <c r="BI73" s="59">
        <f ca="1">AVERAGE(OFFSET($BH$3,0,0,'Données projet'!$E$11+1,1))-AVERAGE(OFFSET($H$3,0,0,'Données projet'!$E$11+1,1))</f>
        <v>167.80254365106839</v>
      </c>
      <c r="BJ73" s="59">
        <f t="shared" si="92"/>
        <v>167.42302164950172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8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33.848486352005736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33.848486352005736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649</v>
      </c>
      <c r="BW73" s="12">
        <f>VLOOKUP(A73,'Données projet'!$A$113:$I$133,9,0)</f>
        <v>16.399999999999999</v>
      </c>
      <c r="BX73" s="12">
        <f t="array" ref="BX73">INDEX(BW:BW,MIN(IF(ISNUMBER(BW73:BW269),ROW(BW73:BW269),"")))</f>
        <v>16.399999999999999</v>
      </c>
      <c r="BY73" s="12">
        <f>IF('Données projet'!$A$114&gt;35,BY72+BX73-CG72,IF(A73&lt;'Données projet'!$A$114,$BV$205^A73,IF(A73='Données projet'!$A$114,'Données projet'!$B$114,BY72+BX73-CG72)))</f>
        <v>649</v>
      </c>
      <c r="BZ73" s="13">
        <f>BY73*VLOOKUP('Données projet'!$B$12,Paramètres!$A$1:$I$89,3,0)*VLOOKUP('Données projet'!$B$12,Paramètres!$A$1:$I$89,5,0)</f>
        <v>320.60599999999999</v>
      </c>
      <c r="CA73" s="13">
        <f t="shared" si="93"/>
        <v>75.479429860804373</v>
      </c>
      <c r="CB73" s="20">
        <f t="shared" si="64"/>
        <v>689.8487903409009</v>
      </c>
      <c r="CC73" s="59">
        <f t="shared" si="65"/>
        <v>983.18212367423416</v>
      </c>
      <c r="CD73" s="59">
        <f ca="1">AVERAGE(OFFSET($CC$3,0,0,'Données projet'!$E$12+1,1))-AVERAGE(OFFSET($H$3,0,0,'Données projet'!$E$12+1,1))</f>
        <v>322.06606384496587</v>
      </c>
      <c r="CE73" s="59">
        <f t="shared" si="94"/>
        <v>267.71713177624713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43</v>
      </c>
      <c r="CH73" s="16">
        <f>IF(ISNA(VLOOKUP(A73,'Données projet'!$A$113:$I$133,5,0)),0%,VLOOKUP(A73,'Données projet'!$A$113:$I$133,5,0)*VLOOKUP('Données projet'!$B$12,Paramètres!$A$1:$I$89,7,0))</f>
        <v>0.55000000000000004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107.08817100914737</v>
      </c>
      <c r="CL73" s="21">
        <f>EXP(-LN(2)/25)*CL72+(1-EXP(-LN(2)/25))/(LN(2)/25)*Calculateur!CG73*Calculateur!CI73*VLOOKUP('Données projet'!$B$12,Paramètres!$A$1:$I$89,3,0)*0.475*44/12</f>
        <v>6.6320023381533044</v>
      </c>
      <c r="CM73" s="21">
        <f>EXP(-LN(2)/2)*CM72+(1-EXP(-LN(2)/2))/(LN(2)/2)*CG73*CJ73*VLOOKUP('Données projet'!$B$12,Paramètres!$A$1:$I$89,3,0)*0.475*44/12</f>
        <v>3.7717906276411006E-6</v>
      </c>
      <c r="CN73" s="22">
        <f t="shared" si="66"/>
        <v>113.7201771190913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401</v>
      </c>
      <c r="CU73" s="17">
        <f>CT73*VLOOKUP('Données projet'!$B$13,Paramètres!$A$1:$I$89,3,0)*VLOOKUP('Données projet'!$B$13,Paramètres!$A$1:$I$89,5,0)</f>
        <v>250.22399999999999</v>
      </c>
      <c r="CV73" s="13">
        <f t="shared" si="95"/>
        <v>60.633904580527918</v>
      </c>
      <c r="CW73" s="20">
        <f t="shared" si="67"/>
        <v>541.41085047775289</v>
      </c>
      <c r="CX73" s="59">
        <f t="shared" si="68"/>
        <v>834.74418381108626</v>
      </c>
      <c r="CY73" s="59">
        <f ca="1">AVERAGE(OFFSET($CX$3,0,0,'Données projet'!$E$13+1,1))-AVERAGE(OFFSET($H$3,0,0,'Données projet'!$E$13+1,1))</f>
        <v>269.77739619445515</v>
      </c>
      <c r="CZ73" s="59">
        <f t="shared" si="96"/>
        <v>347.56964743629885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62.819929510464682</v>
      </c>
      <c r="DG73" s="21">
        <f>EXP(-LN(2)/25)*DG72+(1-EXP(-LN(2)/25))/(LN(2)/25)*Calculateur!DB73*Calculateur!DD73*VLOOKUP('Données projet'!$B$13,Paramètres!$A$1:$I$89,3,0)*0.475*44/12</f>
        <v>30.263637011157197</v>
      </c>
      <c r="DH73" s="21">
        <f>EXP(-LN(2)/2)*DH72+(1-EXP(-LN(2)/2))/(LN(2)/2)*DB73*DE73*VLOOKUP('Données projet'!$B$13,Paramètres!$A$1:$I$89,3,0)*0.475*44/12</f>
        <v>2.3687692667948584E-8</v>
      </c>
      <c r="DI73" s="22">
        <f t="shared" si="69"/>
        <v>93.083566545309566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649</v>
      </c>
      <c r="DM73" s="12">
        <f>VLOOKUP(A73,'Données projet'!$A$165:$I$185,9,0)</f>
        <v>16.399999999999999</v>
      </c>
      <c r="DN73" s="12">
        <f t="array" ref="DN73">INDEX(DM:DM,MIN(IF(ISNUMBER(DM73:DM269),ROW(DM73:DM269),"")))</f>
        <v>16.399999999999999</v>
      </c>
      <c r="DO73" s="12">
        <f>IF('Données projet'!$A$166&gt;35,DO72+DN73-DW72,IF(A73&lt;'Données projet'!$A$166,$DL$205^A73,IF(A73='Données projet'!$A$166,'Données projet'!$B$166,DO72+DN73-DW72)))</f>
        <v>649</v>
      </c>
      <c r="DP73" s="17">
        <f>DO73*VLOOKUP('Données projet'!$B$14,Paramètres!$A$1:$I$89,3,0)*VLOOKUP('Données projet'!$B$14,Paramètres!$A$1:$I$89,5,0)</f>
        <v>312.16899999999998</v>
      </c>
      <c r="DQ73" s="13">
        <f t="shared" si="97"/>
        <v>73.721619722489621</v>
      </c>
      <c r="DR73" s="20">
        <f t="shared" si="70"/>
        <v>672.09282935000272</v>
      </c>
      <c r="DS73" s="59">
        <f t="shared" si="71"/>
        <v>965.42616268333609</v>
      </c>
      <c r="DT73" s="59">
        <f ca="1">AVERAGE(OFFSET($DS$3,0,0,'Données projet'!$E$14+1,1))-AVERAGE(OFFSET($H$3,0,0,'Données projet'!$E$14+1,1))</f>
        <v>312.64506496298173</v>
      </c>
      <c r="DU73" s="59">
        <f t="shared" si="98"/>
        <v>259.97532509897508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43</v>
      </c>
      <c r="DX73" s="16">
        <f>IF(ISNA(VLOOKUP(A73,'Données projet'!$A$165:$I$185,5,0)),0%,VLOOKUP(A73,'Données projet'!$A$165:$I$185,5,0)*VLOOKUP('Données projet'!$B$14,Paramètres!$A$1:$I$89,7,0))</f>
        <v>0.55000000000000004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104.27006124574878</v>
      </c>
      <c r="EB73" s="21">
        <f>EXP(-LN(2)/25)*EB72+(1-EXP(-LN(2)/25))/(LN(2)/25)*Calculateur!DW73*Calculateur!DY73*VLOOKUP('Données projet'!$B$14,Paramètres!$A$1:$I$89,3,0)*0.475*44/12</f>
        <v>6.4574759608334826</v>
      </c>
      <c r="EC73" s="21">
        <f>EXP(-LN(2)/2)*EC72+(1-EXP(-LN(2)/2))/(LN(2)/2)*DW73*DZ73*VLOOKUP('Données projet'!$B$14,Paramètres!$A$1:$I$89,3,0)*0.475*44/12</f>
        <v>3.6725329795452684E-6</v>
      </c>
      <c r="ED73" s="22">
        <f t="shared" si="72"/>
        <v>110.72754087911524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242</v>
      </c>
      <c r="EH73" s="12">
        <f>VLOOKUP(A73,'Données projet'!$A$191:$I$211,9,0)</f>
        <v>6.8</v>
      </c>
      <c r="EI73" s="12">
        <f t="array" ref="EI73">INDEX(EH:EH,MIN(IF(ISNUMBER(EH73:EH269),ROW(EH73:EH269),"")))</f>
        <v>6.8</v>
      </c>
      <c r="EJ73" s="12">
        <f>IF('Données projet'!$A$192&gt;35,EJ72+EI73-ER72,IF(A73&lt;'Données projet'!$A$192,$EG$205^A73,IF(A73='Données projet'!$A$192,'Données projet'!$B$192,EJ72+EI73-ER72)))</f>
        <v>241.99999999999997</v>
      </c>
      <c r="EK73" s="17">
        <f>EJ73*VLOOKUP('Données projet'!$B$15,Paramètres!$A$1:$I$89,3,0)*VLOOKUP('Données projet'!$B$15,Paramètres!$A$1:$I$89,5,0)</f>
        <v>218.96159999999998</v>
      </c>
      <c r="EL73" s="13">
        <f t="shared" si="99"/>
        <v>53.88913250370743</v>
      </c>
      <c r="EM73" s="20">
        <f t="shared" si="73"/>
        <v>475.21502577729035</v>
      </c>
      <c r="EN73" s="59">
        <f t="shared" si="74"/>
        <v>768.54835911062366</v>
      </c>
      <c r="EO73" s="59">
        <f ca="1">AVERAGE(OFFSET($EN$3,0,0,'Données projet'!$E$15+1,1))-AVERAGE(OFFSET($H$3,0,0,'Données projet'!$E$15+1,1))</f>
        <v>269.64423257646359</v>
      </c>
      <c r="EP73" s="59">
        <f t="shared" si="100"/>
        <v>161.0819079811821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21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52.418159756678804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52.418159756678804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327</v>
      </c>
      <c r="FC73" s="12">
        <f>VLOOKUP(A73,'Données projet'!$A$217:$I$237,9,0)</f>
        <v>9</v>
      </c>
      <c r="FD73" s="12">
        <f t="array" ref="FD73">INDEX(FC:FC,MIN(IF(ISNUMBER(FC73:FC269),ROW(FC73:FC269),"")))</f>
        <v>9</v>
      </c>
      <c r="FE73" s="12">
        <f>IF('Données projet'!$A$218&gt;35,FE72+FD73-FM72,IF(A73&lt;'Données projet'!$A$218,$FB$205^A73,IF(A73='Données projet'!$A$218,'Données projet'!$B$218,FE72+FD73-FM72)))</f>
        <v>327.00000000000017</v>
      </c>
      <c r="FF73" s="17">
        <f>FE73*VLOOKUP('Données projet'!$B$16,Paramètres!$A$1:$I$89,3,0)*VLOOKUP('Données projet'!$B$16,Paramètres!$A$1:$I$89,5,0)</f>
        <v>255.06000000000014</v>
      </c>
      <c r="FG73" s="13">
        <f t="shared" si="101"/>
        <v>61.668196852621989</v>
      </c>
      <c r="FH73" s="20">
        <f t="shared" si="76"/>
        <v>551.63494285165018</v>
      </c>
      <c r="FI73" s="59">
        <f t="shared" si="77"/>
        <v>844.96827618498355</v>
      </c>
      <c r="FJ73" s="59">
        <f ca="1">AVERAGE(OFFSET($FI$3,0,0,'Données projet'!$E$16+1,1))-AVERAGE(OFFSET($H$3,0,0,'Données projet'!$E$16+1,1))</f>
        <v>283.77864672734273</v>
      </c>
      <c r="FK73" s="59">
        <f t="shared" si="102"/>
        <v>270.94620935643866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32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73.980694546063333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73.980694546063333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316</v>
      </c>
      <c r="FX73" s="12">
        <f>VLOOKUP(A73,'Données projet'!$A$243:$I$263,9,0)</f>
        <v>4.5999999999999996</v>
      </c>
      <c r="FY73" s="12">
        <f t="array" ref="FY73">INDEX(FX:FX,MIN(IF(ISNUMBER(FX73:FX269),ROW(FX73:FX269),"")))</f>
        <v>4.5999999999999996</v>
      </c>
      <c r="FZ73" s="12">
        <f>IF('Données projet'!$A$244&gt;35,FZ72+FY73-GH72,IF(A73&lt;'Données projet'!$A$244,$FW$205^A73,IF(A73='Données projet'!$A$244,'Données projet'!$B$244,FZ72+FY73-GH72)))</f>
        <v>315.99999999999994</v>
      </c>
      <c r="GA73" s="17">
        <f>FZ73*VLOOKUP('Données projet'!$B$17,Paramètres!$A$1:$I$89,3,0)*VLOOKUP('Données projet'!$B$17,Paramètres!$A$1:$I$89,5,0)</f>
        <v>305.63519999999994</v>
      </c>
      <c r="GB73" s="13">
        <f t="shared" si="103"/>
        <v>72.356535294517812</v>
      </c>
      <c r="GC73" s="20">
        <f t="shared" si="79"/>
        <v>658.33560563795174</v>
      </c>
      <c r="GD73" s="59">
        <f t="shared" si="80"/>
        <v>951.66893897128512</v>
      </c>
      <c r="GE73" s="59">
        <f ca="1">AVERAGE(OFFSET($GD$3,0,0,'Données projet'!$E$17+1,1))-AVERAGE(OFFSET($H$3,0,0,'Données projet'!$E$17+1,1))</f>
        <v>347.54503437087288</v>
      </c>
      <c r="GF73" s="59">
        <f t="shared" si="104"/>
        <v>340.05673244455954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13</v>
      </c>
      <c r="GI73" s="16">
        <f>IF(ISNA(VLOOKUP(A73,'Données projet'!$A$243:$I$263,5,0)),0%,VLOOKUP(A73,'Données projet'!$A$243:$I$263,5,0)*VLOOKUP('Données projet'!$B$17,Paramètres!$A$1:$I$89,7,0))</f>
        <v>0.43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51.669213781351417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51.669213781351417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15.8</v>
      </c>
      <c r="N74" s="13">
        <f>IF('Données projet'!$A$36&gt;35,N73+M74-V73,IF(A74&lt;'Données projet'!$A$36,$K$205^A74,IF(A74='Données projet'!$A$36,'Données projet'!$B$36,N73+M74-V73)))</f>
        <v>682.80000000000018</v>
      </c>
      <c r="O74" s="13">
        <f>N74*VLOOKUP('Données projet'!$B$9,Paramètres!$A$1:$I$89,3,0)*VLOOKUP('Données projet'!$B$9,Paramètres!$A$1:$I$89,5,0)</f>
        <v>319.55040000000008</v>
      </c>
      <c r="P74" s="13">
        <f t="shared" si="87"/>
        <v>75.259797985579624</v>
      </c>
      <c r="Q74" s="20">
        <f t="shared" si="54"/>
        <v>687.62776149155127</v>
      </c>
      <c r="R74" s="59">
        <f t="shared" si="55"/>
        <v>980.96109482488464</v>
      </c>
      <c r="S74" s="59">
        <f ca="1">AVERAGE(OFFSET($R$3,0,0,'Données projet'!$E$9+1,1))-AVERAGE(OFFSET($H$3,0,0,'Données projet'!$E$9+1,1))</f>
        <v>342.49944586217674</v>
      </c>
      <c r="T74" s="59">
        <f t="shared" si="88"/>
        <v>282.29766600872563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108.33094521936312</v>
      </c>
      <c r="AA74" s="21">
        <f>EXP(-LN(2)/25)*AA73+(1-EXP(-LN(2)/25))/(LN(2)/25)*Calculateur!V74*Calculateur!X74*VLOOKUP('Données projet'!$B$9,Paramètres!$A$1:$I$89,3,0)*0.475*44/12</f>
        <v>12.860100117446398</v>
      </c>
      <c r="AB74" s="21">
        <f>EXP(-LN(2)/2)*AB73+(1-EXP(-LN(2)/2))/(LN(2)/2)*V74*Y74*VLOOKUP('Données projet'!$B$9,Paramètres!$A$1:$I$89,3,0)*0.475*44/12</f>
        <v>5.5832427053897733E-8</v>
      </c>
      <c r="AC74" s="22">
        <f t="shared" si="57"/>
        <v>121.19104539264194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739.99999999999966</v>
      </c>
      <c r="AJ74" s="13">
        <f>AI74*VLOOKUP('Données projet'!$B$10,Paramètres!$A$1:$I$89,3,0)*VLOOKUP('Données projet'!$B$10,Paramètres!$A$1:$I$89,5,0)</f>
        <v>413.65999999999985</v>
      </c>
      <c r="AK74" s="13">
        <f t="shared" si="89"/>
        <v>94.540585122244352</v>
      </c>
      <c r="AL74" s="20">
        <f t="shared" si="58"/>
        <v>885.11601908790863</v>
      </c>
      <c r="AM74" s="59">
        <f t="shared" si="59"/>
        <v>1178.4493524212419</v>
      </c>
      <c r="AN74" s="59">
        <f ca="1">AVERAGE(OFFSET($AM$3,0,0,'Données projet'!$E$10+1,1))-AVERAGE(OFFSET($H$3,0,0,'Données projet'!$E$10+1,1))</f>
        <v>490.96084572840579</v>
      </c>
      <c r="AO74" s="59">
        <f t="shared" si="90"/>
        <v>597.91658789908263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99.321613259097504</v>
      </c>
      <c r="AV74" s="21">
        <f>EXP(-LN(2)/25)*AV73+(1-EXP(-LN(2)/25))/(LN(2)/25)*Calculateur!AQ74*Calculateur!AS74*VLOOKUP('Données projet'!$B$10,Paramètres!$A$1:$I$89,3,0)*0.475*44/12</f>
        <v>18.539617780330726</v>
      </c>
      <c r="AW74" s="21">
        <f>EXP(-LN(2)/2)*AW73+(1-EXP(-LN(2)/2))/(LN(2)/2)*AQ74*AT74*VLOOKUP('Données projet'!$B$10,Paramètres!$A$1:$I$89,3,0)*0.475*44/12</f>
        <v>5.7352309790364929E-7</v>
      </c>
      <c r="AX74" s="21">
        <f t="shared" si="60"/>
        <v>117.86123161295133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2.6</v>
      </c>
      <c r="BD74" s="12">
        <f>IF('Données projet'!$A$88&gt;35,BD73+BC74-BL73,IF(A74&lt;'Données projet'!$A$88,$BA$205^A74,IF(A74='Données projet'!$A$88,'Données projet'!$B$88,BD73+BC74-BL73)))</f>
        <v>203.60000000000002</v>
      </c>
      <c r="BE74" s="13">
        <f>BD74*VLOOKUP('Données projet'!$B$11,Paramètres!$A$1:$I$89,3,0)*VLOOKUP('Données projet'!$B$11,Paramètres!$A$1:$I$89,5,0)</f>
        <v>161.98416000000003</v>
      </c>
      <c r="BF74" s="13">
        <f t="shared" si="91"/>
        <v>41.289726712501803</v>
      </c>
      <c r="BG74" s="20">
        <f t="shared" si="61"/>
        <v>354.03535269094073</v>
      </c>
      <c r="BH74" s="59">
        <f t="shared" si="62"/>
        <v>647.36868602427398</v>
      </c>
      <c r="BI74" s="59">
        <f ca="1">AVERAGE(OFFSET($BH$3,0,0,'Données projet'!$E$11+1,1))-AVERAGE(OFFSET($H$3,0,0,'Données projet'!$E$11+1,1))</f>
        <v>167.80254365106839</v>
      </c>
      <c r="BJ74" s="59">
        <f t="shared" si="92"/>
        <v>167.42302164950172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33.184738180181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33.184738180181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15</v>
      </c>
      <c r="BY74" s="12">
        <f>IF('Données projet'!$A$114&gt;35,BY73+BX74-CG73,IF(A74&lt;'Données projet'!$A$114,$BV$205^A74,IF(A74='Données projet'!$A$114,'Données projet'!$B$114,BY73+BX74-CG73)))</f>
        <v>621</v>
      </c>
      <c r="BZ74" s="13">
        <f>BY74*VLOOKUP('Données projet'!$B$12,Paramètres!$A$1:$I$89,3,0)*VLOOKUP('Données projet'!$B$12,Paramètres!$A$1:$I$89,5,0)</f>
        <v>306.774</v>
      </c>
      <c r="CA74" s="13">
        <f t="shared" si="93"/>
        <v>72.594703343999058</v>
      </c>
      <c r="CB74" s="20">
        <f t="shared" si="64"/>
        <v>660.73382499079833</v>
      </c>
      <c r="CC74" s="59">
        <f t="shared" si="65"/>
        <v>954.0671583241317</v>
      </c>
      <c r="CD74" s="59">
        <f ca="1">AVERAGE(OFFSET($CC$3,0,0,'Données projet'!$E$12+1,1))-AVERAGE(OFFSET($H$3,0,0,'Données projet'!$E$12+1,1))</f>
        <v>322.06606384496587</v>
      </c>
      <c r="CE74" s="59">
        <f t="shared" si="94"/>
        <v>267.71713177624713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104.98823729299276</v>
      </c>
      <c r="CL74" s="21">
        <f>EXP(-LN(2)/25)*CL73+(1-EXP(-LN(2)/25))/(LN(2)/25)*Calculateur!CG74*Calculateur!CI74*VLOOKUP('Données projet'!$B$12,Paramètres!$A$1:$I$89,3,0)*0.475*44/12</f>
        <v>6.4506498854546566</v>
      </c>
      <c r="CM74" s="21">
        <f>EXP(-LN(2)/2)*CM73+(1-EXP(-LN(2)/2))/(LN(2)/2)*CG74*CJ74*VLOOKUP('Données projet'!$B$12,Paramètres!$A$1:$I$89,3,0)*0.475*44/12</f>
        <v>2.6670587300208868E-6</v>
      </c>
      <c r="CN74" s="22">
        <f t="shared" si="66"/>
        <v>111.43888984550614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401</v>
      </c>
      <c r="CU74" s="17">
        <f>CT74*VLOOKUP('Données projet'!$B$13,Paramètres!$A$1:$I$89,3,0)*VLOOKUP('Données projet'!$B$13,Paramètres!$A$1:$I$89,5,0)</f>
        <v>250.22399999999999</v>
      </c>
      <c r="CV74" s="13">
        <f t="shared" si="95"/>
        <v>60.633904580527918</v>
      </c>
      <c r="CW74" s="20">
        <f t="shared" si="67"/>
        <v>541.41085047775289</v>
      </c>
      <c r="CX74" s="59">
        <f t="shared" si="68"/>
        <v>834.74418381108626</v>
      </c>
      <c r="CY74" s="59">
        <f ca="1">AVERAGE(OFFSET($CX$3,0,0,'Données projet'!$E$13+1,1))-AVERAGE(OFFSET($H$3,0,0,'Données projet'!$E$13+1,1))</f>
        <v>269.77739619445515</v>
      </c>
      <c r="CZ74" s="59">
        <f t="shared" si="96"/>
        <v>347.56964743629885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61.588069009138046</v>
      </c>
      <c r="DG74" s="21">
        <f>EXP(-LN(2)/25)*DG73+(1-EXP(-LN(2)/25))/(LN(2)/25)*Calculateur!DB74*Calculateur!DD74*VLOOKUP('Données projet'!$B$13,Paramètres!$A$1:$I$89,3,0)*0.475*44/12</f>
        <v>29.436076265591602</v>
      </c>
      <c r="DH74" s="21">
        <f>EXP(-LN(2)/2)*DH73+(1-EXP(-LN(2)/2))/(LN(2)/2)*DB74*DE74*VLOOKUP('Données projet'!$B$13,Paramètres!$A$1:$I$89,3,0)*0.475*44/12</f>
        <v>1.6749728116169305E-8</v>
      </c>
      <c r="DI74" s="22">
        <f t="shared" si="69"/>
        <v>91.024145291479371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15</v>
      </c>
      <c r="DO74" s="12">
        <f>IF('Données projet'!$A$166&gt;35,DO73+DN74-DW73,IF(A74&lt;'Données projet'!$A$166,$DL$205^A74,IF(A74='Données projet'!$A$166,'Données projet'!$B$166,DO73+DN74-DW73)))</f>
        <v>621</v>
      </c>
      <c r="DP74" s="17">
        <f>DO74*VLOOKUP('Données projet'!$B$14,Paramètres!$A$1:$I$89,3,0)*VLOOKUP('Données projet'!$B$14,Paramètres!$A$1:$I$89,5,0)</f>
        <v>298.70100000000002</v>
      </c>
      <c r="DQ74" s="13">
        <f t="shared" si="97"/>
        <v>70.90407444336536</v>
      </c>
      <c r="DR74" s="20">
        <f t="shared" si="70"/>
        <v>643.7288379888613</v>
      </c>
      <c r="DS74" s="59">
        <f t="shared" si="71"/>
        <v>937.06217132219467</v>
      </c>
      <c r="DT74" s="59">
        <f ca="1">AVERAGE(OFFSET($DS$3,0,0,'Données projet'!$E$14+1,1))-AVERAGE(OFFSET($H$3,0,0,'Données projet'!$E$14+1,1))</f>
        <v>312.64506496298173</v>
      </c>
      <c r="DU74" s="59">
        <f t="shared" si="98"/>
        <v>259.97532509897508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102.22538894317718</v>
      </c>
      <c r="EB74" s="21">
        <f>EXP(-LN(2)/25)*EB73+(1-EXP(-LN(2)/25))/(LN(2)/25)*Calculateur!DW74*Calculateur!DY74*VLOOKUP('Données projet'!$B$14,Paramètres!$A$1:$I$89,3,0)*0.475*44/12</f>
        <v>6.2808959411005887</v>
      </c>
      <c r="EC74" s="21">
        <f>EXP(-LN(2)/2)*EC73+(1-EXP(-LN(2)/2))/(LN(2)/2)*DW74*DZ74*VLOOKUP('Données projet'!$B$14,Paramètres!$A$1:$I$89,3,0)*0.475*44/12</f>
        <v>2.5968729739676955E-6</v>
      </c>
      <c r="ED74" s="22">
        <f t="shared" si="72"/>
        <v>108.50628748115074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6.2</v>
      </c>
      <c r="EJ74" s="12">
        <f>IF('Données projet'!$A$192&gt;35,EJ73+EI74-ER73,IF(A74&lt;'Données projet'!$A$192,$EG$205^A74,IF(A74='Données projet'!$A$192,'Données projet'!$B$192,EJ73+EI74-ER73)))</f>
        <v>227.19999999999996</v>
      </c>
      <c r="EK74" s="17">
        <f>EJ74*VLOOKUP('Données projet'!$B$15,Paramètres!$A$1:$I$89,3,0)*VLOOKUP('Données projet'!$B$15,Paramètres!$A$1:$I$89,5,0)</f>
        <v>205.57055999999997</v>
      </c>
      <c r="EL74" s="13">
        <f t="shared" si="99"/>
        <v>50.966443946767392</v>
      </c>
      <c r="EM74" s="20">
        <f t="shared" si="73"/>
        <v>446.80194854061978</v>
      </c>
      <c r="EN74" s="59">
        <f t="shared" si="74"/>
        <v>740.13528187395309</v>
      </c>
      <c r="EO74" s="59">
        <f ca="1">AVERAGE(OFFSET($EN$3,0,0,'Données projet'!$E$15+1,1))-AVERAGE(OFFSET($H$3,0,0,'Données projet'!$E$15+1,1))</f>
        <v>269.64423257646359</v>
      </c>
      <c r="EP74" s="59">
        <f t="shared" si="100"/>
        <v>161.0819079811821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51.390271615770821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51.390271615770821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9</v>
      </c>
      <c r="FE74" s="12">
        <f>IF('Données projet'!$A$218&gt;35,FE73+FD74-FM73,IF(A74&lt;'Données projet'!$A$218,$FB$205^A74,IF(A74='Données projet'!$A$218,'Données projet'!$B$218,FE73+FD74-FM73)))</f>
        <v>304.00000000000017</v>
      </c>
      <c r="FF74" s="17">
        <f>FE74*VLOOKUP('Données projet'!$B$16,Paramètres!$A$1:$I$89,3,0)*VLOOKUP('Données projet'!$B$16,Paramètres!$A$1:$I$89,5,0)</f>
        <v>237.12000000000015</v>
      </c>
      <c r="FG74" s="13">
        <f t="shared" si="101"/>
        <v>57.819449746919268</v>
      </c>
      <c r="FH74" s="20">
        <f t="shared" si="76"/>
        <v>513.68620830921793</v>
      </c>
      <c r="FI74" s="59">
        <f t="shared" si="77"/>
        <v>807.0195416425513</v>
      </c>
      <c r="FJ74" s="59">
        <f ca="1">AVERAGE(OFFSET($FI$3,0,0,'Données projet'!$E$16+1,1))-AVERAGE(OFFSET($H$3,0,0,'Données projet'!$E$16+1,1))</f>
        <v>283.77864672734273</v>
      </c>
      <c r="FK74" s="59">
        <f t="shared" si="102"/>
        <v>270.94620935643866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72.529978249783099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72.529978249783099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4.2</v>
      </c>
      <c r="FZ74" s="12">
        <f>IF('Données projet'!$A$244&gt;35,FZ73+FY74-GH73,IF(A74&lt;'Données projet'!$A$244,$FW$205^A74,IF(A74='Données projet'!$A$244,'Données projet'!$B$244,FZ73+FY74-GH73)))</f>
        <v>307.19999999999993</v>
      </c>
      <c r="GA74" s="17">
        <f>FZ74*VLOOKUP('Données projet'!$B$17,Paramètres!$A$1:$I$89,3,0)*VLOOKUP('Données projet'!$B$17,Paramètres!$A$1:$I$89,5,0)</f>
        <v>297.12383999999997</v>
      </c>
      <c r="GB74" s="13">
        <f t="shared" si="103"/>
        <v>70.573172225675918</v>
      </c>
      <c r="GC74" s="20">
        <f t="shared" si="79"/>
        <v>640.40562962638558</v>
      </c>
      <c r="GD74" s="59">
        <f t="shared" si="80"/>
        <v>933.73896295971895</v>
      </c>
      <c r="GE74" s="59">
        <f ca="1">AVERAGE(OFFSET($GD$3,0,0,'Données projet'!$E$17+1,1))-AVERAGE(OFFSET($H$3,0,0,'Données projet'!$E$17+1,1))</f>
        <v>347.54503437087288</v>
      </c>
      <c r="GF74" s="59">
        <f t="shared" si="104"/>
        <v>340.05673244455954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50.656012014207661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50.656012014207661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15.8</v>
      </c>
      <c r="N75" s="13">
        <f>IF('Données projet'!$A$36&gt;35,N74+M75-V74,IF(A75&lt;'Données projet'!$A$36,$K$205^A75,IF(A75='Données projet'!$A$36,'Données projet'!$B$36,N74+M75-V74)))</f>
        <v>698.60000000000014</v>
      </c>
      <c r="O75" s="13">
        <f>N75*VLOOKUP('Données projet'!$B$9,Paramètres!$A$1:$I$89,3,0)*VLOOKUP('Données projet'!$B$9,Paramètres!$A$1:$I$89,5,0)</f>
        <v>326.94480000000004</v>
      </c>
      <c r="P75" s="13">
        <f t="shared" si="87"/>
        <v>76.796543777878767</v>
      </c>
      <c r="Q75" s="20">
        <f t="shared" si="54"/>
        <v>703.18284041313893</v>
      </c>
      <c r="R75" s="59">
        <f t="shared" si="55"/>
        <v>996.5161737464723</v>
      </c>
      <c r="S75" s="59">
        <f ca="1">AVERAGE(OFFSET($R$3,0,0,'Données projet'!$E$9+1,1))-AVERAGE(OFFSET($H$3,0,0,'Données projet'!$E$9+1,1))</f>
        <v>342.49944586217674</v>
      </c>
      <c r="T75" s="59">
        <f t="shared" si="88"/>
        <v>282.29766600872563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106.20664145896359</v>
      </c>
      <c r="AA75" s="21">
        <f>EXP(-LN(2)/25)*AA74+(1-EXP(-LN(2)/25))/(LN(2)/25)*Calculateur!V75*Calculateur!X75*VLOOKUP('Données projet'!$B$9,Paramètres!$A$1:$I$89,3,0)*0.475*44/12</f>
        <v>12.508440003451554</v>
      </c>
      <c r="AB75" s="21">
        <f>EXP(-LN(2)/2)*AB74+(1-EXP(-LN(2)/2))/(LN(2)/2)*V75*Y75*VLOOKUP('Données projet'!$B$9,Paramètres!$A$1:$I$89,3,0)*0.475*44/12</f>
        <v>3.947948777991434E-8</v>
      </c>
      <c r="AC75" s="22">
        <f t="shared" si="57"/>
        <v>118.71508150189463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739.99999999999966</v>
      </c>
      <c r="AJ75" s="13">
        <f>AI75*VLOOKUP('Données projet'!$B$10,Paramètres!$A$1:$I$89,3,0)*VLOOKUP('Données projet'!$B$10,Paramètres!$A$1:$I$89,5,0)</f>
        <v>413.65999999999985</v>
      </c>
      <c r="AK75" s="13">
        <f t="shared" si="89"/>
        <v>94.540585122244352</v>
      </c>
      <c r="AL75" s="20">
        <f t="shared" si="58"/>
        <v>885.11601908790863</v>
      </c>
      <c r="AM75" s="59">
        <f t="shared" si="59"/>
        <v>1178.4493524212419</v>
      </c>
      <c r="AN75" s="59">
        <f ca="1">AVERAGE(OFFSET($AM$3,0,0,'Données projet'!$E$10+1,1))-AVERAGE(OFFSET($H$3,0,0,'Données projet'!$E$10+1,1))</f>
        <v>490.96084572840579</v>
      </c>
      <c r="AO75" s="59">
        <f t="shared" si="90"/>
        <v>597.91658789908263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97.373977003288886</v>
      </c>
      <c r="AV75" s="21">
        <f>EXP(-LN(2)/25)*AV74+(1-EXP(-LN(2)/25))/(LN(2)/25)*Calculateur!AQ75*Calculateur!AS75*VLOOKUP('Données projet'!$B$10,Paramètres!$A$1:$I$89,3,0)*0.475*44/12</f>
        <v>18.032650957171455</v>
      </c>
      <c r="AW75" s="21">
        <f>EXP(-LN(2)/2)*AW74+(1-EXP(-LN(2)/2))/(LN(2)/2)*AQ75*AT75*VLOOKUP('Données projet'!$B$10,Paramètres!$A$1:$I$89,3,0)*0.475*44/12</f>
        <v>4.0554207169478662E-7</v>
      </c>
      <c r="AX75" s="21">
        <f t="shared" si="60"/>
        <v>115.40662836600241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2.6</v>
      </c>
      <c r="BD75" s="12">
        <f>IF('Données projet'!$A$88&gt;35,BD74+BC75-BL74,IF(A75&lt;'Données projet'!$A$88,$BA$205^A75,IF(A75='Données projet'!$A$88,'Données projet'!$B$88,BD74+BC75-BL74)))</f>
        <v>206.20000000000002</v>
      </c>
      <c r="BE75" s="13">
        <f>BD75*VLOOKUP('Données projet'!$B$11,Paramètres!$A$1:$I$89,3,0)*VLOOKUP('Données projet'!$B$11,Paramètres!$A$1:$I$89,5,0)</f>
        <v>164.05272000000002</v>
      </c>
      <c r="BF75" s="13">
        <f t="shared" si="91"/>
        <v>41.755282701020434</v>
      </c>
      <c r="BG75" s="20">
        <f t="shared" si="61"/>
        <v>358.44893803761056</v>
      </c>
      <c r="BH75" s="59">
        <f t="shared" si="62"/>
        <v>651.78227137094382</v>
      </c>
      <c r="BI75" s="59">
        <f ca="1">AVERAGE(OFFSET($BH$3,0,0,'Données projet'!$E$11+1,1))-AVERAGE(OFFSET($H$3,0,0,'Données projet'!$E$11+1,1))</f>
        <v>167.80254365106839</v>
      </c>
      <c r="BJ75" s="59">
        <f t="shared" si="92"/>
        <v>167.42302164950172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32.534005705159338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32.534005705159338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15</v>
      </c>
      <c r="BY75" s="12">
        <f>IF('Données projet'!$A$114&gt;35,BY74+BX75-CG74,IF(A75&lt;'Données projet'!$A$114,$BV$205^A75,IF(A75='Données projet'!$A$114,'Données projet'!$B$114,BY74+BX75-CG74)))</f>
        <v>636</v>
      </c>
      <c r="BZ75" s="13">
        <f>BY75*VLOOKUP('Données projet'!$B$12,Paramètres!$A$1:$I$89,3,0)*VLOOKUP('Données projet'!$B$12,Paramètres!$A$1:$I$89,5,0)</f>
        <v>314.18400000000003</v>
      </c>
      <c r="CA75" s="13">
        <f t="shared" si="93"/>
        <v>74.141932953112459</v>
      </c>
      <c r="CB75" s="20">
        <f t="shared" si="64"/>
        <v>676.33433322667088</v>
      </c>
      <c r="CC75" s="59">
        <f t="shared" si="65"/>
        <v>969.66766656000414</v>
      </c>
      <c r="CD75" s="59">
        <f ca="1">AVERAGE(OFFSET($CC$3,0,0,'Données projet'!$E$12+1,1))-AVERAGE(OFFSET($H$3,0,0,'Données projet'!$E$12+1,1))</f>
        <v>322.06606384496587</v>
      </c>
      <c r="CE75" s="59">
        <f t="shared" si="94"/>
        <v>267.71713177624713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102.92948199617885</v>
      </c>
      <c r="CL75" s="21">
        <f>EXP(-LN(2)/25)*CL74+(1-EXP(-LN(2)/25))/(LN(2)/25)*Calculateur!CG75*Calculateur!CI75*VLOOKUP('Données projet'!$B$12,Paramètres!$A$1:$I$89,3,0)*0.475*44/12</f>
        <v>6.2742565251119649</v>
      </c>
      <c r="CM75" s="21">
        <f>EXP(-LN(2)/2)*CM74+(1-EXP(-LN(2)/2))/(LN(2)/2)*CG75*CJ75*VLOOKUP('Données projet'!$B$12,Paramètres!$A$1:$I$89,3,0)*0.475*44/12</f>
        <v>1.8858953138205507E-6</v>
      </c>
      <c r="CN75" s="22">
        <f t="shared" si="66"/>
        <v>109.20374040718613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401</v>
      </c>
      <c r="CU75" s="17">
        <f>CT75*VLOOKUP('Données projet'!$B$13,Paramètres!$A$1:$I$89,3,0)*VLOOKUP('Données projet'!$B$13,Paramètres!$A$1:$I$89,5,0)</f>
        <v>250.22399999999999</v>
      </c>
      <c r="CV75" s="13">
        <f t="shared" si="95"/>
        <v>60.633904580527918</v>
      </c>
      <c r="CW75" s="20">
        <f t="shared" si="67"/>
        <v>541.41085047775289</v>
      </c>
      <c r="CX75" s="59">
        <f t="shared" si="68"/>
        <v>834.74418381108626</v>
      </c>
      <c r="CY75" s="59">
        <f ca="1">AVERAGE(OFFSET($CX$3,0,0,'Données projet'!$E$13+1,1))-AVERAGE(OFFSET($H$3,0,0,'Données projet'!$E$13+1,1))</f>
        <v>269.77739619445515</v>
      </c>
      <c r="CZ75" s="59">
        <f t="shared" si="96"/>
        <v>347.56964743629885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60.380364540881708</v>
      </c>
      <c r="DG75" s="21">
        <f>EXP(-LN(2)/25)*DG74+(1-EXP(-LN(2)/25))/(LN(2)/25)*Calculateur!DB75*Calculateur!DD75*VLOOKUP('Données projet'!$B$13,Paramètres!$A$1:$I$89,3,0)*0.475*44/12</f>
        <v>28.631145212133024</v>
      </c>
      <c r="DH75" s="21">
        <f>EXP(-LN(2)/2)*DH74+(1-EXP(-LN(2)/2))/(LN(2)/2)*DB75*DE75*VLOOKUP('Données projet'!$B$13,Paramètres!$A$1:$I$89,3,0)*0.475*44/12</f>
        <v>1.1843846333974292E-8</v>
      </c>
      <c r="DI75" s="22">
        <f t="shared" si="69"/>
        <v>89.011509764858587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15</v>
      </c>
      <c r="DO75" s="12">
        <f>IF('Données projet'!$A$166&gt;35,DO74+DN75-DW74,IF(A75&lt;'Données projet'!$A$166,$DL$205^A75,IF(A75='Données projet'!$A$166,'Données projet'!$B$166,DO74+DN75-DW74)))</f>
        <v>636</v>
      </c>
      <c r="DP75" s="17">
        <f>DO75*VLOOKUP('Données projet'!$B$14,Paramètres!$A$1:$I$89,3,0)*VLOOKUP('Données projet'!$B$14,Paramètres!$A$1:$I$89,5,0)</f>
        <v>305.916</v>
      </c>
      <c r="DQ75" s="13">
        <f t="shared" si="97"/>
        <v>72.415271243298562</v>
      </c>
      <c r="DR75" s="20">
        <f t="shared" si="70"/>
        <v>658.92696408207837</v>
      </c>
      <c r="DS75" s="59">
        <f t="shared" si="71"/>
        <v>952.26029741541174</v>
      </c>
      <c r="DT75" s="59">
        <f ca="1">AVERAGE(OFFSET($DS$3,0,0,'Données projet'!$E$14+1,1))-AVERAGE(OFFSET($H$3,0,0,'Données projet'!$E$14+1,1))</f>
        <v>312.64506496298173</v>
      </c>
      <c r="DU75" s="59">
        <f t="shared" si="98"/>
        <v>259.97532509897508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100.22081141733204</v>
      </c>
      <c r="EB75" s="21">
        <f>EXP(-LN(2)/25)*EB74+(1-EXP(-LN(2)/25))/(LN(2)/25)*Calculateur!DW75*Calculateur!DY75*VLOOKUP('Données projet'!$B$14,Paramètres!$A$1:$I$89,3,0)*0.475*44/12</f>
        <v>6.1091445112932306</v>
      </c>
      <c r="EC75" s="21">
        <f>EXP(-LN(2)/2)*EC74+(1-EXP(-LN(2)/2))/(LN(2)/2)*DW75*DZ75*VLOOKUP('Données projet'!$B$14,Paramètres!$A$1:$I$89,3,0)*0.475*44/12</f>
        <v>1.8362664897726342E-6</v>
      </c>
      <c r="ED75" s="22">
        <f t="shared" si="72"/>
        <v>106.32995776489177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6.2</v>
      </c>
      <c r="EJ75" s="12">
        <f>IF('Données projet'!$A$192&gt;35,EJ74+EI75-ER74,IF(A75&lt;'Données projet'!$A$192,$EG$205^A75,IF(A75='Données projet'!$A$192,'Données projet'!$B$192,EJ74+EI75-ER74)))</f>
        <v>233.39999999999995</v>
      </c>
      <c r="EK75" s="17">
        <f>EJ75*VLOOKUP('Données projet'!$B$15,Paramètres!$A$1:$I$89,3,0)*VLOOKUP('Données projet'!$B$15,Paramètres!$A$1:$I$89,5,0)</f>
        <v>211.18031999999994</v>
      </c>
      <c r="EL75" s="13">
        <f t="shared" si="99"/>
        <v>52.193431117443019</v>
      </c>
      <c r="EM75" s="20">
        <f t="shared" si="73"/>
        <v>458.70928319621316</v>
      </c>
      <c r="EN75" s="59">
        <f t="shared" si="74"/>
        <v>752.04261652954642</v>
      </c>
      <c r="EO75" s="59">
        <f ca="1">AVERAGE(OFFSET($EN$3,0,0,'Données projet'!$E$15+1,1))-AVERAGE(OFFSET($H$3,0,0,'Données projet'!$E$15+1,1))</f>
        <v>269.64423257646359</v>
      </c>
      <c r="EP75" s="59">
        <f t="shared" si="100"/>
        <v>161.0819079811821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50.382539734356179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50.382539734356179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9</v>
      </c>
      <c r="FE75" s="12">
        <f>IF('Données projet'!$A$218&gt;35,FE74+FD75-FM74,IF(A75&lt;'Données projet'!$A$218,$FB$205^A75,IF(A75='Données projet'!$A$218,'Données projet'!$B$218,FE74+FD75-FM74)))</f>
        <v>313.00000000000017</v>
      </c>
      <c r="FF75" s="17">
        <f>FE75*VLOOKUP('Données projet'!$B$16,Paramètres!$A$1:$I$89,3,0)*VLOOKUP('Données projet'!$B$16,Paramètres!$A$1:$I$89,5,0)</f>
        <v>244.14000000000013</v>
      </c>
      <c r="FG75" s="13">
        <f t="shared" si="101"/>
        <v>59.329383078866108</v>
      </c>
      <c r="FH75" s="20">
        <f t="shared" si="76"/>
        <v>528.54250886235877</v>
      </c>
      <c r="FI75" s="59">
        <f t="shared" si="77"/>
        <v>821.87584219569203</v>
      </c>
      <c r="FJ75" s="59">
        <f ca="1">AVERAGE(OFFSET($FI$3,0,0,'Données projet'!$E$16+1,1))-AVERAGE(OFFSET($H$3,0,0,'Données projet'!$E$16+1,1))</f>
        <v>283.77864672734273</v>
      </c>
      <c r="FK75" s="59">
        <f t="shared" si="102"/>
        <v>270.94620935643866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71.107709615223357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71.107709615223357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4.2</v>
      </c>
      <c r="FZ75" s="12">
        <f>IF('Données projet'!$A$244&gt;35,FZ74+FY75-GH74,IF(A75&lt;'Données projet'!$A$244,$FW$205^A75,IF(A75='Données projet'!$A$244,'Données projet'!$B$244,FZ74+FY75-GH74)))</f>
        <v>311.39999999999992</v>
      </c>
      <c r="GA75" s="17">
        <f>FZ75*VLOOKUP('Données projet'!$B$17,Paramètres!$A$1:$I$89,3,0)*VLOOKUP('Données projet'!$B$17,Paramètres!$A$1:$I$89,5,0)</f>
        <v>301.18607999999995</v>
      </c>
      <c r="GB75" s="13">
        <f t="shared" si="103"/>
        <v>71.425054271756295</v>
      </c>
      <c r="GC75" s="20">
        <f t="shared" si="79"/>
        <v>648.96439218997534</v>
      </c>
      <c r="GD75" s="59">
        <f t="shared" si="80"/>
        <v>942.2977255233086</v>
      </c>
      <c r="GE75" s="59">
        <f ca="1">AVERAGE(OFFSET($GD$3,0,0,'Données projet'!$E$17+1,1))-AVERAGE(OFFSET($H$3,0,0,'Données projet'!$E$17+1,1))</f>
        <v>347.54503437087288</v>
      </c>
      <c r="GF75" s="59">
        <f t="shared" si="104"/>
        <v>340.05673244455954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49.662678515725538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49.662678515725538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15.8</v>
      </c>
      <c r="N76" s="13">
        <f>IF('Données projet'!$A$36&gt;35,N75+M76-V75,IF(A76&lt;'Données projet'!$A$36,$K$205^A76,IF(A76='Données projet'!$A$36,'Données projet'!$B$36,N75+M76-V75)))</f>
        <v>714.40000000000009</v>
      </c>
      <c r="O76" s="13">
        <f>N76*VLOOKUP('Données projet'!$B$9,Paramètres!$A$1:$I$89,3,0)*VLOOKUP('Données projet'!$B$9,Paramètres!$A$1:$I$89,5,0)</f>
        <v>334.33920000000006</v>
      </c>
      <c r="P76" s="13">
        <f t="shared" si="87"/>
        <v>78.32924892122405</v>
      </c>
      <c r="Q76" s="20">
        <f t="shared" si="54"/>
        <v>718.73088187113206</v>
      </c>
      <c r="R76" s="59">
        <f t="shared" si="55"/>
        <v>1012.0642152044654</v>
      </c>
      <c r="S76" s="59">
        <f ca="1">AVERAGE(OFFSET($R$3,0,0,'Données projet'!$E$9+1,1))-AVERAGE(OFFSET($H$3,0,0,'Données projet'!$E$9+1,1))</f>
        <v>342.49944586217674</v>
      </c>
      <c r="T76" s="59">
        <f t="shared" si="88"/>
        <v>282.29766600872563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104.12399399960815</v>
      </c>
      <c r="AA76" s="21">
        <f>EXP(-LN(2)/25)*AA75+(1-EXP(-LN(2)/25))/(LN(2)/25)*Calculateur!V76*Calculateur!X76*VLOOKUP('Données projet'!$B$9,Paramètres!$A$1:$I$89,3,0)*0.475*44/12</f>
        <v>12.166396053766899</v>
      </c>
      <c r="AB76" s="21">
        <f>EXP(-LN(2)/2)*AB75+(1-EXP(-LN(2)/2))/(LN(2)/2)*V76*Y76*VLOOKUP('Données projet'!$B$9,Paramètres!$A$1:$I$89,3,0)*0.475*44/12</f>
        <v>2.7916213526948866E-8</v>
      </c>
      <c r="AC76" s="22">
        <f t="shared" si="57"/>
        <v>116.29039008129126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739.99999999999966</v>
      </c>
      <c r="AJ76" s="13">
        <f>AI76*VLOOKUP('Données projet'!$B$10,Paramètres!$A$1:$I$89,3,0)*VLOOKUP('Données projet'!$B$10,Paramètres!$A$1:$I$89,5,0)</f>
        <v>413.65999999999985</v>
      </c>
      <c r="AK76" s="13">
        <f t="shared" si="89"/>
        <v>94.540585122244352</v>
      </c>
      <c r="AL76" s="20">
        <f t="shared" si="58"/>
        <v>885.11601908790863</v>
      </c>
      <c r="AM76" s="59">
        <f t="shared" si="59"/>
        <v>1178.4493524212419</v>
      </c>
      <c r="AN76" s="59">
        <f ca="1">AVERAGE(OFFSET($AM$3,0,0,'Données projet'!$E$10+1,1))-AVERAGE(OFFSET($H$3,0,0,'Données projet'!$E$10+1,1))</f>
        <v>490.96084572840579</v>
      </c>
      <c r="AO76" s="59">
        <f t="shared" si="90"/>
        <v>597.91658789908263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95.464532706515868</v>
      </c>
      <c r="AV76" s="21">
        <f>EXP(-LN(2)/25)*AV75+(1-EXP(-LN(2)/25))/(LN(2)/25)*Calculateur!AQ76*Calculateur!AS76*VLOOKUP('Données projet'!$B$10,Paramètres!$A$1:$I$89,3,0)*0.475*44/12</f>
        <v>17.539547168451701</v>
      </c>
      <c r="AW76" s="21">
        <f>EXP(-LN(2)/2)*AW75+(1-EXP(-LN(2)/2))/(LN(2)/2)*AQ76*AT76*VLOOKUP('Données projet'!$B$10,Paramètres!$A$1:$I$89,3,0)*0.475*44/12</f>
        <v>2.8676154895182465E-7</v>
      </c>
      <c r="AX76" s="21">
        <f t="shared" si="60"/>
        <v>113.00408016172912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2.6</v>
      </c>
      <c r="BD76" s="12">
        <f>IF('Données projet'!$A$88&gt;35,BD75+BC76-BL75,IF(A76&lt;'Données projet'!$A$88,$BA$205^A76,IF(A76='Données projet'!$A$88,'Données projet'!$B$88,BD75+BC76-BL75)))</f>
        <v>208.8</v>
      </c>
      <c r="BE76" s="13">
        <f>BD76*VLOOKUP('Données projet'!$B$11,Paramètres!$A$1:$I$89,3,0)*VLOOKUP('Données projet'!$B$11,Paramètres!$A$1:$I$89,5,0)</f>
        <v>166.12128000000001</v>
      </c>
      <c r="BF76" s="13">
        <f t="shared" si="91"/>
        <v>42.220155874487318</v>
      </c>
      <c r="BG76" s="20">
        <f t="shared" si="61"/>
        <v>362.86133414806545</v>
      </c>
      <c r="BH76" s="59">
        <f t="shared" si="62"/>
        <v>656.19466748139871</v>
      </c>
      <c r="BI76" s="59">
        <f ca="1">AVERAGE(OFFSET($BH$3,0,0,'Données projet'!$E$11+1,1))-AVERAGE(OFFSET($H$3,0,0,'Données projet'!$E$11+1,1))</f>
        <v>167.80254365106839</v>
      </c>
      <c r="BJ76" s="59">
        <f t="shared" si="92"/>
        <v>167.42302164950172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31.896033697065231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31.896033697065231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15</v>
      </c>
      <c r="BY76" s="12">
        <f>IF('Données projet'!$A$114&gt;35,BY75+BX76-CG75,IF(A76&lt;'Données projet'!$A$114,$BV$205^A76,IF(A76='Données projet'!$A$114,'Données projet'!$B$114,BY75+BX76-CG75)))</f>
        <v>651</v>
      </c>
      <c r="BZ76" s="13">
        <f>BY76*VLOOKUP('Données projet'!$B$12,Paramètres!$A$1:$I$89,3,0)*VLOOKUP('Données projet'!$B$12,Paramètres!$A$1:$I$89,5,0)</f>
        <v>321.59399999999999</v>
      </c>
      <c r="CA76" s="13">
        <f t="shared" si="93"/>
        <v>75.684920388473444</v>
      </c>
      <c r="CB76" s="20">
        <f t="shared" si="64"/>
        <v>691.92745300992465</v>
      </c>
      <c r="CC76" s="59">
        <f t="shared" si="65"/>
        <v>985.26078634325791</v>
      </c>
      <c r="CD76" s="59">
        <f ca="1">AVERAGE(OFFSET($CC$3,0,0,'Données projet'!$E$12+1,1))-AVERAGE(OFFSET($H$3,0,0,'Données projet'!$E$12+1,1))</f>
        <v>322.06606384496587</v>
      </c>
      <c r="CE76" s="59">
        <f t="shared" si="94"/>
        <v>267.71713177624713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100.91109763501872</v>
      </c>
      <c r="CL76" s="21">
        <f>EXP(-LN(2)/25)*CL75+(1-EXP(-LN(2)/25))/(LN(2)/25)*Calculateur!CG76*Calculateur!CI76*VLOOKUP('Données projet'!$B$12,Paramètres!$A$1:$I$89,3,0)*0.475*44/12</f>
        <v>6.1026866504839674</v>
      </c>
      <c r="CM76" s="21">
        <f>EXP(-LN(2)/2)*CM75+(1-EXP(-LN(2)/2))/(LN(2)/2)*CG76*CJ76*VLOOKUP('Données projet'!$B$12,Paramètres!$A$1:$I$89,3,0)*0.475*44/12</f>
        <v>1.3335293650104436E-6</v>
      </c>
      <c r="CN76" s="22">
        <f t="shared" si="66"/>
        <v>107.01378561903205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401</v>
      </c>
      <c r="CU76" s="17">
        <f>CT76*VLOOKUP('Données projet'!$B$13,Paramètres!$A$1:$I$89,3,0)*VLOOKUP('Données projet'!$B$13,Paramètres!$A$1:$I$89,5,0)</f>
        <v>250.22399999999999</v>
      </c>
      <c r="CV76" s="13">
        <f t="shared" si="95"/>
        <v>60.633904580527918</v>
      </c>
      <c r="CW76" s="20">
        <f t="shared" si="67"/>
        <v>541.41085047775289</v>
      </c>
      <c r="CX76" s="59">
        <f t="shared" si="68"/>
        <v>834.74418381108626</v>
      </c>
      <c r="CY76" s="59">
        <f ca="1">AVERAGE(OFFSET($CX$3,0,0,'Données projet'!$E$13+1,1))-AVERAGE(OFFSET($H$3,0,0,'Données projet'!$E$13+1,1))</f>
        <v>269.77739619445515</v>
      </c>
      <c r="CZ76" s="59">
        <f t="shared" si="96"/>
        <v>347.56964743629885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59.196342420620887</v>
      </c>
      <c r="DG76" s="21">
        <f>EXP(-LN(2)/25)*DG75+(1-EXP(-LN(2)/25))/(LN(2)/25)*Calculateur!DB76*Calculateur!DD76*VLOOKUP('Données projet'!$B$13,Paramètres!$A$1:$I$89,3,0)*0.475*44/12</f>
        <v>27.848225040660758</v>
      </c>
      <c r="DH76" s="21">
        <f>EXP(-LN(2)/2)*DH75+(1-EXP(-LN(2)/2))/(LN(2)/2)*DB76*DE76*VLOOKUP('Données projet'!$B$13,Paramètres!$A$1:$I$89,3,0)*0.475*44/12</f>
        <v>8.3748640580846526E-9</v>
      </c>
      <c r="DI76" s="22">
        <f t="shared" si="69"/>
        <v>87.044567469656513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15</v>
      </c>
      <c r="DO76" s="12">
        <f>IF('Données projet'!$A$166&gt;35,DO75+DN76-DW75,IF(A76&lt;'Données projet'!$A$166,$DL$205^A76,IF(A76='Données projet'!$A$166,'Données projet'!$B$166,DO75+DN76-DW75)))</f>
        <v>651</v>
      </c>
      <c r="DP76" s="17">
        <f>DO76*VLOOKUP('Données projet'!$B$14,Paramètres!$A$1:$I$89,3,0)*VLOOKUP('Données projet'!$B$14,Paramètres!$A$1:$I$89,5,0)</f>
        <v>313.13100000000003</v>
      </c>
      <c r="DQ76" s="13">
        <f t="shared" si="97"/>
        <v>73.922324663760762</v>
      </c>
      <c r="DR76" s="20">
        <f t="shared" si="70"/>
        <v>674.11787378938334</v>
      </c>
      <c r="DS76" s="59">
        <f t="shared" si="71"/>
        <v>967.4512071227166</v>
      </c>
      <c r="DT76" s="59">
        <f ca="1">AVERAGE(OFFSET($DS$3,0,0,'Données projet'!$E$14+1,1))-AVERAGE(OFFSET($H$3,0,0,'Données projet'!$E$14+1,1))</f>
        <v>312.64506496298173</v>
      </c>
      <c r="DU76" s="59">
        <f t="shared" si="98"/>
        <v>259.97532509897508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98.25554243409718</v>
      </c>
      <c r="EB76" s="21">
        <f>EXP(-LN(2)/25)*EB75+(1-EXP(-LN(2)/25))/(LN(2)/25)*Calculateur!DW76*Calculateur!DY76*VLOOKUP('Données projet'!$B$14,Paramètres!$A$1:$I$89,3,0)*0.475*44/12</f>
        <v>5.9420896333659696</v>
      </c>
      <c r="EC76" s="21">
        <f>EXP(-LN(2)/2)*EC75+(1-EXP(-LN(2)/2))/(LN(2)/2)*DW76*DZ76*VLOOKUP('Données projet'!$B$14,Paramètres!$A$1:$I$89,3,0)*0.475*44/12</f>
        <v>1.2984364869838478E-6</v>
      </c>
      <c r="ED76" s="22">
        <f t="shared" si="72"/>
        <v>104.19763336589963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6.2</v>
      </c>
      <c r="EJ76" s="12">
        <f>IF('Données projet'!$A$192&gt;35,EJ75+EI76-ER75,IF(A76&lt;'Données projet'!$A$192,$EG$205^A76,IF(A76='Données projet'!$A$192,'Données projet'!$B$192,EJ75+EI76-ER75)))</f>
        <v>239.59999999999994</v>
      </c>
      <c r="EK76" s="17">
        <f>EJ76*VLOOKUP('Données projet'!$B$15,Paramètres!$A$1:$I$89,3,0)*VLOOKUP('Données projet'!$B$15,Paramètres!$A$1:$I$89,5,0)</f>
        <v>216.79007999999996</v>
      </c>
      <c r="EL76" s="13">
        <f t="shared" si="99"/>
        <v>53.416629794462551</v>
      </c>
      <c r="EM76" s="20">
        <f t="shared" si="73"/>
        <v>470.61001955868886</v>
      </c>
      <c r="EN76" s="59">
        <f t="shared" si="74"/>
        <v>763.94335289202218</v>
      </c>
      <c r="EO76" s="59">
        <f ca="1">AVERAGE(OFFSET($EN$3,0,0,'Données projet'!$E$15+1,1))-AVERAGE(OFFSET($H$3,0,0,'Données projet'!$E$15+1,1))</f>
        <v>269.64423257646359</v>
      </c>
      <c r="EP76" s="59">
        <f t="shared" si="100"/>
        <v>161.0819079811821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49.394568860480327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49.394568860480327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9</v>
      </c>
      <c r="FE76" s="12">
        <f>IF('Données projet'!$A$218&gt;35,FE75+FD76-FM75,IF(A76&lt;'Données projet'!$A$218,$FB$205^A76,IF(A76='Données projet'!$A$218,'Données projet'!$B$218,FE75+FD76-FM75)))</f>
        <v>322.00000000000017</v>
      </c>
      <c r="FF76" s="17">
        <f>FE76*VLOOKUP('Données projet'!$B$16,Paramètres!$A$1:$I$89,3,0)*VLOOKUP('Données projet'!$B$16,Paramètres!$A$1:$I$89,5,0)</f>
        <v>251.16000000000014</v>
      </c>
      <c r="FG76" s="13">
        <f t="shared" si="101"/>
        <v>60.834270430141594</v>
      </c>
      <c r="FH76" s="20">
        <f t="shared" si="76"/>
        <v>543.39002099916354</v>
      </c>
      <c r="FI76" s="59">
        <f t="shared" si="77"/>
        <v>836.72335433249691</v>
      </c>
      <c r="FJ76" s="59">
        <f ca="1">AVERAGE(OFFSET($FI$3,0,0,'Données projet'!$E$16+1,1))-AVERAGE(OFFSET($H$3,0,0,'Données projet'!$E$16+1,1))</f>
        <v>283.77864672734273</v>
      </c>
      <c r="FK76" s="59">
        <f t="shared" si="102"/>
        <v>270.94620935643866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69.713330801089114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69.713330801089114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4.2</v>
      </c>
      <c r="FZ76" s="12">
        <f>IF('Données projet'!$A$244&gt;35,FZ75+FY76-GH75,IF(A76&lt;'Données projet'!$A$244,$FW$205^A76,IF(A76='Données projet'!$A$244,'Données projet'!$B$244,FZ75+FY76-GH75)))</f>
        <v>315.59999999999991</v>
      </c>
      <c r="GA76" s="17">
        <f>FZ76*VLOOKUP('Données projet'!$B$17,Paramètres!$A$1:$I$89,3,0)*VLOOKUP('Données projet'!$B$17,Paramètres!$A$1:$I$89,5,0)</f>
        <v>305.24831999999992</v>
      </c>
      <c r="GB76" s="13">
        <f t="shared" si="103"/>
        <v>72.275599918697424</v>
      </c>
      <c r="GC76" s="20">
        <f t="shared" si="79"/>
        <v>657.5208271917312</v>
      </c>
      <c r="GD76" s="59">
        <f t="shared" si="80"/>
        <v>950.85416052506457</v>
      </c>
      <c r="GE76" s="59">
        <f ca="1">AVERAGE(OFFSET($GD$3,0,0,'Données projet'!$E$17+1,1))-AVERAGE(OFFSET($H$3,0,0,'Données projet'!$E$17+1,1))</f>
        <v>347.54503437087288</v>
      </c>
      <c r="GF76" s="59">
        <f t="shared" si="104"/>
        <v>340.05673244455954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48.688823681275046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48.688823681275046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15.8</v>
      </c>
      <c r="N77" s="13">
        <f>IF('Données projet'!$A$36&gt;35,N76+M77-V76,IF(A77&lt;'Données projet'!$A$36,$K$205^A77,IF(A77='Données projet'!$A$36,'Données projet'!$B$36,N76+M77-V76)))</f>
        <v>730.2</v>
      </c>
      <c r="O77" s="13">
        <f>N77*VLOOKUP('Données projet'!$B$9,Paramètres!$A$1:$I$89,3,0)*VLOOKUP('Données projet'!$B$9,Paramètres!$A$1:$I$89,5,0)</f>
        <v>341.73360000000002</v>
      </c>
      <c r="P77" s="13">
        <f t="shared" si="87"/>
        <v>79.858013070646606</v>
      </c>
      <c r="Q77" s="20">
        <f t="shared" si="54"/>
        <v>734.27205943137631</v>
      </c>
      <c r="R77" s="59">
        <f t="shared" si="55"/>
        <v>1027.6053927647097</v>
      </c>
      <c r="S77" s="59">
        <f ca="1">AVERAGE(OFFSET($R$3,0,0,'Données projet'!$E$9+1,1))-AVERAGE(OFFSET($H$3,0,0,'Données projet'!$E$9+1,1))</f>
        <v>342.49944586217674</v>
      </c>
      <c r="T77" s="59">
        <f t="shared" si="88"/>
        <v>282.29766600872563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102.08218598664114</v>
      </c>
      <c r="AA77" s="21">
        <f>EXP(-LN(2)/25)*AA76+(1-EXP(-LN(2)/25))/(LN(2)/25)*Calculateur!V77*Calculateur!X77*VLOOKUP('Données projet'!$B$9,Paramètres!$A$1:$I$89,3,0)*0.475*44/12</f>
        <v>11.833705313873681</v>
      </c>
      <c r="AB77" s="21">
        <f>EXP(-LN(2)/2)*AB76+(1-EXP(-LN(2)/2))/(LN(2)/2)*V77*Y77*VLOOKUP('Données projet'!$B$9,Paramètres!$A$1:$I$89,3,0)*0.475*44/12</f>
        <v>1.973974388995717E-8</v>
      </c>
      <c r="AC77" s="22">
        <f t="shared" si="57"/>
        <v>113.91589132025456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739.99999999999966</v>
      </c>
      <c r="AJ77" s="13">
        <f>AI77*VLOOKUP('Données projet'!$B$10,Paramètres!$A$1:$I$89,3,0)*VLOOKUP('Données projet'!$B$10,Paramètres!$A$1:$I$89,5,0)</f>
        <v>413.65999999999985</v>
      </c>
      <c r="AK77" s="13">
        <f t="shared" si="89"/>
        <v>94.540585122244352</v>
      </c>
      <c r="AL77" s="20">
        <f t="shared" si="58"/>
        <v>885.11601908790863</v>
      </c>
      <c r="AM77" s="59">
        <f t="shared" si="59"/>
        <v>1178.4493524212419</v>
      </c>
      <c r="AN77" s="59">
        <f ca="1">AVERAGE(OFFSET($AM$3,0,0,'Données projet'!$E$10+1,1))-AVERAGE(OFFSET($H$3,0,0,'Données projet'!$E$10+1,1))</f>
        <v>490.96084572840579</v>
      </c>
      <c r="AO77" s="59">
        <f t="shared" si="90"/>
        <v>597.91658789908263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93.592531447756542</v>
      </c>
      <c r="AV77" s="21">
        <f>EXP(-LN(2)/25)*AV76+(1-EXP(-LN(2)/25))/(LN(2)/25)*Calculateur!AQ77*Calculateur!AS77*VLOOKUP('Données projet'!$B$10,Paramètres!$A$1:$I$89,3,0)*0.475*44/12</f>
        <v>17.059927328765692</v>
      </c>
      <c r="AW77" s="21">
        <f>EXP(-LN(2)/2)*AW76+(1-EXP(-LN(2)/2))/(LN(2)/2)*AQ77*AT77*VLOOKUP('Données projet'!$B$10,Paramètres!$A$1:$I$89,3,0)*0.475*44/12</f>
        <v>2.0277103584739331E-7</v>
      </c>
      <c r="AX77" s="21">
        <f t="shared" si="60"/>
        <v>110.65245897929327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2.6</v>
      </c>
      <c r="BD77" s="12">
        <f>IF('Données projet'!$A$88&gt;35,BD76+BC77-BL76,IF(A77&lt;'Données projet'!$A$88,$BA$205^A77,IF(A77='Données projet'!$A$88,'Données projet'!$B$88,BD76+BC77-BL76)))</f>
        <v>211.4</v>
      </c>
      <c r="BE77" s="13">
        <f>BD77*VLOOKUP('Données projet'!$B$11,Paramètres!$A$1:$I$89,3,0)*VLOOKUP('Données projet'!$B$11,Paramètres!$A$1:$I$89,5,0)</f>
        <v>168.18984</v>
      </c>
      <c r="BF77" s="13">
        <f t="shared" si="91"/>
        <v>42.684355718695393</v>
      </c>
      <c r="BG77" s="20">
        <f t="shared" si="61"/>
        <v>367.2725575433945</v>
      </c>
      <c r="BH77" s="59">
        <f t="shared" si="62"/>
        <v>660.60589087672781</v>
      </c>
      <c r="BI77" s="59">
        <f ca="1">AVERAGE(OFFSET($BH$3,0,0,'Données projet'!$E$11+1,1))-AVERAGE(OFFSET($H$3,0,0,'Données projet'!$E$11+1,1))</f>
        <v>167.80254365106839</v>
      </c>
      <c r="BJ77" s="59">
        <f t="shared" si="92"/>
        <v>167.42302164950172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31.27057193092535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31.27057193092535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15</v>
      </c>
      <c r="BY77" s="12">
        <f>IF('Données projet'!$A$114&gt;35,BY76+BX77-CG76,IF(A77&lt;'Données projet'!$A$114,$BV$205^A77,IF(A77='Données projet'!$A$114,'Données projet'!$B$114,BY76+BX77-CG76)))</f>
        <v>666</v>
      </c>
      <c r="BZ77" s="13">
        <f>BY77*VLOOKUP('Données projet'!$B$12,Paramètres!$A$1:$I$89,3,0)*VLOOKUP('Données projet'!$B$12,Paramètres!$A$1:$I$89,5,0)</f>
        <v>329.00400000000002</v>
      </c>
      <c r="CA77" s="13">
        <f t="shared" si="93"/>
        <v>77.223774646935937</v>
      </c>
      <c r="CB77" s="20">
        <f t="shared" si="64"/>
        <v>707.51337417674677</v>
      </c>
      <c r="CC77" s="59">
        <f t="shared" si="65"/>
        <v>1000.84670751008</v>
      </c>
      <c r="CD77" s="59">
        <f ca="1">AVERAGE(OFFSET($CC$3,0,0,'Données projet'!$E$12+1,1))-AVERAGE(OFFSET($H$3,0,0,'Données projet'!$E$12+1,1))</f>
        <v>322.06606384496587</v>
      </c>
      <c r="CE77" s="59">
        <f t="shared" si="94"/>
        <v>267.71713177624713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98.93229256008803</v>
      </c>
      <c r="CL77" s="21">
        <f>EXP(-LN(2)/25)*CL76+(1-EXP(-LN(2)/25))/(LN(2)/25)*Calculateur!CG77*Calculateur!CI77*VLOOKUP('Données projet'!$B$12,Paramètres!$A$1:$I$89,3,0)*0.475*44/12</f>
        <v>5.9358083631001399</v>
      </c>
      <c r="CM77" s="21">
        <f>EXP(-LN(2)/2)*CM76+(1-EXP(-LN(2)/2))/(LN(2)/2)*CG77*CJ77*VLOOKUP('Données projet'!$B$12,Paramètres!$A$1:$I$89,3,0)*0.475*44/12</f>
        <v>9.4294765691027547E-7</v>
      </c>
      <c r="CN77" s="22">
        <f t="shared" si="66"/>
        <v>104.86810186613582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401</v>
      </c>
      <c r="CU77" s="17">
        <f>CT77*VLOOKUP('Données projet'!$B$13,Paramètres!$A$1:$I$89,3,0)*VLOOKUP('Données projet'!$B$13,Paramètres!$A$1:$I$89,5,0)</f>
        <v>250.22399999999999</v>
      </c>
      <c r="CV77" s="13">
        <f t="shared" si="95"/>
        <v>60.633904580527918</v>
      </c>
      <c r="CW77" s="20">
        <f t="shared" si="67"/>
        <v>541.41085047775289</v>
      </c>
      <c r="CX77" s="59">
        <f t="shared" si="68"/>
        <v>834.74418381108626</v>
      </c>
      <c r="CY77" s="59">
        <f ca="1">AVERAGE(OFFSET($CX$3,0,0,'Données projet'!$E$13+1,1))-AVERAGE(OFFSET($H$3,0,0,'Données projet'!$E$13+1,1))</f>
        <v>269.77739619445515</v>
      </c>
      <c r="CZ77" s="59">
        <f t="shared" si="96"/>
        <v>347.56964743629885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58.035538251956197</v>
      </c>
      <c r="DG77" s="21">
        <f>EXP(-LN(2)/25)*DG76+(1-EXP(-LN(2)/25))/(LN(2)/25)*Calculateur!DB77*Calculateur!DD77*VLOOKUP('Données projet'!$B$13,Paramètres!$A$1:$I$89,3,0)*0.475*44/12</f>
        <v>27.086713862449383</v>
      </c>
      <c r="DH77" s="21">
        <f>EXP(-LN(2)/2)*DH76+(1-EXP(-LN(2)/2))/(LN(2)/2)*DB77*DE77*VLOOKUP('Données projet'!$B$13,Paramètres!$A$1:$I$89,3,0)*0.475*44/12</f>
        <v>5.921923166987146E-9</v>
      </c>
      <c r="DI77" s="22">
        <f t="shared" si="69"/>
        <v>85.122252120327502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15</v>
      </c>
      <c r="DO77" s="12">
        <f>IF('Données projet'!$A$166&gt;35,DO76+DN77-DW76,IF(A77&lt;'Données projet'!$A$166,$DL$205^A77,IF(A77='Données projet'!$A$166,'Données projet'!$B$166,DO76+DN77-DW76)))</f>
        <v>666</v>
      </c>
      <c r="DP77" s="17">
        <f>DO77*VLOOKUP('Données projet'!$B$14,Paramètres!$A$1:$I$89,3,0)*VLOOKUP('Données projet'!$B$14,Paramètres!$A$1:$I$89,5,0)</f>
        <v>320.346</v>
      </c>
      <c r="DQ77" s="13">
        <f t="shared" si="97"/>
        <v>75.42534116322193</v>
      </c>
      <c r="DR77" s="20">
        <f t="shared" si="70"/>
        <v>689.30175252594472</v>
      </c>
      <c r="DS77" s="59">
        <f t="shared" si="71"/>
        <v>982.63508585927798</v>
      </c>
      <c r="DT77" s="59">
        <f ca="1">AVERAGE(OFFSET($DS$3,0,0,'Données projet'!$E$14+1,1))-AVERAGE(OFFSET($H$3,0,0,'Données projet'!$E$14+1,1))</f>
        <v>312.64506496298173</v>
      </c>
      <c r="DU77" s="59">
        <f t="shared" si="98"/>
        <v>259.97532509897508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96.328811176927829</v>
      </c>
      <c r="EB77" s="21">
        <f>EXP(-LN(2)/25)*EB76+(1-EXP(-LN(2)/25))/(LN(2)/25)*Calculateur!DW77*Calculateur!DY77*VLOOKUP('Données projet'!$B$14,Paramètres!$A$1:$I$89,3,0)*0.475*44/12</f>
        <v>5.779602879860664</v>
      </c>
      <c r="EC77" s="21">
        <f>EXP(-LN(2)/2)*EC76+(1-EXP(-LN(2)/2))/(LN(2)/2)*DW77*DZ77*VLOOKUP('Données projet'!$B$14,Paramètres!$A$1:$I$89,3,0)*0.475*44/12</f>
        <v>9.1813324488631711E-7</v>
      </c>
      <c r="ED77" s="22">
        <f t="shared" si="72"/>
        <v>102.10841497492173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6.2</v>
      </c>
      <c r="EJ77" s="12">
        <f>IF('Données projet'!$A$192&gt;35,EJ76+EI77-ER76,IF(A77&lt;'Données projet'!$A$192,$EG$205^A77,IF(A77='Données projet'!$A$192,'Données projet'!$B$192,EJ76+EI77-ER76)))</f>
        <v>245.79999999999993</v>
      </c>
      <c r="EK77" s="17">
        <f>EJ77*VLOOKUP('Données projet'!$B$15,Paramètres!$A$1:$I$89,3,0)*VLOOKUP('Données projet'!$B$15,Paramètres!$A$1:$I$89,5,0)</f>
        <v>222.3998399999999</v>
      </c>
      <c r="EL77" s="13">
        <f t="shared" si="99"/>
        <v>54.636149281681448</v>
      </c>
      <c r="EM77" s="20">
        <f t="shared" si="73"/>
        <v>482.50434799892832</v>
      </c>
      <c r="EN77" s="59">
        <f t="shared" si="74"/>
        <v>775.83768133226158</v>
      </c>
      <c r="EO77" s="59">
        <f ca="1">AVERAGE(OFFSET($EN$3,0,0,'Données projet'!$E$15+1,1))-AVERAGE(OFFSET($H$3,0,0,'Données projet'!$E$15+1,1))</f>
        <v>269.64423257646359</v>
      </c>
      <c r="EP77" s="59">
        <f t="shared" si="100"/>
        <v>161.0819079811821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48.42597149283845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48.42597149283845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9</v>
      </c>
      <c r="FE77" s="12">
        <f>IF('Données projet'!$A$218&gt;35,FE76+FD77-FM76,IF(A77&lt;'Données projet'!$A$218,$FB$205^A77,IF(A77='Données projet'!$A$218,'Données projet'!$B$218,FE76+FD77-FM76)))</f>
        <v>331.00000000000017</v>
      </c>
      <c r="FF77" s="17">
        <f>FE77*VLOOKUP('Données projet'!$B$16,Paramètres!$A$1:$I$89,3,0)*VLOOKUP('Données projet'!$B$16,Paramètres!$A$1:$I$89,5,0)</f>
        <v>258.18000000000012</v>
      </c>
      <c r="FG77" s="13">
        <f t="shared" si="101"/>
        <v>62.334269039770149</v>
      </c>
      <c r="FH77" s="20">
        <f t="shared" si="76"/>
        <v>558.22901857759996</v>
      </c>
      <c r="FI77" s="59">
        <f t="shared" si="77"/>
        <v>851.56235191093333</v>
      </c>
      <c r="FJ77" s="59">
        <f ca="1">AVERAGE(OFFSET($FI$3,0,0,'Données projet'!$E$16+1,1))-AVERAGE(OFFSET($H$3,0,0,'Données projet'!$E$16+1,1))</f>
        <v>283.77864672734273</v>
      </c>
      <c r="FK77" s="59">
        <f t="shared" si="102"/>
        <v>270.94620935643866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68.346294905012954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68.346294905012954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4.2</v>
      </c>
      <c r="FZ77" s="12">
        <f>IF('Données projet'!$A$244&gt;35,FZ76+FY77-GH76,IF(A77&lt;'Données projet'!$A$244,$FW$205^A77,IF(A77='Données projet'!$A$244,'Données projet'!$B$244,FZ76+FY77-GH76)))</f>
        <v>319.7999999999999</v>
      </c>
      <c r="GA77" s="17">
        <f>FZ77*VLOOKUP('Données projet'!$B$17,Paramètres!$A$1:$I$89,3,0)*VLOOKUP('Données projet'!$B$17,Paramètres!$A$1:$I$89,5,0)</f>
        <v>309.3105599999999</v>
      </c>
      <c r="GB77" s="13">
        <f t="shared" si="103"/>
        <v>73.124829007235121</v>
      </c>
      <c r="GC77" s="20">
        <f t="shared" si="79"/>
        <v>666.07496918760103</v>
      </c>
      <c r="GD77" s="59">
        <f t="shared" si="80"/>
        <v>959.40830252093428</v>
      </c>
      <c r="GE77" s="59">
        <f ca="1">AVERAGE(OFFSET($GD$3,0,0,'Données projet'!$E$17+1,1))-AVERAGE(OFFSET($H$3,0,0,'Données projet'!$E$17+1,1))</f>
        <v>347.54503437087288</v>
      </c>
      <c r="GF77" s="59">
        <f t="shared" si="104"/>
        <v>340.05673244455954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47.734065546135326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47.734065546135326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746</v>
      </c>
      <c r="L78" s="12">
        <f>VLOOKUP(A78,'Données projet'!$A$35:$I$55,9,0)</f>
        <v>15.8</v>
      </c>
      <c r="M78" s="12">
        <f t="array" ref="M78">INDEX(L:L,MIN(IF(ISNUMBER(L78:L274),ROW(L78:L274),"")))</f>
        <v>15.8</v>
      </c>
      <c r="N78" s="13">
        <f>IF('Données projet'!$A$36&gt;35,N77+M78-V77,IF(A78&lt;'Données projet'!$A$36,$K$205^A78,IF(A78='Données projet'!$A$36,'Données projet'!$B$36,N77+M78-V77)))</f>
        <v>746</v>
      </c>
      <c r="O78" s="13">
        <f>N78*VLOOKUP('Données projet'!$B$9,Paramètres!$A$1:$I$89,3,0)*VLOOKUP('Données projet'!$B$9,Paramètres!$A$1:$I$89,5,0)</f>
        <v>349.12800000000004</v>
      </c>
      <c r="P78" s="13">
        <f t="shared" si="87"/>
        <v>81.382931322201784</v>
      </c>
      <c r="Q78" s="20">
        <f t="shared" si="54"/>
        <v>749.80653871950153</v>
      </c>
      <c r="R78" s="59">
        <f t="shared" si="55"/>
        <v>1043.1398720528348</v>
      </c>
      <c r="S78" s="59">
        <f ca="1">AVERAGE(OFFSET($R$3,0,0,'Données projet'!$E$9+1,1))-AVERAGE(OFFSET($H$3,0,0,'Données projet'!$E$9+1,1))</f>
        <v>342.49944586217674</v>
      </c>
      <c r="T78" s="59">
        <f t="shared" si="88"/>
        <v>282.29766600872563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43</v>
      </c>
      <c r="W78" s="16">
        <f>IF(ISNA(VLOOKUP(A78,'Données projet'!$A$35:$I$55,5,0)),0%,VLOOKUP(A78,'Données projet'!$A$35:$I$55,5,0)*VLOOKUP('Données projet'!$B$9,Paramètres!$A$1:$I$89,7,0))</f>
        <v>0.55000000000000004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114.76309728912442</v>
      </c>
      <c r="AA78" s="21">
        <f>EXP(-LN(2)/25)*AA77+(1-EXP(-LN(2)/25))/(LN(2)/25)*Calculateur!V78*Calculateur!X78*VLOOKUP('Données projet'!$B$9,Paramètres!$A$1:$I$89,3,0)*0.475*44/12</f>
        <v>11.510112019758289</v>
      </c>
      <c r="AB78" s="21">
        <f>EXP(-LN(2)/2)*AB77+(1-EXP(-LN(2)/2))/(LN(2)/2)*V78*Y78*VLOOKUP('Données projet'!$B$9,Paramètres!$A$1:$I$89,3,0)*0.475*44/12</f>
        <v>1.3958106763474433E-8</v>
      </c>
      <c r="AC78" s="22">
        <f t="shared" si="57"/>
        <v>126.27320932284081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739.99999999999966</v>
      </c>
      <c r="AJ78" s="13">
        <f>AI78*VLOOKUP('Données projet'!$B$10,Paramètres!$A$1:$I$89,3,0)*VLOOKUP('Données projet'!$B$10,Paramètres!$A$1:$I$89,5,0)</f>
        <v>413.65999999999985</v>
      </c>
      <c r="AK78" s="13">
        <f t="shared" si="89"/>
        <v>94.540585122244352</v>
      </c>
      <c r="AL78" s="20">
        <f t="shared" si="58"/>
        <v>885.11601908790863</v>
      </c>
      <c r="AM78" s="59">
        <f t="shared" si="59"/>
        <v>1178.4493524212419</v>
      </c>
      <c r="AN78" s="59">
        <f ca="1">AVERAGE(OFFSET($AM$3,0,0,'Données projet'!$E$10+1,1))-AVERAGE(OFFSET($H$3,0,0,'Données projet'!$E$10+1,1))</f>
        <v>490.96084572840579</v>
      </c>
      <c r="AO78" s="59">
        <f t="shared" si="90"/>
        <v>597.91658789908263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91.757238991873464</v>
      </c>
      <c r="AV78" s="21">
        <f>EXP(-LN(2)/25)*AV77+(1-EXP(-LN(2)/25))/(LN(2)/25)*Calculateur!AQ78*Calculateur!AS78*VLOOKUP('Données projet'!$B$10,Paramètres!$A$1:$I$89,3,0)*0.475*44/12</f>
        <v>16.593422718818008</v>
      </c>
      <c r="AW78" s="21">
        <f>EXP(-LN(2)/2)*AW77+(1-EXP(-LN(2)/2))/(LN(2)/2)*AQ78*AT78*VLOOKUP('Données projet'!$B$10,Paramètres!$A$1:$I$89,3,0)*0.475*44/12</f>
        <v>1.4338077447591232E-7</v>
      </c>
      <c r="AX78" s="21">
        <f t="shared" si="60"/>
        <v>108.35066185407224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214</v>
      </c>
      <c r="BB78" s="12">
        <f>VLOOKUP(A78,'Données projet'!$A$87:$I$107,9,0)</f>
        <v>2.6</v>
      </c>
      <c r="BC78" s="12">
        <f t="array" ref="BC78">INDEX(BB:BB,MIN(IF(ISNUMBER(BB78:BB274),ROW(BB78:BB274),"")))</f>
        <v>2.6</v>
      </c>
      <c r="BD78" s="12">
        <f>IF('Données projet'!$A$88&gt;35,BD77+BC78-BL77,IF(A78&lt;'Données projet'!$A$88,$BA$205^A78,IF(A78='Données projet'!$A$88,'Données projet'!$B$88,BD77+BC78-BL77)))</f>
        <v>214</v>
      </c>
      <c r="BE78" s="13">
        <f>BD78*VLOOKUP('Données projet'!$B$11,Paramètres!$A$1:$I$89,3,0)*VLOOKUP('Données projet'!$B$11,Paramètres!$A$1:$I$89,5,0)</f>
        <v>170.25839999999999</v>
      </c>
      <c r="BF78" s="13">
        <f t="shared" si="91"/>
        <v>43.147891472685053</v>
      </c>
      <c r="BG78" s="20">
        <f t="shared" si="61"/>
        <v>371.68262431492644</v>
      </c>
      <c r="BH78" s="59">
        <f t="shared" si="62"/>
        <v>665.0159576482597</v>
      </c>
      <c r="BI78" s="59">
        <f ca="1">AVERAGE(OFFSET($BH$3,0,0,'Données projet'!$E$11+1,1))-AVERAGE(OFFSET($H$3,0,0,'Données projet'!$E$11+1,1))</f>
        <v>167.80254365106839</v>
      </c>
      <c r="BJ78" s="59">
        <f t="shared" si="92"/>
        <v>167.42302164950172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7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33.920365476503761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33.920365476503761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681</v>
      </c>
      <c r="BW78" s="12">
        <f>VLOOKUP(A78,'Données projet'!$A$113:$I$133,9,0)</f>
        <v>15</v>
      </c>
      <c r="BX78" s="12">
        <f t="array" ref="BX78">INDEX(BW:BW,MIN(IF(ISNUMBER(BW78:BW274),ROW(BW78:BW274),"")))</f>
        <v>15</v>
      </c>
      <c r="BY78" s="12">
        <f>IF('Données projet'!$A$114&gt;35,BY77+BX78-CG77,IF(A78&lt;'Données projet'!$A$114,$BV$205^A78,IF(A78='Données projet'!$A$114,'Données projet'!$B$114,BY77+BX78-CG77)))</f>
        <v>681</v>
      </c>
      <c r="BZ78" s="13">
        <f>BY78*VLOOKUP('Données projet'!$B$12,Paramètres!$A$1:$I$89,3,0)*VLOOKUP('Données projet'!$B$12,Paramètres!$A$1:$I$89,5,0)</f>
        <v>336.41400000000004</v>
      </c>
      <c r="CA78" s="13">
        <f t="shared" si="93"/>
        <v>78.758599535322062</v>
      </c>
      <c r="CB78" s="20">
        <f t="shared" si="64"/>
        <v>723.09227752401921</v>
      </c>
      <c r="CC78" s="59">
        <f t="shared" si="65"/>
        <v>1016.4256108573525</v>
      </c>
      <c r="CD78" s="59">
        <f ca="1">AVERAGE(OFFSET($CC$3,0,0,'Données projet'!$E$12+1,1))-AVERAGE(OFFSET($H$3,0,0,'Données projet'!$E$12+1,1))</f>
        <v>322.06606384496587</v>
      </c>
      <c r="CE78" s="59">
        <f t="shared" si="94"/>
        <v>267.71713177624713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42</v>
      </c>
      <c r="CH78" s="16">
        <f>IF(ISNA(VLOOKUP(A78,'Données projet'!$A$113:$I$133,5,0)),0%,VLOOKUP(A78,'Données projet'!$A$113:$I$133,5,0)*VLOOKUP('Données projet'!$B$12,Paramètres!$A$1:$I$89,7,0))</f>
        <v>0.55000000000000004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112.13024827252758</v>
      </c>
      <c r="CL78" s="21">
        <f>EXP(-LN(2)/25)*CL77+(1-EXP(-LN(2)/25))/(LN(2)/25)*Calculateur!CG78*Calculateur!CI78*VLOOKUP('Données projet'!$B$12,Paramètres!$A$1:$I$89,3,0)*0.475*44/12</f>
        <v>5.7734933712605709</v>
      </c>
      <c r="CM78" s="21">
        <f>EXP(-LN(2)/2)*CM77+(1-EXP(-LN(2)/2))/(LN(2)/2)*CG78*CJ78*VLOOKUP('Données projet'!$B$12,Paramètres!$A$1:$I$89,3,0)*0.475*44/12</f>
        <v>6.6676468250522192E-7</v>
      </c>
      <c r="CN78" s="22">
        <f t="shared" si="66"/>
        <v>117.90374231055283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401</v>
      </c>
      <c r="CU78" s="17">
        <f>CT78*VLOOKUP('Données projet'!$B$13,Paramètres!$A$1:$I$89,3,0)*VLOOKUP('Données projet'!$B$13,Paramètres!$A$1:$I$89,5,0)</f>
        <v>250.22399999999999</v>
      </c>
      <c r="CV78" s="13">
        <f t="shared" si="95"/>
        <v>60.633904580527918</v>
      </c>
      <c r="CW78" s="20">
        <f t="shared" si="67"/>
        <v>541.41085047775289</v>
      </c>
      <c r="CX78" s="59">
        <f t="shared" si="68"/>
        <v>834.74418381108626</v>
      </c>
      <c r="CY78" s="59">
        <f ca="1">AVERAGE(OFFSET($CX$3,0,0,'Données projet'!$E$13+1,1))-AVERAGE(OFFSET($H$3,0,0,'Données projet'!$E$13+1,1))</f>
        <v>269.77739619445515</v>
      </c>
      <c r="CZ78" s="59">
        <f t="shared" si="96"/>
        <v>347.56964743629885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56.897496745018387</v>
      </c>
      <c r="DG78" s="21">
        <f>EXP(-LN(2)/25)*DG77+(1-EXP(-LN(2)/25))/(LN(2)/25)*Calculateur!DB78*Calculateur!DD78*VLOOKUP('Données projet'!$B$13,Paramètres!$A$1:$I$89,3,0)*0.475*44/12</f>
        <v>26.346026247452329</v>
      </c>
      <c r="DH78" s="21">
        <f>EXP(-LN(2)/2)*DH77+(1-EXP(-LN(2)/2))/(LN(2)/2)*DB78*DE78*VLOOKUP('Données projet'!$B$13,Paramètres!$A$1:$I$89,3,0)*0.475*44/12</f>
        <v>4.1874320290423263E-9</v>
      </c>
      <c r="DI78" s="22">
        <f t="shared" si="69"/>
        <v>83.243522996658143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681</v>
      </c>
      <c r="DM78" s="12">
        <f>VLOOKUP(A78,'Données projet'!$A$165:$I$185,9,0)</f>
        <v>15</v>
      </c>
      <c r="DN78" s="12">
        <f t="array" ref="DN78">INDEX(DM:DM,MIN(IF(ISNUMBER(DM78:DM274),ROW(DM78:DM274),"")))</f>
        <v>15</v>
      </c>
      <c r="DO78" s="12">
        <f>IF('Données projet'!$A$166&gt;35,DO77+DN78-DW77,IF(A78&lt;'Données projet'!$A$166,$DL$205^A78,IF(A78='Données projet'!$A$166,'Données projet'!$B$166,DO77+DN78-DW77)))</f>
        <v>681</v>
      </c>
      <c r="DP78" s="17">
        <f>DO78*VLOOKUP('Données projet'!$B$14,Paramètres!$A$1:$I$89,3,0)*VLOOKUP('Données projet'!$B$14,Paramètres!$A$1:$I$89,5,0)</f>
        <v>327.56100000000004</v>
      </c>
      <c r="DQ78" s="13">
        <f t="shared" si="97"/>
        <v>76.924422130988575</v>
      </c>
      <c r="DR78" s="20">
        <f t="shared" si="70"/>
        <v>704.47877687813843</v>
      </c>
      <c r="DS78" s="59">
        <f t="shared" si="71"/>
        <v>997.81211021147169</v>
      </c>
      <c r="DT78" s="59">
        <f ca="1">AVERAGE(OFFSET($DS$3,0,0,'Données projet'!$E$14+1,1))-AVERAGE(OFFSET($H$3,0,0,'Données projet'!$E$14+1,1))</f>
        <v>312.64506496298173</v>
      </c>
      <c r="DU78" s="59">
        <f t="shared" si="98"/>
        <v>259.97532509897508</v>
      </c>
      <c r="DV78" s="15">
        <f>IF(ISNA(VLOOKUP(A78,'Données projet'!$A$165:$I$185,3,0)),0,VLOOKUP(A78,'Données projet'!$A$165:$I$185,3,0))</f>
        <v>11</v>
      </c>
      <c r="DW78" s="15">
        <f>IF(ISNA(VLOOKUP(A78,'Données projet'!$A$165:$I$185,4,0)),0,VLOOKUP(A78,'Données projet'!$A$165:$I$185,4,0))</f>
        <v>42</v>
      </c>
      <c r="DX78" s="16">
        <f>IF(ISNA(VLOOKUP(A78,'Données projet'!$A$165:$I$185,5,0)),0%,VLOOKUP(A78,'Données projet'!$A$165:$I$185,5,0)*VLOOKUP('Données projet'!$B$14,Paramètres!$A$1:$I$89,7,0))</f>
        <v>0.55000000000000004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109.17945226535582</v>
      </c>
      <c r="EB78" s="21">
        <f>EXP(-LN(2)/25)*EB77+(1-EXP(-LN(2)/25))/(LN(2)/25)*Calculateur!DW78*Calculateur!DY78*VLOOKUP('Données projet'!$B$14,Paramètres!$A$1:$I$89,3,0)*0.475*44/12</f>
        <v>5.6215593351747684</v>
      </c>
      <c r="EC78" s="21">
        <f>EXP(-LN(2)/2)*EC77+(1-EXP(-LN(2)/2))/(LN(2)/2)*DW78*DZ78*VLOOKUP('Données projet'!$B$14,Paramètres!$A$1:$I$89,3,0)*0.475*44/12</f>
        <v>6.4921824349192388E-7</v>
      </c>
      <c r="ED78" s="22">
        <f t="shared" si="72"/>
        <v>114.80101224974882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252</v>
      </c>
      <c r="EH78" s="12">
        <f>VLOOKUP(A78,'Données projet'!$A$191:$I$211,9,0)</f>
        <v>6.2</v>
      </c>
      <c r="EI78" s="12">
        <f t="array" ref="EI78">INDEX(EH:EH,MIN(IF(ISNUMBER(EH78:EH274),ROW(EH78:EH274),"")))</f>
        <v>6.2</v>
      </c>
      <c r="EJ78" s="12">
        <f>IF('Données projet'!$A$192&gt;35,EJ77+EI78-ER77,IF(A78&lt;'Données projet'!$A$192,$EG$205^A78,IF(A78='Données projet'!$A$192,'Données projet'!$B$192,EJ77+EI78-ER77)))</f>
        <v>251.99999999999991</v>
      </c>
      <c r="EK78" s="17">
        <f>EJ78*VLOOKUP('Données projet'!$B$15,Paramètres!$A$1:$I$89,3,0)*VLOOKUP('Données projet'!$B$15,Paramètres!$A$1:$I$89,5,0)</f>
        <v>228.00959999999992</v>
      </c>
      <c r="EL78" s="13">
        <f t="shared" si="99"/>
        <v>55.852093054619829</v>
      </c>
      <c r="EM78" s="20">
        <f t="shared" si="73"/>
        <v>494.3924487367961</v>
      </c>
      <c r="EN78" s="59">
        <f t="shared" si="74"/>
        <v>787.72578207012941</v>
      </c>
      <c r="EO78" s="59">
        <f ca="1">AVERAGE(OFFSET($EN$3,0,0,'Données projet'!$E$15+1,1))-AVERAGE(OFFSET($H$3,0,0,'Données projet'!$E$15+1,1))</f>
        <v>269.64423257646359</v>
      </c>
      <c r="EP78" s="59">
        <f t="shared" si="100"/>
        <v>161.0819079811821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21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56.508441011384726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56.508441011384726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340</v>
      </c>
      <c r="FC78" s="12">
        <f>VLOOKUP(A78,'Données projet'!$A$217:$I$237,9,0)</f>
        <v>9</v>
      </c>
      <c r="FD78" s="12">
        <f t="array" ref="FD78">INDEX(FC:FC,MIN(IF(ISNUMBER(FC78:FC274),ROW(FC78:FC274),"")))</f>
        <v>9</v>
      </c>
      <c r="FE78" s="12">
        <f>IF('Données projet'!$A$218&gt;35,FE77+FD78-FM77,IF(A78&lt;'Données projet'!$A$218,$FB$205^A78,IF(A78='Données projet'!$A$218,'Données projet'!$B$218,FE77+FD78-FM77)))</f>
        <v>340.00000000000017</v>
      </c>
      <c r="FF78" s="17">
        <f>FE78*VLOOKUP('Données projet'!$B$16,Paramètres!$A$1:$I$89,3,0)*VLOOKUP('Données projet'!$B$16,Paramètres!$A$1:$I$89,5,0)</f>
        <v>265.20000000000016</v>
      </c>
      <c r="FG78" s="13">
        <f t="shared" si="101"/>
        <v>63.829527109298382</v>
      </c>
      <c r="FH78" s="20">
        <f t="shared" si="76"/>
        <v>573.05975971536157</v>
      </c>
      <c r="FI78" s="59">
        <f t="shared" si="77"/>
        <v>866.39309304869494</v>
      </c>
      <c r="FJ78" s="59">
        <f ca="1">AVERAGE(OFFSET($FI$3,0,0,'Données projet'!$E$16+1,1))-AVERAGE(OFFSET($H$3,0,0,'Données projet'!$E$16+1,1))</f>
        <v>283.77864672734273</v>
      </c>
      <c r="FK78" s="59">
        <f t="shared" si="102"/>
        <v>270.94620935643866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31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78.50008347320518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78.50008347320518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324</v>
      </c>
      <c r="FX78" s="12">
        <f>VLOOKUP(A78,'Données projet'!$A$243:$I$263,9,0)</f>
        <v>4.2</v>
      </c>
      <c r="FY78" s="12">
        <f t="array" ref="FY78">INDEX(FX:FX,MIN(IF(ISNUMBER(FX78:FX274),ROW(FX78:FX274),"")))</f>
        <v>4.2</v>
      </c>
      <c r="FZ78" s="12">
        <f>IF('Données projet'!$A$244&gt;35,FZ77+FY78-GH77,IF(A78&lt;'Données projet'!$A$244,$FW$205^A78,IF(A78='Données projet'!$A$244,'Données projet'!$B$244,FZ77+FY78-GH77)))</f>
        <v>323.99999999999989</v>
      </c>
      <c r="GA78" s="17">
        <f>FZ78*VLOOKUP('Données projet'!$B$17,Paramètres!$A$1:$I$89,3,0)*VLOOKUP('Données projet'!$B$17,Paramètres!$A$1:$I$89,5,0)</f>
        <v>313.37279999999993</v>
      </c>
      <c r="GB78" s="13">
        <f t="shared" si="103"/>
        <v>73.972760827003654</v>
      </c>
      <c r="GC78" s="20">
        <f t="shared" si="79"/>
        <v>674.62685177369792</v>
      </c>
      <c r="GD78" s="59">
        <f t="shared" si="80"/>
        <v>967.96018510703129</v>
      </c>
      <c r="GE78" s="59">
        <f ca="1">AVERAGE(OFFSET($GD$3,0,0,'Données projet'!$E$17+1,1))-AVERAGE(OFFSET($H$3,0,0,'Données projet'!$E$17+1,1))</f>
        <v>347.54503437087288</v>
      </c>
      <c r="GF78" s="59">
        <f t="shared" si="104"/>
        <v>340.05673244455954</v>
      </c>
      <c r="GG78" s="15">
        <f>IF(ISNA(VLOOKUP(A78,'Données projet'!$A$243:$I$263,3,0)),0,VLOOKUP(A78,'Données projet'!$A$243:$I$263,3,0))</f>
        <v>13</v>
      </c>
      <c r="GH78" s="15">
        <f>IF(ISNA(VLOOKUP(A78,'Données projet'!$A$243:$I$263,4,0)),0,VLOOKUP(A78,'Données projet'!$A$243:$I$263,4,0))</f>
        <v>12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52.315158143275568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52.315158143275568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14.6</v>
      </c>
      <c r="N79" s="13">
        <f>IF('Données projet'!$A$36&gt;35,N78+M79-V78,IF(A79&lt;'Données projet'!$A$36,$K$205^A79,IF(A79='Données projet'!$A$36,'Données projet'!$B$36,N78+M79-V78)))</f>
        <v>717.6</v>
      </c>
      <c r="O79" s="13">
        <f>N79*VLOOKUP('Données projet'!$B$9,Paramètres!$A$1:$I$89,3,0)*VLOOKUP('Données projet'!$B$9,Paramètres!$A$1:$I$89,5,0)</f>
        <v>335.83680000000004</v>
      </c>
      <c r="P79" s="13">
        <f t="shared" si="87"/>
        <v>78.639187157507763</v>
      </c>
      <c r="Q79" s="20">
        <f t="shared" si="54"/>
        <v>721.87901096599273</v>
      </c>
      <c r="R79" s="59">
        <f t="shared" si="55"/>
        <v>1015.2123442993261</v>
      </c>
      <c r="S79" s="59">
        <f ca="1">AVERAGE(OFFSET($R$3,0,0,'Données projet'!$E$9+1,1))-AVERAGE(OFFSET($H$3,0,0,'Données projet'!$E$9+1,1))</f>
        <v>342.49944586217674</v>
      </c>
      <c r="T79" s="59">
        <f t="shared" si="88"/>
        <v>282.29766600872563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112.51266294986225</v>
      </c>
      <c r="AA79" s="21">
        <f>EXP(-LN(2)/25)*AA78+(1-EXP(-LN(2)/25))/(LN(2)/25)*Calculateur!V79*Calculateur!X79*VLOOKUP('Données projet'!$B$9,Paramètres!$A$1:$I$89,3,0)*0.475*44/12</f>
        <v>11.195367401287514</v>
      </c>
      <c r="AB79" s="21">
        <f>EXP(-LN(2)/2)*AB78+(1-EXP(-LN(2)/2))/(LN(2)/2)*V79*Y79*VLOOKUP('Données projet'!$B$9,Paramètres!$A$1:$I$89,3,0)*0.475*44/12</f>
        <v>9.869871944978585E-9</v>
      </c>
      <c r="AC79" s="22">
        <f t="shared" si="57"/>
        <v>123.70803036101962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739.99999999999966</v>
      </c>
      <c r="AJ79" s="13">
        <f>AI79*VLOOKUP('Données projet'!$B$10,Paramètres!$A$1:$I$89,3,0)*VLOOKUP('Données projet'!$B$10,Paramètres!$A$1:$I$89,5,0)</f>
        <v>413.65999999999985</v>
      </c>
      <c r="AK79" s="13">
        <f t="shared" si="89"/>
        <v>94.540585122244352</v>
      </c>
      <c r="AL79" s="20">
        <f t="shared" si="58"/>
        <v>885.11601908790863</v>
      </c>
      <c r="AM79" s="59">
        <f t="shared" si="59"/>
        <v>1178.4493524212419</v>
      </c>
      <c r="AN79" s="59">
        <f ca="1">AVERAGE(OFFSET($AM$3,0,0,'Données projet'!$E$10+1,1))-AVERAGE(OFFSET($H$3,0,0,'Données projet'!$E$10+1,1))</f>
        <v>490.96084572840579</v>
      </c>
      <c r="AO79" s="59">
        <f t="shared" si="90"/>
        <v>597.91658789908263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89.957935501632392</v>
      </c>
      <c r="AV79" s="21">
        <f>EXP(-LN(2)/25)*AV78+(1-EXP(-LN(2)/25))/(LN(2)/25)*Calculateur!AQ79*Calculateur!AS79*VLOOKUP('Données projet'!$B$10,Paramètres!$A$1:$I$89,3,0)*0.475*44/12</f>
        <v>16.139674701961752</v>
      </c>
      <c r="AW79" s="21">
        <f>EXP(-LN(2)/2)*AW78+(1-EXP(-LN(2)/2))/(LN(2)/2)*AQ79*AT79*VLOOKUP('Données projet'!$B$10,Paramètres!$A$1:$I$89,3,0)*0.475*44/12</f>
        <v>1.0138551792369666E-7</v>
      </c>
      <c r="AX79" s="21">
        <f t="shared" si="60"/>
        <v>106.09761030497967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2.4</v>
      </c>
      <c r="BD79" s="12">
        <f>IF('Données projet'!$A$88&gt;35,BD78+BC79-BL78,IF(A79&lt;'Données projet'!$A$88,$BA$205^A79,IF(A79='Données projet'!$A$88,'Données projet'!$B$88,BD78+BC79-BL78)))</f>
        <v>209.4</v>
      </c>
      <c r="BE79" s="13">
        <f>BD79*VLOOKUP('Données projet'!$B$11,Paramètres!$A$1:$I$89,3,0)*VLOOKUP('Données projet'!$B$11,Paramètres!$A$1:$I$89,5,0)</f>
        <v>166.59864000000002</v>
      </c>
      <c r="BF79" s="13">
        <f t="shared" si="91"/>
        <v>42.327338338081049</v>
      </c>
      <c r="BG79" s="20">
        <f t="shared" si="61"/>
        <v>363.87941227215782</v>
      </c>
      <c r="BH79" s="59">
        <f t="shared" si="62"/>
        <v>657.21274560549114</v>
      </c>
      <c r="BI79" s="59">
        <f ca="1">AVERAGE(OFFSET($BH$3,0,0,'Données projet'!$E$11+1,1))-AVERAGE(OFFSET($H$3,0,0,'Données projet'!$E$11+1,1))</f>
        <v>167.80254365106839</v>
      </c>
      <c r="BJ79" s="59">
        <f t="shared" si="92"/>
        <v>167.42302164950172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33.255207798889558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33.255207798889558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14.4</v>
      </c>
      <c r="BY79" s="12">
        <f>IF('Données projet'!$A$114&gt;35,BY78+BX79-CG78,IF(A79&lt;'Données projet'!$A$114,$BV$205^A79,IF(A79='Données projet'!$A$114,'Données projet'!$B$114,BY78+BX79-CG78)))</f>
        <v>653.4</v>
      </c>
      <c r="BZ79" s="13">
        <f>BY79*VLOOKUP('Données projet'!$B$12,Paramètres!$A$1:$I$89,3,0)*VLOOKUP('Données projet'!$B$12,Paramètres!$A$1:$I$89,5,0)</f>
        <v>322.77960000000002</v>
      </c>
      <c r="CA79" s="13">
        <f t="shared" si="93"/>
        <v>75.931412061883805</v>
      </c>
      <c r="CB79" s="20">
        <f t="shared" si="64"/>
        <v>694.42167934111421</v>
      </c>
      <c r="CC79" s="59">
        <f t="shared" si="65"/>
        <v>987.75501267444747</v>
      </c>
      <c r="CD79" s="59">
        <f ca="1">AVERAGE(OFFSET($CC$3,0,0,'Données projet'!$E$12+1,1))-AVERAGE(OFFSET($H$3,0,0,'Données projet'!$E$12+1,1))</f>
        <v>322.06606384496587</v>
      </c>
      <c r="CE79" s="59">
        <f t="shared" si="94"/>
        <v>267.71713177624713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109.93144249660155</v>
      </c>
      <c r="CL79" s="21">
        <f>EXP(-LN(2)/25)*CL78+(1-EXP(-LN(2)/25))/(LN(2)/25)*Calculateur!CG79*Calculateur!CI79*VLOOKUP('Données projet'!$B$12,Paramètres!$A$1:$I$89,3,0)*0.475*44/12</f>
        <v>5.6156168914086297</v>
      </c>
      <c r="CM79" s="21">
        <f>EXP(-LN(2)/2)*CM78+(1-EXP(-LN(2)/2))/(LN(2)/2)*CG79*CJ79*VLOOKUP('Données projet'!$B$12,Paramètres!$A$1:$I$89,3,0)*0.475*44/12</f>
        <v>4.7147382845513784E-7</v>
      </c>
      <c r="CN79" s="22">
        <f t="shared" si="66"/>
        <v>115.54705985948401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401</v>
      </c>
      <c r="CU79" s="17">
        <f>CT79*VLOOKUP('Données projet'!$B$13,Paramètres!$A$1:$I$89,3,0)*VLOOKUP('Données projet'!$B$13,Paramètres!$A$1:$I$89,5,0)</f>
        <v>250.22399999999999</v>
      </c>
      <c r="CV79" s="13">
        <f t="shared" si="95"/>
        <v>60.633904580527918</v>
      </c>
      <c r="CW79" s="20">
        <f t="shared" si="67"/>
        <v>541.41085047775289</v>
      </c>
      <c r="CX79" s="59">
        <f t="shared" si="68"/>
        <v>834.74418381108626</v>
      </c>
      <c r="CY79" s="59">
        <f ca="1">AVERAGE(OFFSET($CX$3,0,0,'Données projet'!$E$13+1,1))-AVERAGE(OFFSET($H$3,0,0,'Données projet'!$E$13+1,1))</f>
        <v>269.77739619445515</v>
      </c>
      <c r="CZ79" s="59">
        <f t="shared" si="96"/>
        <v>347.56964743629885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55.781771537894848</v>
      </c>
      <c r="DG79" s="21">
        <f>EXP(-LN(2)/25)*DG78+(1-EXP(-LN(2)/25))/(LN(2)/25)*Calculateur!DB79*Calculateur!DD79*VLOOKUP('Données projet'!$B$13,Paramètres!$A$1:$I$89,3,0)*0.475*44/12</f>
        <v>25.625592774238438</v>
      </c>
      <c r="DH79" s="21">
        <f>EXP(-LN(2)/2)*DH78+(1-EXP(-LN(2)/2))/(LN(2)/2)*DB79*DE79*VLOOKUP('Données projet'!$B$13,Paramètres!$A$1:$I$89,3,0)*0.475*44/12</f>
        <v>2.960961583493573E-9</v>
      </c>
      <c r="DI79" s="22">
        <f t="shared" si="69"/>
        <v>81.407364315094242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14.4</v>
      </c>
      <c r="DO79" s="12">
        <f>IF('Données projet'!$A$166&gt;35,DO78+DN79-DW78,IF(A79&lt;'Données projet'!$A$166,$DL$205^A79,IF(A79='Données projet'!$A$166,'Données projet'!$B$166,DO78+DN79-DW78)))</f>
        <v>653.4</v>
      </c>
      <c r="DP79" s="17">
        <f>DO79*VLOOKUP('Données projet'!$B$14,Paramètres!$A$1:$I$89,3,0)*VLOOKUP('Données projet'!$B$14,Paramètres!$A$1:$I$89,5,0)</f>
        <v>314.28539999999998</v>
      </c>
      <c r="DQ79" s="13">
        <f t="shared" si="97"/>
        <v>74.163075891551358</v>
      </c>
      <c r="DR79" s="20">
        <f t="shared" si="70"/>
        <v>676.5477621777851</v>
      </c>
      <c r="DS79" s="59">
        <f t="shared" si="71"/>
        <v>969.88109551111847</v>
      </c>
      <c r="DT79" s="59">
        <f ca="1">AVERAGE(OFFSET($DS$3,0,0,'Données projet'!$E$14+1,1))-AVERAGE(OFFSET($H$3,0,0,'Données projet'!$E$14+1,1))</f>
        <v>312.64506496298173</v>
      </c>
      <c r="DU79" s="59">
        <f t="shared" si="98"/>
        <v>259.97532509897508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107.03850979932257</v>
      </c>
      <c r="EB79" s="21">
        <f>EXP(-LN(2)/25)*EB78+(1-EXP(-LN(2)/25))/(LN(2)/25)*Calculateur!DW79*Calculateur!DY79*VLOOKUP('Données projet'!$B$14,Paramètres!$A$1:$I$89,3,0)*0.475*44/12</f>
        <v>5.4678374995294572</v>
      </c>
      <c r="EC79" s="21">
        <f>EXP(-LN(2)/2)*EC78+(1-EXP(-LN(2)/2))/(LN(2)/2)*DW79*DZ79*VLOOKUP('Données projet'!$B$14,Paramètres!$A$1:$I$89,3,0)*0.475*44/12</f>
        <v>4.5906662244315855E-7</v>
      </c>
      <c r="ED79" s="22">
        <f t="shared" si="72"/>
        <v>112.50634775791865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</v>
      </c>
      <c r="EJ79" s="12">
        <f>IF('Données projet'!$A$192&gt;35,EJ78+EI79-ER78,IF(A79&lt;'Données projet'!$A$192,$EG$205^A79,IF(A79='Données projet'!$A$192,'Données projet'!$B$192,EJ78+EI79-ER78)))</f>
        <v>236.99999999999989</v>
      </c>
      <c r="EK79" s="17">
        <f>EJ79*VLOOKUP('Données projet'!$B$15,Paramètres!$A$1:$I$89,3,0)*VLOOKUP('Données projet'!$B$15,Paramètres!$A$1:$I$89,5,0)</f>
        <v>214.43759999999989</v>
      </c>
      <c r="EL79" s="13">
        <f t="shared" si="99"/>
        <v>52.904129603372375</v>
      </c>
      <c r="EM79" s="20">
        <f t="shared" si="73"/>
        <v>465.62017905920658</v>
      </c>
      <c r="EN79" s="59">
        <f t="shared" si="74"/>
        <v>758.95351239253989</v>
      </c>
      <c r="EO79" s="59">
        <f ca="1">AVERAGE(OFFSET($EN$3,0,0,'Données projet'!$E$15+1,1))-AVERAGE(OFFSET($H$3,0,0,'Données projet'!$E$15+1,1))</f>
        <v>269.64423257646359</v>
      </c>
      <c r="EP79" s="59">
        <f t="shared" si="100"/>
        <v>161.0819079811821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55.400344949897182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55.400344949897182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8</v>
      </c>
      <c r="FE79" s="12">
        <f>IF('Données projet'!$A$218&gt;35,FE78+FD79-FM78,IF(A79&lt;'Données projet'!$A$218,$FB$205^A79,IF(A79='Données projet'!$A$218,'Données projet'!$B$218,FE78+FD79-FM78)))</f>
        <v>317.00000000000017</v>
      </c>
      <c r="FF79" s="17">
        <f>FE79*VLOOKUP('Données projet'!$B$16,Paramètres!$A$1:$I$89,3,0)*VLOOKUP('Données projet'!$B$16,Paramètres!$A$1:$I$89,5,0)</f>
        <v>247.26000000000013</v>
      </c>
      <c r="FG79" s="13">
        <f t="shared" si="101"/>
        <v>59.998835297287229</v>
      </c>
      <c r="FH79" s="20">
        <f t="shared" si="76"/>
        <v>535.14247147610877</v>
      </c>
      <c r="FI79" s="59">
        <f t="shared" si="77"/>
        <v>828.47580480944202</v>
      </c>
      <c r="FJ79" s="59">
        <f ca="1">AVERAGE(OFFSET($FI$3,0,0,'Données projet'!$E$16+1,1))-AVERAGE(OFFSET($H$3,0,0,'Données projet'!$E$16+1,1))</f>
        <v>283.77864672734273</v>
      </c>
      <c r="FK79" s="59">
        <f t="shared" si="102"/>
        <v>270.94620935643866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76.960744716618763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76.960744716618763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3.6</v>
      </c>
      <c r="FZ79" s="12">
        <f>IF('Données projet'!$A$244&gt;35,FZ78+FY79-GH78,IF(A79&lt;'Données projet'!$A$244,$FW$205^A79,IF(A79='Données projet'!$A$244,'Données projet'!$B$244,FZ78+FY79-GH78)))</f>
        <v>315.59999999999991</v>
      </c>
      <c r="GA79" s="17">
        <f>FZ79*VLOOKUP('Données projet'!$B$17,Paramètres!$A$1:$I$89,3,0)*VLOOKUP('Données projet'!$B$17,Paramètres!$A$1:$I$89,5,0)</f>
        <v>305.24831999999992</v>
      </c>
      <c r="GB79" s="13">
        <f t="shared" si="103"/>
        <v>72.275599918697424</v>
      </c>
      <c r="GC79" s="20">
        <f t="shared" si="79"/>
        <v>657.5208271917312</v>
      </c>
      <c r="GD79" s="59">
        <f t="shared" si="80"/>
        <v>950.85416052506457</v>
      </c>
      <c r="GE79" s="59">
        <f ca="1">AVERAGE(OFFSET($GD$3,0,0,'Données projet'!$E$17+1,1))-AVERAGE(OFFSET($H$3,0,0,'Données projet'!$E$17+1,1))</f>
        <v>347.54503437087288</v>
      </c>
      <c r="GF79" s="59">
        <f t="shared" si="104"/>
        <v>340.05673244455954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51.289289801181638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51.289289801181638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14.6</v>
      </c>
      <c r="N80" s="13">
        <f>IF('Données projet'!$A$36&gt;35,N79+M80-V79,IF(A80&lt;'Données projet'!$A$36,$K$205^A80,IF(A80='Données projet'!$A$36,'Données projet'!$B$36,N79+M80-V79)))</f>
        <v>732.2</v>
      </c>
      <c r="O80" s="13">
        <f>N80*VLOOKUP('Données projet'!$B$9,Paramètres!$A$1:$I$89,3,0)*VLOOKUP('Données projet'!$B$9,Paramètres!$A$1:$I$89,5,0)</f>
        <v>342.6696</v>
      </c>
      <c r="P80" s="13">
        <f t="shared" si="87"/>
        <v>80.051251371214221</v>
      </c>
      <c r="Q80" s="20">
        <f t="shared" si="54"/>
        <v>736.2388161381981</v>
      </c>
      <c r="R80" s="59">
        <f t="shared" si="55"/>
        <v>1029.5721494715315</v>
      </c>
      <c r="S80" s="59">
        <f ca="1">AVERAGE(OFFSET($R$3,0,0,'Données projet'!$E$9+1,1))-AVERAGE(OFFSET($H$3,0,0,'Données projet'!$E$9+1,1))</f>
        <v>342.49944586217674</v>
      </c>
      <c r="T80" s="59">
        <f t="shared" si="88"/>
        <v>282.29766600872563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110.30635825536359</v>
      </c>
      <c r="AA80" s="21">
        <f>EXP(-LN(2)/25)*AA79+(1-EXP(-LN(2)/25))/(LN(2)/25)*Calculateur!V80*Calculateur!X80*VLOOKUP('Données projet'!$B$9,Paramètres!$A$1:$I$89,3,0)*0.475*44/12</f>
        <v>10.889229490960522</v>
      </c>
      <c r="AB80" s="21">
        <f>EXP(-LN(2)/2)*AB79+(1-EXP(-LN(2)/2))/(LN(2)/2)*V80*Y80*VLOOKUP('Données projet'!$B$9,Paramètres!$A$1:$I$89,3,0)*0.475*44/12</f>
        <v>6.9790533817372166E-9</v>
      </c>
      <c r="AC80" s="22">
        <f t="shared" si="57"/>
        <v>121.19558775330316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739.99999999999966</v>
      </c>
      <c r="AJ80" s="13">
        <f>AI80*VLOOKUP('Données projet'!$B$10,Paramètres!$A$1:$I$89,3,0)*VLOOKUP('Données projet'!$B$10,Paramètres!$A$1:$I$89,5,0)</f>
        <v>413.65999999999985</v>
      </c>
      <c r="AK80" s="13">
        <f t="shared" si="89"/>
        <v>94.540585122244352</v>
      </c>
      <c r="AL80" s="20">
        <f t="shared" si="58"/>
        <v>885.11601908790863</v>
      </c>
      <c r="AM80" s="59">
        <f t="shared" si="59"/>
        <v>1178.4493524212419</v>
      </c>
      <c r="AN80" s="59">
        <f ca="1">AVERAGE(OFFSET($AM$3,0,0,'Données projet'!$E$10+1,1))-AVERAGE(OFFSET($H$3,0,0,'Données projet'!$E$10+1,1))</f>
        <v>490.96084572840579</v>
      </c>
      <c r="AO80" s="59">
        <f t="shared" si="90"/>
        <v>597.91658789908263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88.193915255368182</v>
      </c>
      <c r="AV80" s="21">
        <f>EXP(-LN(2)/25)*AV79+(1-EXP(-LN(2)/25))/(LN(2)/25)*Calculateur!AQ80*Calculateur!AS80*VLOOKUP('Données projet'!$B$10,Paramètres!$A$1:$I$89,3,0)*0.475*44/12</f>
        <v>15.698334448488003</v>
      </c>
      <c r="AW80" s="21">
        <f>EXP(-LN(2)/2)*AW79+(1-EXP(-LN(2)/2))/(LN(2)/2)*AQ80*AT80*VLOOKUP('Données projet'!$B$10,Paramètres!$A$1:$I$89,3,0)*0.475*44/12</f>
        <v>7.1690387237956162E-8</v>
      </c>
      <c r="AX80" s="21">
        <f t="shared" si="60"/>
        <v>103.89224977554657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2.4</v>
      </c>
      <c r="BD80" s="12">
        <f>IF('Données projet'!$A$88&gt;35,BD79+BC80-BL79,IF(A80&lt;'Données projet'!$A$88,$BA$205^A80,IF(A80='Données projet'!$A$88,'Données projet'!$B$88,BD79+BC80-BL79)))</f>
        <v>211.8</v>
      </c>
      <c r="BE80" s="13">
        <f>BD80*VLOOKUP('Données projet'!$B$11,Paramètres!$A$1:$I$89,3,0)*VLOOKUP('Données projet'!$B$11,Paramètres!$A$1:$I$89,5,0)</f>
        <v>168.50808000000001</v>
      </c>
      <c r="BF80" s="13">
        <f t="shared" si="91"/>
        <v>42.755711908378153</v>
      </c>
      <c r="BG80" s="20">
        <f t="shared" si="61"/>
        <v>367.95110424042531</v>
      </c>
      <c r="BH80" s="59">
        <f t="shared" si="62"/>
        <v>661.28443757375862</v>
      </c>
      <c r="BI80" s="59">
        <f ca="1">AVERAGE(OFFSET($BH$3,0,0,'Données projet'!$E$11+1,1))-AVERAGE(OFFSET($H$3,0,0,'Données projet'!$E$11+1,1))</f>
        <v>167.80254365106839</v>
      </c>
      <c r="BJ80" s="59">
        <f t="shared" si="92"/>
        <v>167.42302164950172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32.603093457627246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32.603093457627246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14.4</v>
      </c>
      <c r="BY80" s="12">
        <f>IF('Données projet'!$A$114&gt;35,BY79+BX80-CG79,IF(A80&lt;'Données projet'!$A$114,$BV$205^A80,IF(A80='Données projet'!$A$114,'Données projet'!$B$114,BY79+BX80-CG79)))</f>
        <v>667.8</v>
      </c>
      <c r="BZ80" s="13">
        <f>BY80*VLOOKUP('Données projet'!$B$12,Paramètres!$A$1:$I$89,3,0)*VLOOKUP('Données projet'!$B$12,Paramètres!$A$1:$I$89,5,0)</f>
        <v>329.89319999999998</v>
      </c>
      <c r="CA80" s="13">
        <f t="shared" si="93"/>
        <v>77.408164389876575</v>
      </c>
      <c r="CB80" s="20">
        <f t="shared" si="64"/>
        <v>709.38320964570164</v>
      </c>
      <c r="CC80" s="59">
        <f t="shared" si="65"/>
        <v>1002.716542979035</v>
      </c>
      <c r="CD80" s="59">
        <f ca="1">AVERAGE(OFFSET($CC$3,0,0,'Données projet'!$E$12+1,1))-AVERAGE(OFFSET($H$3,0,0,'Données projet'!$E$12+1,1))</f>
        <v>322.06606384496587</v>
      </c>
      <c r="CE80" s="59">
        <f t="shared" si="94"/>
        <v>267.71713177624713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107.77575396080232</v>
      </c>
      <c r="CL80" s="21">
        <f>EXP(-LN(2)/25)*CL79+(1-EXP(-LN(2)/25))/(LN(2)/25)*Calculateur!CG80*Calculateur!CI80*VLOOKUP('Données projet'!$B$12,Paramètres!$A$1:$I$89,3,0)*0.475*44/12</f>
        <v>5.4620575522006032</v>
      </c>
      <c r="CM80" s="21">
        <f>EXP(-LN(2)/2)*CM79+(1-EXP(-LN(2)/2))/(LN(2)/2)*CG80*CJ80*VLOOKUP('Données projet'!$B$12,Paramètres!$A$1:$I$89,3,0)*0.475*44/12</f>
        <v>3.3338234125261101E-7</v>
      </c>
      <c r="CN80" s="22">
        <f t="shared" si="66"/>
        <v>113.23781184638527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401</v>
      </c>
      <c r="CU80" s="17">
        <f>CT80*VLOOKUP('Données projet'!$B$13,Paramètres!$A$1:$I$89,3,0)*VLOOKUP('Données projet'!$B$13,Paramètres!$A$1:$I$89,5,0)</f>
        <v>250.22399999999999</v>
      </c>
      <c r="CV80" s="13">
        <f t="shared" si="95"/>
        <v>60.633904580527918</v>
      </c>
      <c r="CW80" s="20">
        <f t="shared" si="67"/>
        <v>541.41085047775289</v>
      </c>
      <c r="CX80" s="59">
        <f t="shared" si="68"/>
        <v>834.74418381108626</v>
      </c>
      <c r="CY80" s="59">
        <f ca="1">AVERAGE(OFFSET($CX$3,0,0,'Données projet'!$E$13+1,1))-AVERAGE(OFFSET($H$3,0,0,'Données projet'!$E$13+1,1))</f>
        <v>269.77739619445515</v>
      </c>
      <c r="CZ80" s="59">
        <f t="shared" si="96"/>
        <v>347.56964743629885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54.687925021557824</v>
      </c>
      <c r="DG80" s="21">
        <f>EXP(-LN(2)/25)*DG79+(1-EXP(-LN(2)/25))/(LN(2)/25)*Calculateur!DB80*Calculateur!DD80*VLOOKUP('Données projet'!$B$13,Paramètres!$A$1:$I$89,3,0)*0.475*44/12</f>
        <v>24.924859592235531</v>
      </c>
      <c r="DH80" s="21">
        <f>EXP(-LN(2)/2)*DH79+(1-EXP(-LN(2)/2))/(LN(2)/2)*DB80*DE80*VLOOKUP('Données projet'!$B$13,Paramètres!$A$1:$I$89,3,0)*0.475*44/12</f>
        <v>2.0937160145211631E-9</v>
      </c>
      <c r="DI80" s="22">
        <f t="shared" si="69"/>
        <v>79.612784615887065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14.4</v>
      </c>
      <c r="DO80" s="12">
        <f>IF('Données projet'!$A$166&gt;35,DO79+DN80-DW79,IF(A80&lt;'Données projet'!$A$166,$DL$205^A80,IF(A80='Données projet'!$A$166,'Données projet'!$B$166,DO79+DN80-DW79)))</f>
        <v>667.8</v>
      </c>
      <c r="DP80" s="17">
        <f>DO80*VLOOKUP('Données projet'!$B$14,Paramètres!$A$1:$I$89,3,0)*VLOOKUP('Données projet'!$B$14,Paramètres!$A$1:$I$89,5,0)</f>
        <v>321.21179999999998</v>
      </c>
      <c r="DQ80" s="13">
        <f t="shared" si="97"/>
        <v>75.605436727468515</v>
      </c>
      <c r="DR80" s="20">
        <f t="shared" si="70"/>
        <v>691.12335396700757</v>
      </c>
      <c r="DS80" s="59">
        <f t="shared" si="71"/>
        <v>984.45668730034095</v>
      </c>
      <c r="DT80" s="59">
        <f ca="1">AVERAGE(OFFSET($DS$3,0,0,'Données projet'!$E$14+1,1))-AVERAGE(OFFSET($H$3,0,0,'Données projet'!$E$14+1,1))</f>
        <v>312.64506496298173</v>
      </c>
      <c r="DU80" s="59">
        <f t="shared" si="98"/>
        <v>259.97532509897508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104.93954990920227</v>
      </c>
      <c r="EB80" s="21">
        <f>EXP(-LN(2)/25)*EB79+(1-EXP(-LN(2)/25))/(LN(2)/25)*Calculateur!DW80*Calculateur!DY80*VLOOKUP('Données projet'!$B$14,Paramètres!$A$1:$I$89,3,0)*0.475*44/12</f>
        <v>5.3183191955637472</v>
      </c>
      <c r="EC80" s="21">
        <f>EXP(-LN(2)/2)*EC79+(1-EXP(-LN(2)/2))/(LN(2)/2)*DW80*DZ80*VLOOKUP('Données projet'!$B$14,Paramètres!$A$1:$I$89,3,0)*0.475*44/12</f>
        <v>3.2460912174596194E-7</v>
      </c>
      <c r="ED80" s="22">
        <f t="shared" si="72"/>
        <v>110.25786942937513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6</v>
      </c>
      <c r="EJ80" s="12">
        <f>IF('Données projet'!$A$192&gt;35,EJ79+EI80-ER79,IF(A80&lt;'Données projet'!$A$192,$EG$205^A80,IF(A80='Données projet'!$A$192,'Données projet'!$B$192,EJ79+EI80-ER79)))</f>
        <v>242.99999999999989</v>
      </c>
      <c r="EK80" s="17">
        <f>EJ80*VLOOKUP('Données projet'!$B$15,Paramètres!$A$1:$I$89,3,0)*VLOOKUP('Données projet'!$B$15,Paramètres!$A$1:$I$89,5,0)</f>
        <v>219.86639999999989</v>
      </c>
      <c r="EL80" s="13">
        <f t="shared" si="99"/>
        <v>54.085847394182416</v>
      </c>
      <c r="EM80" s="20">
        <f t="shared" si="73"/>
        <v>477.13349754486745</v>
      </c>
      <c r="EN80" s="59">
        <f t="shared" si="74"/>
        <v>770.46683087820077</v>
      </c>
      <c r="EO80" s="59">
        <f ca="1">AVERAGE(OFFSET($EN$3,0,0,'Données projet'!$E$15+1,1))-AVERAGE(OFFSET($H$3,0,0,'Données projet'!$E$15+1,1))</f>
        <v>269.64423257646359</v>
      </c>
      <c r="EP80" s="59">
        <f t="shared" si="100"/>
        <v>161.0819079811821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54.313977976303548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54.313977976303548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8</v>
      </c>
      <c r="FE80" s="12">
        <f>IF('Données projet'!$A$218&gt;35,FE79+FD80-FM79,IF(A80&lt;'Données projet'!$A$218,$FB$205^A80,IF(A80='Données projet'!$A$218,'Données projet'!$B$218,FE79+FD80-FM79)))</f>
        <v>325.00000000000017</v>
      </c>
      <c r="FF80" s="17">
        <f>FE80*VLOOKUP('Données projet'!$B$16,Paramètres!$A$1:$I$89,3,0)*VLOOKUP('Données projet'!$B$16,Paramètres!$A$1:$I$89,5,0)</f>
        <v>253.50000000000014</v>
      </c>
      <c r="FG80" s="13">
        <f t="shared" si="101"/>
        <v>61.334805663162555</v>
      </c>
      <c r="FH80" s="20">
        <f t="shared" si="76"/>
        <v>548.33728653000833</v>
      </c>
      <c r="FI80" s="59">
        <f t="shared" si="77"/>
        <v>841.6706198633417</v>
      </c>
      <c r="FJ80" s="59">
        <f ca="1">AVERAGE(OFFSET($FI$3,0,0,'Données projet'!$E$16+1,1))-AVERAGE(OFFSET($H$3,0,0,'Données projet'!$E$16+1,1))</f>
        <v>283.77864672734273</v>
      </c>
      <c r="FK80" s="59">
        <f t="shared" si="102"/>
        <v>270.94620935643866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75.45159145414506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75.45159145414506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3.6</v>
      </c>
      <c r="FZ80" s="12">
        <f>IF('Données projet'!$A$244&gt;35,FZ79+FY80-GH79,IF(A80&lt;'Données projet'!$A$244,$FW$205^A80,IF(A80='Données projet'!$A$244,'Données projet'!$B$244,FZ79+FY80-GH79)))</f>
        <v>319.19999999999993</v>
      </c>
      <c r="GA80" s="17">
        <f>FZ80*VLOOKUP('Données projet'!$B$17,Paramètres!$A$1:$I$89,3,0)*VLOOKUP('Données projet'!$B$17,Paramètres!$A$1:$I$89,5,0)</f>
        <v>308.73023999999998</v>
      </c>
      <c r="GB80" s="13">
        <f t="shared" si="103"/>
        <v>73.003590434710517</v>
      </c>
      <c r="GC80" s="20">
        <f t="shared" si="79"/>
        <v>664.85308800712085</v>
      </c>
      <c r="GD80" s="59">
        <f t="shared" si="80"/>
        <v>958.18642134045422</v>
      </c>
      <c r="GE80" s="59">
        <f ca="1">AVERAGE(OFFSET($GD$3,0,0,'Données projet'!$E$17+1,1))-AVERAGE(OFFSET($H$3,0,0,'Données projet'!$E$17+1,1))</f>
        <v>347.54503437087288</v>
      </c>
      <c r="GF80" s="59">
        <f t="shared" si="104"/>
        <v>340.05673244455954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50.283538111558265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50.283538111558265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14.6</v>
      </c>
      <c r="N81" s="13">
        <f>IF('Données projet'!$A$36&gt;35,N80+M81-V80,IF(A81&lt;'Données projet'!$A$36,$K$205^A81,IF(A81='Données projet'!$A$36,'Données projet'!$B$36,N80+M81-V80)))</f>
        <v>746.80000000000007</v>
      </c>
      <c r="O81" s="13">
        <f>N81*VLOOKUP('Données projet'!$B$9,Paramètres!$A$1:$I$89,3,0)*VLOOKUP('Données projet'!$B$9,Paramètres!$A$1:$I$89,5,0)</f>
        <v>349.50240000000002</v>
      </c>
      <c r="P81" s="13">
        <f t="shared" si="87"/>
        <v>81.460041747724091</v>
      </c>
      <c r="Q81" s="20">
        <f t="shared" si="54"/>
        <v>750.59291937728619</v>
      </c>
      <c r="R81" s="59">
        <f t="shared" si="55"/>
        <v>1043.9262527106196</v>
      </c>
      <c r="S81" s="59">
        <f ca="1">AVERAGE(OFFSET($R$3,0,0,'Données projet'!$E$9+1,1))-AVERAGE(OFFSET($H$3,0,0,'Données projet'!$E$9+1,1))</f>
        <v>342.49944586217674</v>
      </c>
      <c r="T81" s="59">
        <f t="shared" si="88"/>
        <v>282.29766600872563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108.14331785021108</v>
      </c>
      <c r="AA81" s="21">
        <f>EXP(-LN(2)/25)*AA80+(1-EXP(-LN(2)/25))/(LN(2)/25)*Calculateur!V81*Calculateur!X81*VLOOKUP('Données projet'!$B$9,Paramètres!$A$1:$I$89,3,0)*0.475*44/12</f>
        <v>10.591462937890515</v>
      </c>
      <c r="AB81" s="21">
        <f>EXP(-LN(2)/2)*AB80+(1-EXP(-LN(2)/2))/(LN(2)/2)*V81*Y81*VLOOKUP('Données projet'!$B$9,Paramètres!$A$1:$I$89,3,0)*0.475*44/12</f>
        <v>4.9349359724892925E-9</v>
      </c>
      <c r="AC81" s="22">
        <f t="shared" si="57"/>
        <v>118.73478079303652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739.99999999999966</v>
      </c>
      <c r="AJ81" s="13">
        <f>AI81*VLOOKUP('Données projet'!$B$10,Paramètres!$A$1:$I$89,3,0)*VLOOKUP('Données projet'!$B$10,Paramètres!$A$1:$I$89,5,0)</f>
        <v>413.65999999999985</v>
      </c>
      <c r="AK81" s="13">
        <f t="shared" si="89"/>
        <v>94.540585122244352</v>
      </c>
      <c r="AL81" s="20">
        <f t="shared" si="58"/>
        <v>885.11601908790863</v>
      </c>
      <c r="AM81" s="59">
        <f t="shared" si="59"/>
        <v>1178.4493524212419</v>
      </c>
      <c r="AN81" s="59">
        <f ca="1">AVERAGE(OFFSET($AM$3,0,0,'Données projet'!$E$10+1,1))-AVERAGE(OFFSET($H$3,0,0,'Données projet'!$E$10+1,1))</f>
        <v>490.96084572840579</v>
      </c>
      <c r="AO81" s="59">
        <f t="shared" si="90"/>
        <v>597.91658789908263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86.464486370187103</v>
      </c>
      <c r="AV81" s="21">
        <f>EXP(-LN(2)/25)*AV80+(1-EXP(-LN(2)/25))/(LN(2)/25)*Calculateur!AQ81*Calculateur!AS81*VLOOKUP('Données projet'!$B$10,Paramètres!$A$1:$I$89,3,0)*0.475*44/12</f>
        <v>15.26906266745457</v>
      </c>
      <c r="AW81" s="21">
        <f>EXP(-LN(2)/2)*AW80+(1-EXP(-LN(2)/2))/(LN(2)/2)*AQ81*AT81*VLOOKUP('Données projet'!$B$10,Paramètres!$A$1:$I$89,3,0)*0.475*44/12</f>
        <v>5.0692758961848328E-8</v>
      </c>
      <c r="AX81" s="21">
        <f t="shared" si="60"/>
        <v>101.73354908833443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2.4</v>
      </c>
      <c r="BD81" s="12">
        <f>IF('Données projet'!$A$88&gt;35,BD80+BC81-BL80,IF(A81&lt;'Données projet'!$A$88,$BA$205^A81,IF(A81='Données projet'!$A$88,'Données projet'!$B$88,BD80+BC81-BL80)))</f>
        <v>214.20000000000002</v>
      </c>
      <c r="BE81" s="13">
        <f>BD81*VLOOKUP('Données projet'!$B$11,Paramètres!$A$1:$I$89,3,0)*VLOOKUP('Données projet'!$B$11,Paramètres!$A$1:$I$89,5,0)</f>
        <v>170.41752000000002</v>
      </c>
      <c r="BF81" s="13">
        <f t="shared" si="91"/>
        <v>43.183520822110523</v>
      </c>
      <c r="BG81" s="20">
        <f t="shared" si="61"/>
        <v>372.02181276517587</v>
      </c>
      <c r="BH81" s="59">
        <f t="shared" si="62"/>
        <v>665.35514609850918</v>
      </c>
      <c r="BI81" s="59">
        <f ca="1">AVERAGE(OFFSET($BH$3,0,0,'Données projet'!$E$11+1,1))-AVERAGE(OFFSET($H$3,0,0,'Données projet'!$E$11+1,1))</f>
        <v>167.80254365106839</v>
      </c>
      <c r="BJ81" s="59">
        <f t="shared" si="92"/>
        <v>167.42302164950172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31.963766680846614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31.963766680846614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14.4</v>
      </c>
      <c r="BY81" s="12">
        <f>IF('Données projet'!$A$114&gt;35,BY80+BX81-CG80,IF(A81&lt;'Données projet'!$A$114,$BV$205^A81,IF(A81='Données projet'!$A$114,'Données projet'!$B$114,BY80+BX81-CG80)))</f>
        <v>682.19999999999993</v>
      </c>
      <c r="BZ81" s="13">
        <f>BY81*VLOOKUP('Données projet'!$B$12,Paramètres!$A$1:$I$89,3,0)*VLOOKUP('Données projet'!$B$12,Paramètres!$A$1:$I$89,5,0)</f>
        <v>337.0068</v>
      </c>
      <c r="CA81" s="13">
        <f t="shared" si="93"/>
        <v>78.881214453921757</v>
      </c>
      <c r="CB81" s="20">
        <f t="shared" si="64"/>
        <v>724.33829184058038</v>
      </c>
      <c r="CC81" s="59">
        <f t="shared" si="65"/>
        <v>1017.6716251739138</v>
      </c>
      <c r="CD81" s="59">
        <f ca="1">AVERAGE(OFFSET($CC$3,0,0,'Données projet'!$E$12+1,1))-AVERAGE(OFFSET($H$3,0,0,'Données projet'!$E$12+1,1))</f>
        <v>322.06606384496587</v>
      </c>
      <c r="CE81" s="59">
        <f t="shared" si="94"/>
        <v>267.71713177624713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105.66233716234994</v>
      </c>
      <c r="CL81" s="21">
        <f>EXP(-LN(2)/25)*CL80+(1-EXP(-LN(2)/25))/(LN(2)/25)*Calculateur!CG81*Calculateur!CI81*VLOOKUP('Données projet'!$B$12,Paramètres!$A$1:$I$89,3,0)*0.475*44/12</f>
        <v>5.312697301198555</v>
      </c>
      <c r="CM81" s="21">
        <f>EXP(-LN(2)/2)*CM80+(1-EXP(-LN(2)/2))/(LN(2)/2)*CG81*CJ81*VLOOKUP('Données projet'!$B$12,Paramètres!$A$1:$I$89,3,0)*0.475*44/12</f>
        <v>2.3573691422756895E-7</v>
      </c>
      <c r="CN81" s="22">
        <f t="shared" si="66"/>
        <v>110.97503469928542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401</v>
      </c>
      <c r="CU81" s="17">
        <f>CT81*VLOOKUP('Données projet'!$B$13,Paramètres!$A$1:$I$89,3,0)*VLOOKUP('Données projet'!$B$13,Paramètres!$A$1:$I$89,5,0)</f>
        <v>250.22399999999999</v>
      </c>
      <c r="CV81" s="13">
        <f t="shared" si="95"/>
        <v>60.633904580527918</v>
      </c>
      <c r="CW81" s="20">
        <f t="shared" si="67"/>
        <v>541.41085047775289</v>
      </c>
      <c r="CX81" s="59">
        <f t="shared" si="68"/>
        <v>834.74418381108626</v>
      </c>
      <c r="CY81" s="59">
        <f ca="1">AVERAGE(OFFSET($CX$3,0,0,'Données projet'!$E$13+1,1))-AVERAGE(OFFSET($H$3,0,0,'Données projet'!$E$13+1,1))</f>
        <v>269.77739619445515</v>
      </c>
      <c r="CZ81" s="59">
        <f t="shared" si="96"/>
        <v>347.56964743629885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53.615528168225673</v>
      </c>
      <c r="DG81" s="21">
        <f>EXP(-LN(2)/25)*DG80+(1-EXP(-LN(2)/25))/(LN(2)/25)*Calculateur!DB81*Calculateur!DD81*VLOOKUP('Données projet'!$B$13,Paramètres!$A$1:$I$89,3,0)*0.475*44/12</f>
        <v>24.243287995944453</v>
      </c>
      <c r="DH81" s="21">
        <f>EXP(-LN(2)/2)*DH80+(1-EXP(-LN(2)/2))/(LN(2)/2)*DB81*DE81*VLOOKUP('Données projet'!$B$13,Paramètres!$A$1:$I$89,3,0)*0.475*44/12</f>
        <v>1.4804807917467865E-9</v>
      </c>
      <c r="DI81" s="22">
        <f t="shared" si="69"/>
        <v>77.858816165650609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14.4</v>
      </c>
      <c r="DO81" s="12">
        <f>IF('Données projet'!$A$166&gt;35,DO80+DN81-DW80,IF(A81&lt;'Données projet'!$A$166,$DL$205^A81,IF(A81='Données projet'!$A$166,'Données projet'!$B$166,DO80+DN81-DW80)))</f>
        <v>682.19999999999993</v>
      </c>
      <c r="DP81" s="17">
        <f>DO81*VLOOKUP('Données projet'!$B$14,Paramètres!$A$1:$I$89,3,0)*VLOOKUP('Données projet'!$B$14,Paramètres!$A$1:$I$89,5,0)</f>
        <v>328.13819999999998</v>
      </c>
      <c r="DQ81" s="13">
        <f t="shared" si="97"/>
        <v>77.044181519976746</v>
      </c>
      <c r="DR81" s="20">
        <f t="shared" si="70"/>
        <v>705.69264781395941</v>
      </c>
      <c r="DS81" s="59">
        <f t="shared" si="71"/>
        <v>999.02598114729267</v>
      </c>
      <c r="DT81" s="59">
        <f ca="1">AVERAGE(OFFSET($DS$3,0,0,'Données projet'!$E$14+1,1))-AVERAGE(OFFSET($H$3,0,0,'Données projet'!$E$14+1,1))</f>
        <v>312.64506496298173</v>
      </c>
      <c r="DU81" s="59">
        <f t="shared" si="98"/>
        <v>259.97532509897508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102.88174934228812</v>
      </c>
      <c r="EB81" s="21">
        <f>EXP(-LN(2)/25)*EB80+(1-EXP(-LN(2)/25))/(LN(2)/25)*Calculateur!DW81*Calculateur!DY81*VLOOKUP('Données projet'!$B$14,Paramètres!$A$1:$I$89,3,0)*0.475*44/12</f>
        <v>5.1728894774828049</v>
      </c>
      <c r="EC81" s="21">
        <f>EXP(-LN(2)/2)*EC80+(1-EXP(-LN(2)/2))/(LN(2)/2)*DW81*DZ81*VLOOKUP('Données projet'!$B$14,Paramètres!$A$1:$I$89,3,0)*0.475*44/12</f>
        <v>2.2953331122157928E-7</v>
      </c>
      <c r="ED81" s="22">
        <f t="shared" si="72"/>
        <v>108.05463904930424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</v>
      </c>
      <c r="EJ81" s="12">
        <f>IF('Données projet'!$A$192&gt;35,EJ80+EI81-ER80,IF(A81&lt;'Données projet'!$A$192,$EG$205^A81,IF(A81='Données projet'!$A$192,'Données projet'!$B$192,EJ80+EI81-ER80)))</f>
        <v>248.99999999999989</v>
      </c>
      <c r="EK81" s="17">
        <f>EJ81*VLOOKUP('Données projet'!$B$15,Paramètres!$A$1:$I$89,3,0)*VLOOKUP('Données projet'!$B$15,Paramètres!$A$1:$I$89,5,0)</f>
        <v>225.29519999999991</v>
      </c>
      <c r="EL81" s="13">
        <f t="shared" si="99"/>
        <v>55.264173352293078</v>
      </c>
      <c r="EM81" s="20">
        <f t="shared" si="73"/>
        <v>488.64090858857691</v>
      </c>
      <c r="EN81" s="59">
        <f t="shared" si="74"/>
        <v>781.97424192191022</v>
      </c>
      <c r="EO81" s="59">
        <f ca="1">AVERAGE(OFFSET($EN$3,0,0,'Données projet'!$E$15+1,1))-AVERAGE(OFFSET($H$3,0,0,'Données projet'!$E$15+1,1))</f>
        <v>269.64423257646359</v>
      </c>
      <c r="EP81" s="59">
        <f t="shared" si="100"/>
        <v>161.0819079811821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53.248913996443655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53.248913996443655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8</v>
      </c>
      <c r="FE81" s="12">
        <f>IF('Données projet'!$A$218&gt;35,FE80+FD81-FM80,IF(A81&lt;'Données projet'!$A$218,$FB$205^A81,IF(A81='Données projet'!$A$218,'Données projet'!$B$218,FE80+FD81-FM80)))</f>
        <v>333.00000000000017</v>
      </c>
      <c r="FF81" s="17">
        <f>FE81*VLOOKUP('Données projet'!$B$16,Paramètres!$A$1:$I$89,3,0)*VLOOKUP('Données projet'!$B$16,Paramètres!$A$1:$I$89,5,0)</f>
        <v>259.74000000000012</v>
      </c>
      <c r="FG81" s="13">
        <f t="shared" si="101"/>
        <v>62.666953236268782</v>
      </c>
      <c r="FH81" s="20">
        <f t="shared" si="76"/>
        <v>561.52544355316832</v>
      </c>
      <c r="FI81" s="59">
        <f t="shared" si="77"/>
        <v>854.85877688650157</v>
      </c>
      <c r="FJ81" s="59">
        <f ca="1">AVERAGE(OFFSET($FI$3,0,0,'Données projet'!$E$16+1,1))-AVERAGE(OFFSET($H$3,0,0,'Données projet'!$E$16+1,1))</f>
        <v>283.77864672734273</v>
      </c>
      <c r="FK81" s="59">
        <f t="shared" si="102"/>
        <v>270.94620935643866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73.972031766655874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73.972031766655874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3.6</v>
      </c>
      <c r="FZ81" s="12">
        <f>IF('Données projet'!$A$244&gt;35,FZ80+FY81-GH80,IF(A81&lt;'Données projet'!$A$244,$FW$205^A81,IF(A81='Données projet'!$A$244,'Données projet'!$B$244,FZ80+FY81-GH80)))</f>
        <v>322.79999999999995</v>
      </c>
      <c r="GA81" s="17">
        <f>FZ81*VLOOKUP('Données projet'!$B$17,Paramètres!$A$1:$I$89,3,0)*VLOOKUP('Données projet'!$B$17,Paramètres!$A$1:$I$89,5,0)</f>
        <v>312.21215999999998</v>
      </c>
      <c r="GB81" s="13">
        <f t="shared" si="103"/>
        <v>73.730625863532069</v>
      </c>
      <c r="GC81" s="20">
        <f t="shared" si="79"/>
        <v>672.18368537898493</v>
      </c>
      <c r="GD81" s="59">
        <f t="shared" si="80"/>
        <v>965.5170187123183</v>
      </c>
      <c r="GE81" s="59">
        <f ca="1">AVERAGE(OFFSET($GD$3,0,0,'Données projet'!$E$17+1,1))-AVERAGE(OFFSET($H$3,0,0,'Données projet'!$E$17+1,1))</f>
        <v>347.54503437087288</v>
      </c>
      <c r="GF81" s="59">
        <f t="shared" si="104"/>
        <v>340.05673244455954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49.297508599120448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49.297508599120448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14.6</v>
      </c>
      <c r="N82" s="13">
        <f>IF('Données projet'!$A$36&gt;35,N81+M82-V81,IF(A82&lt;'Données projet'!$A$36,$K$205^A82,IF(A82='Données projet'!$A$36,'Données projet'!$B$36,N81+M82-V81)))</f>
        <v>761.40000000000009</v>
      </c>
      <c r="O82" s="13">
        <f>N82*VLOOKUP('Données projet'!$B$9,Paramètres!$A$1:$I$89,3,0)*VLOOKUP('Données projet'!$B$9,Paramètres!$A$1:$I$89,5,0)</f>
        <v>356.33520000000004</v>
      </c>
      <c r="P82" s="13">
        <f t="shared" si="87"/>
        <v>82.865629668793161</v>
      </c>
      <c r="Q82" s="20">
        <f t="shared" si="54"/>
        <v>764.94144500648144</v>
      </c>
      <c r="R82" s="59">
        <f t="shared" si="55"/>
        <v>1058.2747783398147</v>
      </c>
      <c r="S82" s="59">
        <f ca="1">AVERAGE(OFFSET($R$3,0,0,'Données projet'!$E$9+1,1))-AVERAGE(OFFSET($H$3,0,0,'Données projet'!$E$9+1,1))</f>
        <v>342.49944586217674</v>
      </c>
      <c r="T82" s="59">
        <f t="shared" si="88"/>
        <v>282.29766600872563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106.02269334807923</v>
      </c>
      <c r="AA82" s="21">
        <f>EXP(-LN(2)/25)*AA81+(1-EXP(-LN(2)/25))/(LN(2)/25)*Calculateur!V82*Calculateur!X82*VLOOKUP('Données projet'!$B$9,Paramètres!$A$1:$I$89,3,0)*0.475*44/12</f>
        <v>10.30183882687307</v>
      </c>
      <c r="AB82" s="21">
        <f>EXP(-LN(2)/2)*AB81+(1-EXP(-LN(2)/2))/(LN(2)/2)*V82*Y82*VLOOKUP('Données projet'!$B$9,Paramètres!$A$1:$I$89,3,0)*0.475*44/12</f>
        <v>3.4895266908686083E-9</v>
      </c>
      <c r="AC82" s="22">
        <f t="shared" si="57"/>
        <v>116.32453217844183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739.99999999999966</v>
      </c>
      <c r="AJ82" s="13">
        <f>AI82*VLOOKUP('Données projet'!$B$10,Paramètres!$A$1:$I$89,3,0)*VLOOKUP('Données projet'!$B$10,Paramètres!$A$1:$I$89,5,0)</f>
        <v>413.65999999999985</v>
      </c>
      <c r="AK82" s="13">
        <f t="shared" si="89"/>
        <v>94.540585122244352</v>
      </c>
      <c r="AL82" s="20">
        <f t="shared" si="58"/>
        <v>885.11601908790863</v>
      </c>
      <c r="AM82" s="59">
        <f t="shared" si="59"/>
        <v>1178.4493524212419</v>
      </c>
      <c r="AN82" s="59">
        <f ca="1">AVERAGE(OFFSET($AM$3,0,0,'Données projet'!$E$10+1,1))-AVERAGE(OFFSET($H$3,0,0,'Données projet'!$E$10+1,1))</f>
        <v>490.96084572840579</v>
      </c>
      <c r="AO82" s="59">
        <f t="shared" si="90"/>
        <v>597.91658789908263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84.76897053059696</v>
      </c>
      <c r="AV82" s="21">
        <f>EXP(-LN(2)/25)*AV81+(1-EXP(-LN(2)/25))/(LN(2)/25)*Calculateur!AQ82*Calculateur!AS82*VLOOKUP('Données projet'!$B$10,Paramètres!$A$1:$I$89,3,0)*0.475*44/12</f>
        <v>14.851529345847917</v>
      </c>
      <c r="AW82" s="21">
        <f>EXP(-LN(2)/2)*AW81+(1-EXP(-LN(2)/2))/(LN(2)/2)*AQ82*AT82*VLOOKUP('Données projet'!$B$10,Paramètres!$A$1:$I$89,3,0)*0.475*44/12</f>
        <v>3.5845193618978081E-8</v>
      </c>
      <c r="AX82" s="21">
        <f t="shared" si="60"/>
        <v>99.620499912290072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2.4</v>
      </c>
      <c r="BD82" s="12">
        <f>IF('Données projet'!$A$88&gt;35,BD81+BC82-BL81,IF(A82&lt;'Données projet'!$A$88,$BA$205^A82,IF(A82='Données projet'!$A$88,'Données projet'!$B$88,BD81+BC82-BL81)))</f>
        <v>216.60000000000002</v>
      </c>
      <c r="BE82" s="13">
        <f>BD82*VLOOKUP('Données projet'!$B$11,Paramètres!$A$1:$I$89,3,0)*VLOOKUP('Données projet'!$B$11,Paramètres!$A$1:$I$89,5,0)</f>
        <v>172.32696000000001</v>
      </c>
      <c r="BF82" s="13">
        <f t="shared" si="91"/>
        <v>43.61077213808133</v>
      </c>
      <c r="BG82" s="20">
        <f t="shared" si="61"/>
        <v>376.09155014049162</v>
      </c>
      <c r="BH82" s="59">
        <f t="shared" si="62"/>
        <v>669.42488347382493</v>
      </c>
      <c r="BI82" s="59">
        <f ca="1">AVERAGE(OFFSET($BH$3,0,0,'Données projet'!$E$11+1,1))-AVERAGE(OFFSET($H$3,0,0,'Données projet'!$E$11+1,1))</f>
        <v>167.80254365106839</v>
      </c>
      <c r="BJ82" s="59">
        <f t="shared" si="92"/>
        <v>167.42302164950172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31.336976712207822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31.336976712207822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14.4</v>
      </c>
      <c r="BY82" s="12">
        <f>IF('Données projet'!$A$114&gt;35,BY81+BX82-CG81,IF(A82&lt;'Données projet'!$A$114,$BV$205^A82,IF(A82='Données projet'!$A$114,'Données projet'!$B$114,BY81+BX82-CG81)))</f>
        <v>696.59999999999991</v>
      </c>
      <c r="BZ82" s="13">
        <f>BY82*VLOOKUP('Données projet'!$B$12,Paramètres!$A$1:$I$89,3,0)*VLOOKUP('Données projet'!$B$12,Paramètres!$A$1:$I$89,5,0)</f>
        <v>344.12039999999996</v>
      </c>
      <c r="CA82" s="13">
        <f t="shared" si="93"/>
        <v>80.350649404480691</v>
      </c>
      <c r="CB82" s="20">
        <f t="shared" si="64"/>
        <v>739.28707771280381</v>
      </c>
      <c r="CC82" s="59">
        <f t="shared" si="65"/>
        <v>1032.6204110461372</v>
      </c>
      <c r="CD82" s="59">
        <f ca="1">AVERAGE(OFFSET($CC$3,0,0,'Données projet'!$E$12+1,1))-AVERAGE(OFFSET($H$3,0,0,'Données projet'!$E$12+1,1))</f>
        <v>322.06606384496587</v>
      </c>
      <c r="CE82" s="59">
        <f t="shared" si="94"/>
        <v>267.71713177624713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103.59036317825826</v>
      </c>
      <c r="CL82" s="21">
        <f>EXP(-LN(2)/25)*CL81+(1-EXP(-LN(2)/25))/(LN(2)/25)*Calculateur!CG82*Calculateur!CI82*VLOOKUP('Données projet'!$B$12,Paramètres!$A$1:$I$89,3,0)*0.475*44/12</f>
        <v>5.1674213141146721</v>
      </c>
      <c r="CM82" s="21">
        <f>EXP(-LN(2)/2)*CM81+(1-EXP(-LN(2)/2))/(LN(2)/2)*CG82*CJ82*VLOOKUP('Données projet'!$B$12,Paramètres!$A$1:$I$89,3,0)*0.475*44/12</f>
        <v>1.6669117062630553E-7</v>
      </c>
      <c r="CN82" s="22">
        <f t="shared" si="66"/>
        <v>108.7577846590641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401</v>
      </c>
      <c r="CU82" s="17">
        <f>CT82*VLOOKUP('Données projet'!$B$13,Paramètres!$A$1:$I$89,3,0)*VLOOKUP('Données projet'!$B$13,Paramètres!$A$1:$I$89,5,0)</f>
        <v>250.22399999999999</v>
      </c>
      <c r="CV82" s="13">
        <f t="shared" si="95"/>
        <v>60.633904580527918</v>
      </c>
      <c r="CW82" s="20">
        <f t="shared" si="67"/>
        <v>541.41085047775289</v>
      </c>
      <c r="CX82" s="59">
        <f t="shared" si="68"/>
        <v>834.74418381108626</v>
      </c>
      <c r="CY82" s="59">
        <f ca="1">AVERAGE(OFFSET($CX$3,0,0,'Données projet'!$E$13+1,1))-AVERAGE(OFFSET($H$3,0,0,'Données projet'!$E$13+1,1))</f>
        <v>269.77739619445515</v>
      </c>
      <c r="CZ82" s="59">
        <f t="shared" si="96"/>
        <v>347.56964743629885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52.564160363089869</v>
      </c>
      <c r="DG82" s="21">
        <f>EXP(-LN(2)/25)*DG81+(1-EXP(-LN(2)/25))/(LN(2)/25)*Calculateur!DB82*Calculateur!DD82*VLOOKUP('Données projet'!$B$13,Paramètres!$A$1:$I$89,3,0)*0.475*44/12</f>
        <v>23.580354010796245</v>
      </c>
      <c r="DH82" s="21">
        <f>EXP(-LN(2)/2)*DH81+(1-EXP(-LN(2)/2))/(LN(2)/2)*DB82*DE82*VLOOKUP('Données projet'!$B$13,Paramètres!$A$1:$I$89,3,0)*0.475*44/12</f>
        <v>1.0468580072605816E-9</v>
      </c>
      <c r="DI82" s="22">
        <f t="shared" si="69"/>
        <v>76.144514374932967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14.4</v>
      </c>
      <c r="DO82" s="12">
        <f>IF('Données projet'!$A$166&gt;35,DO81+DN82-DW81,IF(A82&lt;'Données projet'!$A$166,$DL$205^A82,IF(A82='Données projet'!$A$166,'Données projet'!$B$166,DO81+DN82-DW81)))</f>
        <v>696.59999999999991</v>
      </c>
      <c r="DP82" s="17">
        <f>DO82*VLOOKUP('Données projet'!$B$14,Paramètres!$A$1:$I$89,3,0)*VLOOKUP('Données projet'!$B$14,Paramètres!$A$1:$I$89,5,0)</f>
        <v>335.06459999999998</v>
      </c>
      <c r="DQ82" s="13">
        <f t="shared" si="97"/>
        <v>78.479395389925372</v>
      </c>
      <c r="DR82" s="20">
        <f t="shared" si="70"/>
        <v>720.25579197078662</v>
      </c>
      <c r="DS82" s="59">
        <f t="shared" si="71"/>
        <v>1013.58912530412</v>
      </c>
      <c r="DT82" s="59">
        <f ca="1">AVERAGE(OFFSET($DS$3,0,0,'Données projet'!$E$14+1,1))-AVERAGE(OFFSET($H$3,0,0,'Données projet'!$E$14+1,1))</f>
        <v>312.64506496298173</v>
      </c>
      <c r="DU82" s="59">
        <f t="shared" si="98"/>
        <v>259.97532509897508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100.86430098935674</v>
      </c>
      <c r="EB82" s="21">
        <f>EXP(-LN(2)/25)*EB81+(1-EXP(-LN(2)/25))/(LN(2)/25)*Calculateur!DW82*Calculateur!DY82*VLOOKUP('Données projet'!$B$14,Paramètres!$A$1:$I$89,3,0)*0.475*44/12</f>
        <v>5.0314365426906029</v>
      </c>
      <c r="EC82" s="21">
        <f>EXP(-LN(2)/2)*EC81+(1-EXP(-LN(2)/2))/(LN(2)/2)*DW82*DZ82*VLOOKUP('Données projet'!$B$14,Paramètres!$A$1:$I$89,3,0)*0.475*44/12</f>
        <v>1.6230456087298097E-7</v>
      </c>
      <c r="ED82" s="22">
        <f t="shared" si="72"/>
        <v>105.89573769435189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</v>
      </c>
      <c r="EJ82" s="12">
        <f>IF('Données projet'!$A$192&gt;35,EJ81+EI82-ER81,IF(A82&lt;'Données projet'!$A$192,$EG$205^A82,IF(A82='Données projet'!$A$192,'Données projet'!$B$192,EJ81+EI82-ER81)))</f>
        <v>254.99999999999989</v>
      </c>
      <c r="EK82" s="17">
        <f>EJ82*VLOOKUP('Données projet'!$B$15,Paramètres!$A$1:$I$89,3,0)*VLOOKUP('Données projet'!$B$15,Paramètres!$A$1:$I$89,5,0)</f>
        <v>230.72399999999988</v>
      </c>
      <c r="EL82" s="13">
        <f t="shared" si="99"/>
        <v>56.439198612082045</v>
      </c>
      <c r="EM82" s="20">
        <f t="shared" si="73"/>
        <v>500.14257091604264</v>
      </c>
      <c r="EN82" s="59">
        <f t="shared" si="74"/>
        <v>793.47590424937596</v>
      </c>
      <c r="EO82" s="59">
        <f ca="1">AVERAGE(OFFSET($EN$3,0,0,'Données projet'!$E$15+1,1))-AVERAGE(OFFSET($H$3,0,0,'Données projet'!$E$15+1,1))</f>
        <v>269.64423257646359</v>
      </c>
      <c r="EP82" s="59">
        <f t="shared" si="100"/>
        <v>161.0819079811821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52.204735271603937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52.204735271603937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8</v>
      </c>
      <c r="FE82" s="12">
        <f>IF('Données projet'!$A$218&gt;35,FE81+FD82-FM81,IF(A82&lt;'Données projet'!$A$218,$FB$205^A82,IF(A82='Données projet'!$A$218,'Données projet'!$B$218,FE81+FD82-FM81)))</f>
        <v>341.00000000000017</v>
      </c>
      <c r="FF82" s="17">
        <f>FE82*VLOOKUP('Données projet'!$B$16,Paramètres!$A$1:$I$89,3,0)*VLOOKUP('Données projet'!$B$16,Paramètres!$A$1:$I$89,5,0)</f>
        <v>265.98000000000013</v>
      </c>
      <c r="FG82" s="13">
        <f t="shared" si="101"/>
        <v>63.995380422211646</v>
      </c>
      <c r="FH82" s="20">
        <f t="shared" si="76"/>
        <v>574.7071209020188</v>
      </c>
      <c r="FI82" s="59">
        <f t="shared" si="77"/>
        <v>868.04045423535217</v>
      </c>
      <c r="FJ82" s="59">
        <f ca="1">AVERAGE(OFFSET($FI$3,0,0,'Données projet'!$E$16+1,1))-AVERAGE(OFFSET($H$3,0,0,'Données projet'!$E$16+1,1))</f>
        <v>283.77864672734273</v>
      </c>
      <c r="FK82" s="59">
        <f t="shared" si="102"/>
        <v>270.94620935643866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72.521485342196044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72.521485342196044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3.6</v>
      </c>
      <c r="FZ82" s="12">
        <f>IF('Données projet'!$A$244&gt;35,FZ81+FY82-GH81,IF(A82&lt;'Données projet'!$A$244,$FW$205^A82,IF(A82='Données projet'!$A$244,'Données projet'!$B$244,FZ81+FY82-GH81)))</f>
        <v>326.39999999999998</v>
      </c>
      <c r="GA82" s="17">
        <f>FZ82*VLOOKUP('Données projet'!$B$17,Paramètres!$A$1:$I$89,3,0)*VLOOKUP('Données projet'!$B$17,Paramètres!$A$1:$I$89,5,0)</f>
        <v>315.69407999999999</v>
      </c>
      <c r="GB82" s="13">
        <f t="shared" si="103"/>
        <v>74.456718089310456</v>
      </c>
      <c r="GC82" s="20">
        <f t="shared" si="79"/>
        <v>679.51264000554897</v>
      </c>
      <c r="GD82" s="59">
        <f t="shared" si="80"/>
        <v>972.84597333888223</v>
      </c>
      <c r="GE82" s="59">
        <f ca="1">AVERAGE(OFFSET($GD$3,0,0,'Données projet'!$E$17+1,1))-AVERAGE(OFFSET($H$3,0,0,'Données projet'!$E$17+1,1))</f>
        <v>347.54503437087288</v>
      </c>
      <c r="GF82" s="59">
        <f t="shared" si="104"/>
        <v>340.05673244455954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48.330814524002925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48.330814524002925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776</v>
      </c>
      <c r="L83" s="12">
        <f>VLOOKUP(A83,'Données projet'!$A$35:$I$55,9,0)</f>
        <v>14.6</v>
      </c>
      <c r="M83" s="12">
        <f t="array" ref="M83">INDEX(L:L,MIN(IF(ISNUMBER(L83:L279),ROW(L83:L279),"")))</f>
        <v>14.6</v>
      </c>
      <c r="N83" s="13">
        <f>IF('Données projet'!$A$36&gt;35,N82+M83-V82,IF(A83&lt;'Données projet'!$A$36,$K$205^A83,IF(A83='Données projet'!$A$36,'Données projet'!$B$36,N82+M83-V82)))</f>
        <v>776.00000000000011</v>
      </c>
      <c r="O83" s="13">
        <f>N83*VLOOKUP('Données projet'!$B$9,Paramètres!$A$1:$I$89,3,0)*VLOOKUP('Données projet'!$B$9,Paramètres!$A$1:$I$89,5,0)</f>
        <v>363.16800000000001</v>
      </c>
      <c r="P83" s="13">
        <f t="shared" si="87"/>
        <v>84.268083622033274</v>
      </c>
      <c r="Q83" s="20">
        <f t="shared" si="54"/>
        <v>779.28451230837447</v>
      </c>
      <c r="R83" s="59">
        <f t="shared" si="55"/>
        <v>1072.6178456417078</v>
      </c>
      <c r="S83" s="59">
        <f ca="1">AVERAGE(OFFSET($R$3,0,0,'Données projet'!$E$9+1,1))-AVERAGE(OFFSET($H$3,0,0,'Données projet'!$E$9+1,1))</f>
        <v>342.49944586217674</v>
      </c>
      <c r="T83" s="59">
        <f t="shared" si="88"/>
        <v>282.29766600872563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41</v>
      </c>
      <c r="W83" s="16">
        <f>IF(ISNA(VLOOKUP(A83,'Données projet'!$A$35:$I$55,5,0)),0%,VLOOKUP(A83,'Données projet'!$A$35:$I$55,5,0)*VLOOKUP('Données projet'!$B$9,Paramètres!$A$1:$I$89,7,0))</f>
        <v>0.55000000000000004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117.9434183230166</v>
      </c>
      <c r="AA83" s="21">
        <f>EXP(-LN(2)/25)*AA82+(1-EXP(-LN(2)/25))/(LN(2)/25)*Calculateur!V83*Calculateur!X83*VLOOKUP('Données projet'!$B$9,Paramètres!$A$1:$I$89,3,0)*0.475*44/12</f>
        <v>10.020134502402067</v>
      </c>
      <c r="AB83" s="21">
        <f>EXP(-LN(2)/2)*AB82+(1-EXP(-LN(2)/2))/(LN(2)/2)*V83*Y83*VLOOKUP('Données projet'!$B$9,Paramètres!$A$1:$I$89,3,0)*0.475*44/12</f>
        <v>2.4674679862446462E-9</v>
      </c>
      <c r="AC83" s="22">
        <f t="shared" si="57"/>
        <v>127.96355282788615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739.99999999999966</v>
      </c>
      <c r="AJ83" s="13">
        <f>AI83*VLOOKUP('Données projet'!$B$10,Paramètres!$A$1:$I$89,3,0)*VLOOKUP('Données projet'!$B$10,Paramètres!$A$1:$I$89,5,0)</f>
        <v>413.65999999999985</v>
      </c>
      <c r="AK83" s="13">
        <f t="shared" si="89"/>
        <v>94.540585122244352</v>
      </c>
      <c r="AL83" s="20">
        <f t="shared" si="58"/>
        <v>885.11601908790863</v>
      </c>
      <c r="AM83" s="59">
        <f t="shared" si="59"/>
        <v>1178.4493524212419</v>
      </c>
      <c r="AN83" s="59">
        <f ca="1">AVERAGE(OFFSET($AM$3,0,0,'Données projet'!$E$10+1,1))-AVERAGE(OFFSET($H$3,0,0,'Données projet'!$E$10+1,1))</f>
        <v>490.96084572840579</v>
      </c>
      <c r="AO83" s="59">
        <f t="shared" si="90"/>
        <v>597.91658789908263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83.106702722458635</v>
      </c>
      <c r="AV83" s="21">
        <f>EXP(-LN(2)/25)*AV82+(1-EXP(-LN(2)/25))/(LN(2)/25)*Calculateur!AQ83*Calculateur!AS83*VLOOKUP('Données projet'!$B$10,Paramètres!$A$1:$I$89,3,0)*0.475*44/12</f>
        <v>14.445413494877721</v>
      </c>
      <c r="AW83" s="21">
        <f>EXP(-LN(2)/2)*AW82+(1-EXP(-LN(2)/2))/(LN(2)/2)*AQ83*AT83*VLOOKUP('Données projet'!$B$10,Paramètres!$A$1:$I$89,3,0)*0.475*44/12</f>
        <v>2.5346379480924164E-8</v>
      </c>
      <c r="AX83" s="21">
        <f t="shared" si="60"/>
        <v>97.552116242682743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219</v>
      </c>
      <c r="BB83" s="12">
        <f>VLOOKUP(A83,'Données projet'!$A$87:$I$107,9,0)</f>
        <v>2.4</v>
      </c>
      <c r="BC83" s="12">
        <f t="array" ref="BC83">INDEX(BB:BB,MIN(IF(ISNUMBER(BB83:BB279),ROW(BB83:BB279),"")))</f>
        <v>2.4</v>
      </c>
      <c r="BD83" s="12">
        <f>IF('Données projet'!$A$88&gt;35,BD82+BC83-BL82,IF(A83&lt;'Données projet'!$A$88,$BA$205^A83,IF(A83='Données projet'!$A$88,'Données projet'!$B$88,BD82+BC83-BL82)))</f>
        <v>219.00000000000003</v>
      </c>
      <c r="BE83" s="13">
        <f>BD83*VLOOKUP('Données projet'!$B$11,Paramètres!$A$1:$I$89,3,0)*VLOOKUP('Données projet'!$B$11,Paramètres!$A$1:$I$89,5,0)</f>
        <v>174.23640000000003</v>
      </c>
      <c r="BF83" s="13">
        <f t="shared" si="91"/>
        <v>44.037472749658676</v>
      </c>
      <c r="BG83" s="20">
        <f t="shared" si="61"/>
        <v>380.16032837232228</v>
      </c>
      <c r="BH83" s="59">
        <f t="shared" si="62"/>
        <v>673.49366170565554</v>
      </c>
      <c r="BI83" s="59">
        <f ca="1">AVERAGE(OFFSET($BH$3,0,0,'Données projet'!$E$11+1,1))-AVERAGE(OFFSET($H$3,0,0,'Données projet'!$E$11+1,1))</f>
        <v>167.80254365106839</v>
      </c>
      <c r="BJ83" s="59">
        <f t="shared" si="92"/>
        <v>167.42302164950172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6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33.519326616531302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33.519326616531302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711</v>
      </c>
      <c r="BW83" s="12">
        <f>VLOOKUP(A83,'Données projet'!$A$113:$I$133,9,0)</f>
        <v>14.4</v>
      </c>
      <c r="BX83" s="12">
        <f t="array" ref="BX83">INDEX(BW:BW,MIN(IF(ISNUMBER(BW83:BW279),ROW(BW83:BW279),"")))</f>
        <v>14.4</v>
      </c>
      <c r="BY83" s="12">
        <f>IF('Données projet'!$A$114&gt;35,BY82+BX83-CG82,IF(A83&lt;'Données projet'!$A$114,$BV$205^A83,IF(A83='Données projet'!$A$114,'Données projet'!$B$114,BY82+BX83-CG82)))</f>
        <v>710.99999999999989</v>
      </c>
      <c r="BZ83" s="13">
        <f>BY83*VLOOKUP('Données projet'!$B$12,Paramètres!$A$1:$I$89,3,0)*VLOOKUP('Données projet'!$B$12,Paramètres!$A$1:$I$89,5,0)</f>
        <v>351.23399999999992</v>
      </c>
      <c r="CA83" s="13">
        <f t="shared" si="93"/>
        <v>81.816552582962672</v>
      </c>
      <c r="CB83" s="20">
        <f t="shared" si="64"/>
        <v>754.2297124153265</v>
      </c>
      <c r="CC83" s="59">
        <f t="shared" si="65"/>
        <v>1047.5630457486598</v>
      </c>
      <c r="CD83" s="59">
        <f ca="1">AVERAGE(OFFSET($CC$3,0,0,'Données projet'!$E$12+1,1))-AVERAGE(OFFSET($H$3,0,0,'Données projet'!$E$12+1,1))</f>
        <v>322.06606384496587</v>
      </c>
      <c r="CE83" s="59">
        <f t="shared" si="94"/>
        <v>267.71713177624713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41</v>
      </c>
      <c r="CH83" s="16">
        <f>IF(ISNA(VLOOKUP(A83,'Données projet'!$A$113:$I$133,5,0)),0%,VLOOKUP(A83,'Données projet'!$A$113:$I$133,5,0)*VLOOKUP('Données projet'!$B$12,Paramètres!$A$1:$I$89,7,0))</f>
        <v>0.55000000000000004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116.33654940447511</v>
      </c>
      <c r="CL83" s="21">
        <f>EXP(-LN(2)/25)*CL82+(1-EXP(-LN(2)/25))/(LN(2)/25)*Calculateur!CG83*Calculateur!CI83*VLOOKUP('Données projet'!$B$12,Paramètres!$A$1:$I$89,3,0)*0.475*44/12</f>
        <v>5.0261179065373298</v>
      </c>
      <c r="CM83" s="21">
        <f>EXP(-LN(2)/2)*CM82+(1-EXP(-LN(2)/2))/(LN(2)/2)*CG83*CJ83*VLOOKUP('Données projet'!$B$12,Paramètres!$A$1:$I$89,3,0)*0.475*44/12</f>
        <v>1.1786845711378449E-7</v>
      </c>
      <c r="CN83" s="22">
        <f t="shared" si="66"/>
        <v>121.3626674288809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401</v>
      </c>
      <c r="CU83" s="17">
        <f>CT83*VLOOKUP('Données projet'!$B$13,Paramètres!$A$1:$I$89,3,0)*VLOOKUP('Données projet'!$B$13,Paramètres!$A$1:$I$89,5,0)</f>
        <v>250.22399999999999</v>
      </c>
      <c r="CV83" s="13">
        <f t="shared" si="95"/>
        <v>60.633904580527918</v>
      </c>
      <c r="CW83" s="20">
        <f t="shared" si="67"/>
        <v>541.41085047775289</v>
      </c>
      <c r="CX83" s="59">
        <f t="shared" si="68"/>
        <v>834.74418381108626</v>
      </c>
      <c r="CY83" s="59">
        <f ca="1">AVERAGE(OFFSET($CX$3,0,0,'Données projet'!$E$13+1,1))-AVERAGE(OFFSET($H$3,0,0,'Données projet'!$E$13+1,1))</f>
        <v>269.77739619445515</v>
      </c>
      <c r="CZ83" s="59">
        <f t="shared" si="96"/>
        <v>347.56964743629885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51.533409239341736</v>
      </c>
      <c r="DG83" s="21">
        <f>EXP(-LN(2)/25)*DG82+(1-EXP(-LN(2)/25))/(LN(2)/25)*Calculateur!DB83*Calculateur!DD83*VLOOKUP('Données projet'!$B$13,Paramètres!$A$1:$I$89,3,0)*0.475*44/12</f>
        <v>22.935547990334097</v>
      </c>
      <c r="DH83" s="21">
        <f>EXP(-LN(2)/2)*DH82+(1-EXP(-LN(2)/2))/(LN(2)/2)*DB83*DE83*VLOOKUP('Données projet'!$B$13,Paramètres!$A$1:$I$89,3,0)*0.475*44/12</f>
        <v>7.4024039587339325E-10</v>
      </c>
      <c r="DI83" s="22">
        <f t="shared" si="69"/>
        <v>74.468957230416081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711</v>
      </c>
      <c r="DM83" s="12">
        <f>VLOOKUP(A83,'Données projet'!$A$165:$I$185,9,0)</f>
        <v>14.4</v>
      </c>
      <c r="DN83" s="12">
        <f t="array" ref="DN83">INDEX(DM:DM,MIN(IF(ISNUMBER(DM83:DM279),ROW(DM83:DM279),"")))</f>
        <v>14.4</v>
      </c>
      <c r="DO83" s="12">
        <f>IF('Données projet'!$A$166&gt;35,DO82+DN83-DW82,IF(A83&lt;'Données projet'!$A$166,$DL$205^A83,IF(A83='Données projet'!$A$166,'Données projet'!$B$166,DO82+DN83-DW82)))</f>
        <v>710.99999999999989</v>
      </c>
      <c r="DP83" s="17">
        <f>DO83*VLOOKUP('Données projet'!$B$14,Paramètres!$A$1:$I$89,3,0)*VLOOKUP('Données projet'!$B$14,Paramètres!$A$1:$I$89,5,0)</f>
        <v>341.99099999999993</v>
      </c>
      <c r="DQ83" s="13">
        <f t="shared" si="97"/>
        <v>79.911159737819077</v>
      </c>
      <c r="DR83" s="20">
        <f t="shared" si="70"/>
        <v>734.81292821003478</v>
      </c>
      <c r="DS83" s="59">
        <f t="shared" si="71"/>
        <v>1028.1462615433682</v>
      </c>
      <c r="DT83" s="59">
        <f ca="1">AVERAGE(OFFSET($DS$3,0,0,'Données projet'!$E$14+1,1))-AVERAGE(OFFSET($H$3,0,0,'Données projet'!$E$14+1,1))</f>
        <v>312.64506496298173</v>
      </c>
      <c r="DU83" s="59">
        <f t="shared" si="98"/>
        <v>259.97532509897508</v>
      </c>
      <c r="DV83" s="15">
        <f>IF(ISNA(VLOOKUP(A83,'Données projet'!$A$165:$I$185,3,0)),0,VLOOKUP(A83,'Données projet'!$A$165:$I$185,3,0))</f>
        <v>12</v>
      </c>
      <c r="DW83" s="15">
        <f>IF(ISNA(VLOOKUP(A83,'Données projet'!$A$165:$I$185,4,0)),0,VLOOKUP(A83,'Données projet'!$A$165:$I$185,4,0))</f>
        <v>41</v>
      </c>
      <c r="DX83" s="16">
        <f>IF(ISNA(VLOOKUP(A83,'Données projet'!$A$165:$I$185,5,0)),0%,VLOOKUP(A83,'Données projet'!$A$165:$I$185,5,0)*VLOOKUP('Données projet'!$B$14,Paramètres!$A$1:$I$89,7,0))</f>
        <v>0.55000000000000004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113.27506126225209</v>
      </c>
      <c r="EB83" s="21">
        <f>EXP(-LN(2)/25)*EB82+(1-EXP(-LN(2)/25))/(LN(2)/25)*Calculateur!DW83*Calculateur!DY83*VLOOKUP('Données projet'!$B$14,Paramètres!$A$1:$I$89,3,0)*0.475*44/12</f>
        <v>4.8938516458389802</v>
      </c>
      <c r="EC83" s="21">
        <f>EXP(-LN(2)/2)*EC82+(1-EXP(-LN(2)/2))/(LN(2)/2)*DW83*DZ83*VLOOKUP('Données projet'!$B$14,Paramètres!$A$1:$I$89,3,0)*0.475*44/12</f>
        <v>1.1476665561078964E-7</v>
      </c>
      <c r="ED83" s="22">
        <f t="shared" si="72"/>
        <v>118.16891302285772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261</v>
      </c>
      <c r="EH83" s="12">
        <f>VLOOKUP(A83,'Données projet'!$A$191:$I$211,9,0)</f>
        <v>6</v>
      </c>
      <c r="EI83" s="12">
        <f t="array" ref="EI83">INDEX(EH:EH,MIN(IF(ISNUMBER(EH83:EH279),ROW(EH83:EH279),"")))</f>
        <v>6</v>
      </c>
      <c r="EJ83" s="12">
        <f>IF('Données projet'!$A$192&gt;35,EJ82+EI83-ER82,IF(A83&lt;'Données projet'!$A$192,$EG$205^A83,IF(A83='Données projet'!$A$192,'Données projet'!$B$192,EJ82+EI83-ER82)))</f>
        <v>260.99999999999989</v>
      </c>
      <c r="EK83" s="17">
        <f>EJ83*VLOOKUP('Données projet'!$B$15,Paramètres!$A$1:$I$89,3,0)*VLOOKUP('Données projet'!$B$15,Paramètres!$A$1:$I$89,5,0)</f>
        <v>236.15279999999987</v>
      </c>
      <c r="EL83" s="13">
        <f t="shared" si="99"/>
        <v>57.61100977459931</v>
      </c>
      <c r="EM83" s="20">
        <f t="shared" si="73"/>
        <v>511.63863535742689</v>
      </c>
      <c r="EN83" s="59">
        <f t="shared" si="74"/>
        <v>804.97196869076015</v>
      </c>
      <c r="EO83" s="59">
        <f ca="1">AVERAGE(OFFSET($EN$3,0,0,'Données projet'!$E$15+1,1))-AVERAGE(OFFSET($H$3,0,0,'Données projet'!$E$15+1,1))</f>
        <v>269.64423257646359</v>
      </c>
      <c r="EP83" s="59">
        <f t="shared" si="100"/>
        <v>161.0819079811821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21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60.213105537266948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60.213105537266948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349</v>
      </c>
      <c r="FC83" s="12">
        <f>VLOOKUP(A83,'Données projet'!$A$217:$I$237,9,0)</f>
        <v>8</v>
      </c>
      <c r="FD83" s="12">
        <f t="array" ref="FD83">INDEX(FC:FC,MIN(IF(ISNUMBER(FC83:FC279),ROW(FC83:FC279),"")))</f>
        <v>8</v>
      </c>
      <c r="FE83" s="12">
        <f>IF('Données projet'!$A$218&gt;35,FE82+FD83-FM82,IF(A83&lt;'Données projet'!$A$218,$FB$205^A83,IF(A83='Données projet'!$A$218,'Données projet'!$B$218,FE82+FD83-FM82)))</f>
        <v>349.00000000000017</v>
      </c>
      <c r="FF83" s="17">
        <f>FE83*VLOOKUP('Données projet'!$B$16,Paramètres!$A$1:$I$89,3,0)*VLOOKUP('Données projet'!$B$16,Paramètres!$A$1:$I$89,5,0)</f>
        <v>272.22000000000014</v>
      </c>
      <c r="FG83" s="13">
        <f t="shared" si="101"/>
        <v>65.320184547527205</v>
      </c>
      <c r="FH83" s="20">
        <f t="shared" si="76"/>
        <v>587.88248808694345</v>
      </c>
      <c r="FI83" s="59">
        <f t="shared" si="77"/>
        <v>881.21582142027682</v>
      </c>
      <c r="FJ83" s="59">
        <f ca="1">AVERAGE(OFFSET($FI$3,0,0,'Données projet'!$E$16+1,1))-AVERAGE(OFFSET($H$3,0,0,'Données projet'!$E$16+1,1))</f>
        <v>283.77864672734273</v>
      </c>
      <c r="FK83" s="59">
        <f t="shared" si="102"/>
        <v>270.94620935643866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71.099383248373925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71.099383248373925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330</v>
      </c>
      <c r="FX83" s="12">
        <f>VLOOKUP(A83,'Données projet'!$A$243:$I$263,9,0)</f>
        <v>3.6</v>
      </c>
      <c r="FY83" s="12">
        <f t="array" ref="FY83">INDEX(FX:FX,MIN(IF(ISNUMBER(FX83:FX279),ROW(FX83:FX279),"")))</f>
        <v>3.6</v>
      </c>
      <c r="FZ83" s="12">
        <f>IF('Données projet'!$A$244&gt;35,FZ82+FY83-GH82,IF(A83&lt;'Données projet'!$A$244,$FW$205^A83,IF(A83='Données projet'!$A$244,'Données projet'!$B$244,FZ82+FY83-GH82)))</f>
        <v>330</v>
      </c>
      <c r="GA83" s="17">
        <f>FZ83*VLOOKUP('Données projet'!$B$17,Paramètres!$A$1:$I$89,3,0)*VLOOKUP('Données projet'!$B$17,Paramètres!$A$1:$I$89,5,0)</f>
        <v>319.17599999999999</v>
      </c>
      <c r="GB83" s="13">
        <f t="shared" si="103"/>
        <v>75.181878718947672</v>
      </c>
      <c r="GC83" s="20">
        <f t="shared" si="79"/>
        <v>686.83997210216705</v>
      </c>
      <c r="GD83" s="59">
        <f t="shared" si="80"/>
        <v>980.17330543550042</v>
      </c>
      <c r="GE83" s="59">
        <f ca="1">AVERAGE(OFFSET($GD$3,0,0,'Données projet'!$E$17+1,1))-AVERAGE(OFFSET($H$3,0,0,'Données projet'!$E$17+1,1))</f>
        <v>347.54503437087288</v>
      </c>
      <c r="GF83" s="59">
        <f t="shared" si="104"/>
        <v>340.05673244455954</v>
      </c>
      <c r="GG83" s="15">
        <f>IF(ISNA(VLOOKUP(A83,'Données projet'!$A$243:$I$263,3,0)),0,VLOOKUP(A83,'Données projet'!$A$243:$I$263,3,0))</f>
        <v>14</v>
      </c>
      <c r="GH83" s="15">
        <f>IF(ISNA(VLOOKUP(A83,'Données projet'!$A$243:$I$263,4,0)),0,VLOOKUP(A83,'Données projet'!$A$243:$I$263,4,0))</f>
        <v>11</v>
      </c>
      <c r="GI83" s="16">
        <f>IF(ISNA(VLOOKUP(A83,'Données projet'!$A$243:$I$263,5,0)),0%,VLOOKUP(A83,'Données projet'!$A$243:$I$263,5,0)*VLOOKUP('Données projet'!$B$17,Paramètres!$A$1:$I$89,7,0))</f>
        <v>0.43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52.440444528701889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52.440444528701889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735.00000000000011</v>
      </c>
      <c r="O84" s="13">
        <f>N84*VLOOKUP('Données projet'!$B$9,Paramètres!$A$1:$I$89,3,0)*VLOOKUP('Données projet'!$B$9,Paramètres!$A$1:$I$89,5,0)</f>
        <v>343.98</v>
      </c>
      <c r="P84" s="13">
        <f t="shared" si="87"/>
        <v>80.321681832084693</v>
      </c>
      <c r="Q84" s="20">
        <f t="shared" si="54"/>
        <v>738.9920958575475</v>
      </c>
      <c r="R84" s="59">
        <f t="shared" si="55"/>
        <v>1032.3254291908809</v>
      </c>
      <c r="S84" s="59">
        <f ca="1">AVERAGE(OFFSET($R$3,0,0,'Données projet'!$E$9+1,1))-AVERAGE(OFFSET($H$3,0,0,'Données projet'!$E$9+1,1))</f>
        <v>342.49944586217674</v>
      </c>
      <c r="T84" s="59">
        <f t="shared" si="88"/>
        <v>282.29766600872563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115.63061982808409</v>
      </c>
      <c r="AA84" s="21">
        <f>EXP(-LN(2)/25)*AA83+(1-EXP(-LN(2)/25))/(LN(2)/25)*Calculateur!V84*Calculateur!X84*VLOOKUP('Données projet'!$B$9,Paramètres!$A$1:$I$89,3,0)*0.475*44/12</f>
        <v>9.7461333974979105</v>
      </c>
      <c r="AB84" s="21">
        <f>EXP(-LN(2)/2)*AB83+(1-EXP(-LN(2)/2))/(LN(2)/2)*V84*Y84*VLOOKUP('Données projet'!$B$9,Paramètres!$A$1:$I$89,3,0)*0.475*44/12</f>
        <v>1.7447633454343041E-9</v>
      </c>
      <c r="AC84" s="22">
        <f t="shared" si="57"/>
        <v>125.37675322732677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739.99999999999966</v>
      </c>
      <c r="AJ84" s="13">
        <f>AI84*VLOOKUP('Données projet'!$B$10,Paramètres!$A$1:$I$89,3,0)*VLOOKUP('Données projet'!$B$10,Paramètres!$A$1:$I$89,5,0)</f>
        <v>413.65999999999985</v>
      </c>
      <c r="AK84" s="13">
        <f t="shared" si="89"/>
        <v>94.540585122244352</v>
      </c>
      <c r="AL84" s="20">
        <f t="shared" si="58"/>
        <v>885.11601908790863</v>
      </c>
      <c r="AM84" s="59">
        <f t="shared" si="59"/>
        <v>1178.4493524212419</v>
      </c>
      <c r="AN84" s="59">
        <f ca="1">AVERAGE(OFFSET($AM$3,0,0,'Données projet'!$E$10+1,1))-AVERAGE(OFFSET($H$3,0,0,'Données projet'!$E$10+1,1))</f>
        <v>490.96084572840579</v>
      </c>
      <c r="AO84" s="59">
        <f t="shared" si="90"/>
        <v>597.91658789908263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81.477030972154651</v>
      </c>
      <c r="AV84" s="21">
        <f>EXP(-LN(2)/25)*AV83+(1-EXP(-LN(2)/25))/(LN(2)/25)*Calculateur!AQ84*Calculateur!AS84*VLOOKUP('Données projet'!$B$10,Paramètres!$A$1:$I$89,3,0)*0.475*44/12</f>
        <v>14.05040290320901</v>
      </c>
      <c r="AW84" s="21">
        <f>EXP(-LN(2)/2)*AW83+(1-EXP(-LN(2)/2))/(LN(2)/2)*AQ84*AT84*VLOOKUP('Données projet'!$B$10,Paramètres!$A$1:$I$89,3,0)*0.475*44/12</f>
        <v>1.792259680948904E-8</v>
      </c>
      <c r="AX84" s="21">
        <f t="shared" si="60"/>
        <v>95.527433893286258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213.00000000000003</v>
      </c>
      <c r="BE84" s="13">
        <f>BD84*VLOOKUP('Données projet'!$B$11,Paramètres!$A$1:$I$89,3,0)*VLOOKUP('Données projet'!$B$11,Paramètres!$A$1:$I$89,5,0)</f>
        <v>169.46280000000002</v>
      </c>
      <c r="BF84" s="13">
        <f t="shared" si="91"/>
        <v>42.969686502194378</v>
      </c>
      <c r="BG84" s="20">
        <f t="shared" si="61"/>
        <v>369.98658065798855</v>
      </c>
      <c r="BH84" s="59">
        <f t="shared" si="62"/>
        <v>663.31991399132187</v>
      </c>
      <c r="BI84" s="59">
        <f ca="1">AVERAGE(OFFSET($BH$3,0,0,'Données projet'!$E$11+1,1))-AVERAGE(OFFSET($H$3,0,0,'Données projet'!$E$11+1,1))</f>
        <v>167.80254365106839</v>
      </c>
      <c r="BJ84" s="59">
        <f t="shared" si="92"/>
        <v>167.42302164950172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32.862033066351607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32.862033066351607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669.99999999999989</v>
      </c>
      <c r="BZ84" s="13">
        <f>BY84*VLOOKUP('Données projet'!$B$12,Paramètres!$A$1:$I$89,3,0)*VLOOKUP('Données projet'!$B$12,Paramètres!$A$1:$I$89,5,0)</f>
        <v>330.97999999999996</v>
      </c>
      <c r="CA84" s="13">
        <f t="shared" si="93"/>
        <v>77.633451096966454</v>
      </c>
      <c r="CB84" s="20">
        <f t="shared" si="64"/>
        <v>711.66842732721636</v>
      </c>
      <c r="CC84" s="59">
        <f t="shared" si="65"/>
        <v>1005.0017606605497</v>
      </c>
      <c r="CD84" s="59">
        <f ca="1">AVERAGE(OFFSET($CC$3,0,0,'Données projet'!$E$12+1,1))-AVERAGE(OFFSET($H$3,0,0,'Données projet'!$E$12+1,1))</f>
        <v>322.06606384496587</v>
      </c>
      <c r="CE84" s="59">
        <f t="shared" si="94"/>
        <v>267.71713177624713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114.05526062894194</v>
      </c>
      <c r="CL84" s="21">
        <f>EXP(-LN(2)/25)*CL83+(1-EXP(-LN(2)/25))/(LN(2)/25)*Calculateur!CG84*Calculateur!CI84*VLOOKUP('Données projet'!$B$12,Paramètres!$A$1:$I$89,3,0)*0.475*44/12</f>
        <v>4.8886784480710128</v>
      </c>
      <c r="CM84" s="21">
        <f>EXP(-LN(2)/2)*CM83+(1-EXP(-LN(2)/2))/(LN(2)/2)*CG84*CJ84*VLOOKUP('Données projet'!$B$12,Paramètres!$A$1:$I$89,3,0)*0.475*44/12</f>
        <v>8.334558531315278E-8</v>
      </c>
      <c r="CN84" s="22">
        <f t="shared" si="66"/>
        <v>118.94393916035854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401</v>
      </c>
      <c r="CU84" s="17">
        <f>CT84*VLOOKUP('Données projet'!$B$13,Paramètres!$A$1:$I$89,3,0)*VLOOKUP('Données projet'!$B$13,Paramètres!$A$1:$I$89,5,0)</f>
        <v>250.22399999999999</v>
      </c>
      <c r="CV84" s="13">
        <f t="shared" si="95"/>
        <v>60.633904580527918</v>
      </c>
      <c r="CW84" s="20">
        <f t="shared" si="67"/>
        <v>541.41085047775289</v>
      </c>
      <c r="CX84" s="59">
        <f t="shared" si="68"/>
        <v>834.74418381108626</v>
      </c>
      <c r="CY84" s="59">
        <f ca="1">AVERAGE(OFFSET($CX$3,0,0,'Données projet'!$E$13+1,1))-AVERAGE(OFFSET($H$3,0,0,'Données projet'!$E$13+1,1))</f>
        <v>269.77739619445515</v>
      </c>
      <c r="CZ84" s="59">
        <f t="shared" si="96"/>
        <v>347.56964743629885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50.522870516434203</v>
      </c>
      <c r="DG84" s="21">
        <f>EXP(-LN(2)/25)*DG83+(1-EXP(-LN(2)/25))/(LN(2)/25)*Calculateur!DB84*Calculateur!DD84*VLOOKUP('Données projet'!$B$13,Paramètres!$A$1:$I$89,3,0)*0.475*44/12</f>
        <v>22.308374224410361</v>
      </c>
      <c r="DH84" s="21">
        <f>EXP(-LN(2)/2)*DH83+(1-EXP(-LN(2)/2))/(LN(2)/2)*DB84*DE84*VLOOKUP('Données projet'!$B$13,Paramètres!$A$1:$I$89,3,0)*0.475*44/12</f>
        <v>5.2342900363029079E-10</v>
      </c>
      <c r="DI84" s="22">
        <f t="shared" si="69"/>
        <v>72.831244741367996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669.99999999999989</v>
      </c>
      <c r="DP84" s="17">
        <f>DO84*VLOOKUP('Données projet'!$B$14,Paramètres!$A$1:$I$89,3,0)*VLOOKUP('Données projet'!$B$14,Paramètres!$A$1:$I$89,5,0)</f>
        <v>322.26999999999992</v>
      </c>
      <c r="DQ84" s="13">
        <f t="shared" si="97"/>
        <v>75.825476822885776</v>
      </c>
      <c r="DR84" s="20">
        <f t="shared" si="70"/>
        <v>693.34962213319261</v>
      </c>
      <c r="DS84" s="59">
        <f t="shared" si="71"/>
        <v>986.68295546652598</v>
      </c>
      <c r="DT84" s="59">
        <f ca="1">AVERAGE(OFFSET($DS$3,0,0,'Données projet'!$E$14+1,1))-AVERAGE(OFFSET($H$3,0,0,'Données projet'!$E$14+1,1))</f>
        <v>312.64506496298173</v>
      </c>
      <c r="DU84" s="59">
        <f t="shared" si="98"/>
        <v>259.97532509897508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111.05380640186453</v>
      </c>
      <c r="EB84" s="21">
        <f>EXP(-LN(2)/25)*EB83+(1-EXP(-LN(2)/25))/(LN(2)/25)*Calculateur!DW84*Calculateur!DY84*VLOOKUP('Données projet'!$B$14,Paramètres!$A$1:$I$89,3,0)*0.475*44/12</f>
        <v>4.7600290152270404</v>
      </c>
      <c r="EC84" s="21">
        <f>EXP(-LN(2)/2)*EC83+(1-EXP(-LN(2)/2))/(LN(2)/2)*DW84*DZ84*VLOOKUP('Données projet'!$B$14,Paramètres!$A$1:$I$89,3,0)*0.475*44/12</f>
        <v>8.1152280436490485E-8</v>
      </c>
      <c r="ED84" s="22">
        <f t="shared" si="72"/>
        <v>115.81383549824386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5.8</v>
      </c>
      <c r="EJ84" s="12">
        <f>IF('Données projet'!$A$192&gt;35,EJ83+EI84-ER83,IF(A84&lt;'Données projet'!$A$192,$EG$205^A84,IF(A84='Données projet'!$A$192,'Données projet'!$B$192,EJ83+EI84-ER83)))</f>
        <v>245.7999999999999</v>
      </c>
      <c r="EK84" s="17">
        <f>EJ84*VLOOKUP('Données projet'!$B$15,Paramètres!$A$1:$I$89,3,0)*VLOOKUP('Données projet'!$B$15,Paramètres!$A$1:$I$89,5,0)</f>
        <v>222.3998399999999</v>
      </c>
      <c r="EL84" s="13">
        <f t="shared" si="99"/>
        <v>54.636149281681448</v>
      </c>
      <c r="EM84" s="20">
        <f t="shared" si="73"/>
        <v>482.50434799892832</v>
      </c>
      <c r="EN84" s="59">
        <f t="shared" si="74"/>
        <v>775.83768133226158</v>
      </c>
      <c r="EO84" s="59">
        <f ca="1">AVERAGE(OFFSET($EN$3,0,0,'Données projet'!$E$15+1,1))-AVERAGE(OFFSET($H$3,0,0,'Données projet'!$E$15+1,1))</f>
        <v>269.64423257646359</v>
      </c>
      <c r="EP84" s="59">
        <f t="shared" si="100"/>
        <v>161.0819079811821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59.032363264049096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59.032363264049096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349.00000000000017</v>
      </c>
      <c r="FF84" s="17">
        <f>FE84*VLOOKUP('Données projet'!$B$16,Paramètres!$A$1:$I$89,3,0)*VLOOKUP('Données projet'!$B$16,Paramètres!$A$1:$I$89,5,0)</f>
        <v>272.22000000000014</v>
      </c>
      <c r="FG84" s="13">
        <f t="shared" si="101"/>
        <v>65.320184547527205</v>
      </c>
      <c r="FH84" s="20">
        <f t="shared" si="76"/>
        <v>587.88248808694345</v>
      </c>
      <c r="FI84" s="59">
        <f t="shared" si="77"/>
        <v>881.21582142027682</v>
      </c>
      <c r="FJ84" s="59">
        <f ca="1">AVERAGE(OFFSET($FI$3,0,0,'Données projet'!$E$16+1,1))-AVERAGE(OFFSET($H$3,0,0,'Données projet'!$E$16+1,1))</f>
        <v>283.77864672734273</v>
      </c>
      <c r="FK84" s="59">
        <f t="shared" si="102"/>
        <v>270.94620935643866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69.705167709215019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69.705167709215019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319</v>
      </c>
      <c r="GA84" s="17">
        <f>FZ84*VLOOKUP('Données projet'!$B$17,Paramètres!$A$1:$I$89,3,0)*VLOOKUP('Données projet'!$B$17,Paramètres!$A$1:$I$89,5,0)</f>
        <v>308.53680000000003</v>
      </c>
      <c r="GB84" s="13">
        <f t="shared" si="103"/>
        <v>72.963171684496103</v>
      </c>
      <c r="GC84" s="20">
        <f t="shared" si="79"/>
        <v>664.4457840171641</v>
      </c>
      <c r="GD84" s="59">
        <f t="shared" si="80"/>
        <v>957.77911735049747</v>
      </c>
      <c r="GE84" s="59">
        <f ca="1">AVERAGE(OFFSET($GD$3,0,0,'Données projet'!$E$17+1,1))-AVERAGE(OFFSET($H$3,0,0,'Données projet'!$E$17+1,1))</f>
        <v>347.54503437087288</v>
      </c>
      <c r="GF84" s="59">
        <f t="shared" si="104"/>
        <v>340.05673244455954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51.412119397006897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51.412119397006897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735.00000000000011</v>
      </c>
      <c r="O85" s="13">
        <f>N85*VLOOKUP('Données projet'!$B$9,Paramètres!$A$1:$I$89,3,0)*VLOOKUP('Données projet'!$B$9,Paramètres!$A$1:$I$89,5,0)</f>
        <v>343.98</v>
      </c>
      <c r="P85" s="13">
        <f t="shared" si="87"/>
        <v>80.321681832084693</v>
      </c>
      <c r="Q85" s="20">
        <f t="shared" si="54"/>
        <v>738.9920958575475</v>
      </c>
      <c r="R85" s="59">
        <f t="shared" si="55"/>
        <v>1032.3254291908809</v>
      </c>
      <c r="S85" s="59">
        <f ca="1">AVERAGE(OFFSET($R$3,0,0,'Données projet'!$E$9+1,1))-AVERAGE(OFFSET($H$3,0,0,'Données projet'!$E$9+1,1))</f>
        <v>342.49944586217674</v>
      </c>
      <c r="T85" s="59">
        <f t="shared" si="88"/>
        <v>282.29766600872563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113.36317390096943</v>
      </c>
      <c r="AA85" s="21">
        <f>EXP(-LN(2)/25)*AA84+(1-EXP(-LN(2)/25))/(LN(2)/25)*Calculateur!V85*Calculateur!X85*VLOOKUP('Données projet'!$B$9,Paramètres!$A$1:$I$89,3,0)*0.475*44/12</f>
        <v>9.4796248672164491</v>
      </c>
      <c r="AB85" s="21">
        <f>EXP(-LN(2)/2)*AB84+(1-EXP(-LN(2)/2))/(LN(2)/2)*V85*Y85*VLOOKUP('Données projet'!$B$9,Paramètres!$A$1:$I$89,3,0)*0.475*44/12</f>
        <v>1.2337339931223231E-9</v>
      </c>
      <c r="AC85" s="22">
        <f t="shared" si="57"/>
        <v>122.8427987694196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739.99999999999966</v>
      </c>
      <c r="AJ85" s="13">
        <f>AI85*VLOOKUP('Données projet'!$B$10,Paramètres!$A$1:$I$89,3,0)*VLOOKUP('Données projet'!$B$10,Paramètres!$A$1:$I$89,5,0)</f>
        <v>413.65999999999985</v>
      </c>
      <c r="AK85" s="13">
        <f t="shared" si="89"/>
        <v>94.540585122244352</v>
      </c>
      <c r="AL85" s="20">
        <f t="shared" si="58"/>
        <v>885.11601908790863</v>
      </c>
      <c r="AM85" s="59">
        <f t="shared" si="59"/>
        <v>1178.4493524212419</v>
      </c>
      <c r="AN85" s="59">
        <f ca="1">AVERAGE(OFFSET($AM$3,0,0,'Données projet'!$E$10+1,1))-AVERAGE(OFFSET($H$3,0,0,'Données projet'!$E$10+1,1))</f>
        <v>490.96084572840579</v>
      </c>
      <c r="AO85" s="59">
        <f t="shared" si="90"/>
        <v>597.91658789908263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79.879316090872507</v>
      </c>
      <c r="AV85" s="21">
        <f>EXP(-LN(2)/25)*AV84+(1-EXP(-LN(2)/25))/(LN(2)/25)*Calculateur!AQ85*Calculateur!AS85*VLOOKUP('Données projet'!$B$10,Paramètres!$A$1:$I$89,3,0)*0.475*44/12</f>
        <v>13.666193896942183</v>
      </c>
      <c r="AW85" s="21">
        <f>EXP(-LN(2)/2)*AW84+(1-EXP(-LN(2)/2))/(LN(2)/2)*AQ85*AT85*VLOOKUP('Données projet'!$B$10,Paramètres!$A$1:$I$89,3,0)*0.475*44/12</f>
        <v>1.2673189740462082E-8</v>
      </c>
      <c r="AX85" s="21">
        <f t="shared" si="60"/>
        <v>93.545510000487866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213.00000000000003</v>
      </c>
      <c r="BE85" s="13">
        <f>BD85*VLOOKUP('Données projet'!$B$11,Paramètres!$A$1:$I$89,3,0)*VLOOKUP('Données projet'!$B$11,Paramètres!$A$1:$I$89,5,0)</f>
        <v>169.46280000000002</v>
      </c>
      <c r="BF85" s="13">
        <f t="shared" si="91"/>
        <v>42.969686502194378</v>
      </c>
      <c r="BG85" s="20">
        <f t="shared" si="61"/>
        <v>369.98658065798855</v>
      </c>
      <c r="BH85" s="59">
        <f t="shared" si="62"/>
        <v>663.31991399132187</v>
      </c>
      <c r="BI85" s="59">
        <f ca="1">AVERAGE(OFFSET($BH$3,0,0,'Données projet'!$E$11+1,1))-AVERAGE(OFFSET($H$3,0,0,'Données projet'!$E$11+1,1))</f>
        <v>167.80254365106839</v>
      </c>
      <c r="BJ85" s="59">
        <f t="shared" si="92"/>
        <v>167.42302164950172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32.217628641781452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32.217628641781452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669.99999999999989</v>
      </c>
      <c r="BZ85" s="13">
        <f>BY85*VLOOKUP('Données projet'!$B$12,Paramètres!$A$1:$I$89,3,0)*VLOOKUP('Données projet'!$B$12,Paramètres!$A$1:$I$89,5,0)</f>
        <v>330.97999999999996</v>
      </c>
      <c r="CA85" s="13">
        <f t="shared" si="93"/>
        <v>77.633451096966454</v>
      </c>
      <c r="CB85" s="20">
        <f t="shared" si="64"/>
        <v>711.66842732721636</v>
      </c>
      <c r="CC85" s="59">
        <f t="shared" si="65"/>
        <v>1005.0017606605497</v>
      </c>
      <c r="CD85" s="59">
        <f ca="1">AVERAGE(OFFSET($CC$3,0,0,'Données projet'!$E$12+1,1))-AVERAGE(OFFSET($H$3,0,0,'Données projet'!$E$12+1,1))</f>
        <v>322.06606384496587</v>
      </c>
      <c r="CE85" s="59">
        <f t="shared" si="94"/>
        <v>267.71713177624713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111.81870653484822</v>
      </c>
      <c r="CL85" s="21">
        <f>EXP(-LN(2)/25)*CL84+(1-EXP(-LN(2)/25))/(LN(2)/25)*Calculateur!CG85*Calculateur!CI85*VLOOKUP('Données projet'!$B$12,Paramètres!$A$1:$I$89,3,0)*0.475*44/12</f>
        <v>4.7549972788240842</v>
      </c>
      <c r="CM85" s="21">
        <f>EXP(-LN(2)/2)*CM84+(1-EXP(-LN(2)/2))/(LN(2)/2)*CG85*CJ85*VLOOKUP('Données projet'!$B$12,Paramètres!$A$1:$I$89,3,0)*0.475*44/12</f>
        <v>5.8934228556892257E-8</v>
      </c>
      <c r="CN85" s="22">
        <f t="shared" si="66"/>
        <v>116.57370387260653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401</v>
      </c>
      <c r="CU85" s="17">
        <f>CT85*VLOOKUP('Données projet'!$B$13,Paramètres!$A$1:$I$89,3,0)*VLOOKUP('Données projet'!$B$13,Paramètres!$A$1:$I$89,5,0)</f>
        <v>250.22399999999999</v>
      </c>
      <c r="CV85" s="13">
        <f t="shared" si="95"/>
        <v>60.633904580527918</v>
      </c>
      <c r="CW85" s="20">
        <f t="shared" si="67"/>
        <v>541.41085047775289</v>
      </c>
      <c r="CX85" s="59">
        <f t="shared" si="68"/>
        <v>834.74418381108626</v>
      </c>
      <c r="CY85" s="59">
        <f ca="1">AVERAGE(OFFSET($CX$3,0,0,'Données projet'!$E$13+1,1))-AVERAGE(OFFSET($H$3,0,0,'Données projet'!$E$13+1,1))</f>
        <v>269.77739619445515</v>
      </c>
      <c r="CZ85" s="59">
        <f t="shared" si="96"/>
        <v>347.56964743629885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49.532147841515126</v>
      </c>
      <c r="DG85" s="21">
        <f>EXP(-LN(2)/25)*DG84+(1-EXP(-LN(2)/25))/(LN(2)/25)*Calculateur!DB85*Calculateur!DD85*VLOOKUP('Données projet'!$B$13,Paramètres!$A$1:$I$89,3,0)*0.475*44/12</f>
        <v>21.698350558097445</v>
      </c>
      <c r="DH85" s="21">
        <f>EXP(-LN(2)/2)*DH84+(1-EXP(-LN(2)/2))/(LN(2)/2)*DB85*DE85*VLOOKUP('Données projet'!$B$13,Paramètres!$A$1:$I$89,3,0)*0.475*44/12</f>
        <v>3.7012019793669663E-10</v>
      </c>
      <c r="DI85" s="22">
        <f t="shared" si="69"/>
        <v>71.230498399982693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669.99999999999989</v>
      </c>
      <c r="DP85" s="17">
        <f>DO85*VLOOKUP('Données projet'!$B$14,Paramètres!$A$1:$I$89,3,0)*VLOOKUP('Données projet'!$B$14,Paramètres!$A$1:$I$89,5,0)</f>
        <v>322.26999999999992</v>
      </c>
      <c r="DQ85" s="13">
        <f t="shared" si="97"/>
        <v>75.825476822885776</v>
      </c>
      <c r="DR85" s="20">
        <f t="shared" si="70"/>
        <v>693.34962213319261</v>
      </c>
      <c r="DS85" s="59">
        <f t="shared" si="71"/>
        <v>986.68295546652598</v>
      </c>
      <c r="DT85" s="59">
        <f ca="1">AVERAGE(OFFSET($DS$3,0,0,'Données projet'!$E$14+1,1))-AVERAGE(OFFSET($H$3,0,0,'Données projet'!$E$14+1,1))</f>
        <v>312.64506496298173</v>
      </c>
      <c r="DU85" s="59">
        <f t="shared" si="98"/>
        <v>259.97532509897508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108.87610899445748</v>
      </c>
      <c r="EB85" s="21">
        <f>EXP(-LN(2)/25)*EB84+(1-EXP(-LN(2)/25))/(LN(2)/25)*Calculateur!DW85*Calculateur!DY85*VLOOKUP('Données projet'!$B$14,Paramètres!$A$1:$I$89,3,0)*0.475*44/12</f>
        <v>4.6298657714866103</v>
      </c>
      <c r="EC85" s="21">
        <f>EXP(-LN(2)/2)*EC84+(1-EXP(-LN(2)/2))/(LN(2)/2)*DW85*DZ85*VLOOKUP('Données projet'!$B$14,Paramètres!$A$1:$I$89,3,0)*0.475*44/12</f>
        <v>5.7383327805394819E-8</v>
      </c>
      <c r="ED85" s="22">
        <f t="shared" si="72"/>
        <v>113.50597482332742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5.8</v>
      </c>
      <c r="EJ85" s="12">
        <f>IF('Données projet'!$A$192&gt;35,EJ84+EI85-ER84,IF(A85&lt;'Données projet'!$A$192,$EG$205^A85,IF(A85='Données projet'!$A$192,'Données projet'!$B$192,EJ84+EI85-ER84)))</f>
        <v>251.59999999999991</v>
      </c>
      <c r="EK85" s="17">
        <f>EJ85*VLOOKUP('Données projet'!$B$15,Paramètres!$A$1:$I$89,3,0)*VLOOKUP('Données projet'!$B$15,Paramètres!$A$1:$I$89,5,0)</f>
        <v>227.64767999999992</v>
      </c>
      <c r="EL85" s="13">
        <f t="shared" si="99"/>
        <v>55.773751036838313</v>
      </c>
      <c r="EM85" s="20">
        <f t="shared" si="73"/>
        <v>493.62565905582659</v>
      </c>
      <c r="EN85" s="59">
        <f t="shared" si="74"/>
        <v>786.9589923891599</v>
      </c>
      <c r="EO85" s="59">
        <f ca="1">AVERAGE(OFFSET($EN$3,0,0,'Données projet'!$E$15+1,1))-AVERAGE(OFFSET($H$3,0,0,'Données projet'!$E$15+1,1))</f>
        <v>269.64423257646359</v>
      </c>
      <c r="EP85" s="59">
        <f t="shared" si="100"/>
        <v>161.0819079811821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57.874774626627371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57.874774626627371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349.00000000000017</v>
      </c>
      <c r="FF85" s="17">
        <f>FE85*VLOOKUP('Données projet'!$B$16,Paramètres!$A$1:$I$89,3,0)*VLOOKUP('Données projet'!$B$16,Paramètres!$A$1:$I$89,5,0)</f>
        <v>272.22000000000014</v>
      </c>
      <c r="FG85" s="13">
        <f t="shared" si="101"/>
        <v>65.320184547527205</v>
      </c>
      <c r="FH85" s="20">
        <f t="shared" si="76"/>
        <v>587.88248808694345</v>
      </c>
      <c r="FI85" s="59">
        <f t="shared" si="77"/>
        <v>881.21582142027682</v>
      </c>
      <c r="FJ85" s="59">
        <f ca="1">AVERAGE(OFFSET($FI$3,0,0,'Données projet'!$E$16+1,1))-AVERAGE(OFFSET($H$3,0,0,'Données projet'!$E$16+1,1))</f>
        <v>283.77864672734273</v>
      </c>
      <c r="FK85" s="59">
        <f t="shared" si="102"/>
        <v>270.94620935643866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68.338291886391517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68.338291886391517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319</v>
      </c>
      <c r="GA85" s="17">
        <f>FZ85*VLOOKUP('Données projet'!$B$17,Paramètres!$A$1:$I$89,3,0)*VLOOKUP('Données projet'!$B$17,Paramètres!$A$1:$I$89,5,0)</f>
        <v>308.53680000000003</v>
      </c>
      <c r="GB85" s="13">
        <f t="shared" si="103"/>
        <v>72.963171684496103</v>
      </c>
      <c r="GC85" s="20">
        <f t="shared" si="79"/>
        <v>664.4457840171641</v>
      </c>
      <c r="GD85" s="59">
        <f t="shared" si="80"/>
        <v>957.77911735049747</v>
      </c>
      <c r="GE85" s="59">
        <f ca="1">AVERAGE(OFFSET($GD$3,0,0,'Données projet'!$E$17+1,1))-AVERAGE(OFFSET($H$3,0,0,'Données projet'!$E$17+1,1))</f>
        <v>347.54503437087288</v>
      </c>
      <c r="GF85" s="59">
        <f t="shared" si="104"/>
        <v>340.05673244455954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50.403959093928052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50.403959093928052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735.00000000000011</v>
      </c>
      <c r="O86" s="13">
        <f>N86*VLOOKUP('Données projet'!$B$9,Paramètres!$A$1:$I$89,3,0)*VLOOKUP('Données projet'!$B$9,Paramètres!$A$1:$I$89,5,0)</f>
        <v>343.98</v>
      </c>
      <c r="P86" s="13">
        <f t="shared" si="87"/>
        <v>80.321681832084693</v>
      </c>
      <c r="Q86" s="20">
        <f t="shared" si="54"/>
        <v>738.9920958575475</v>
      </c>
      <c r="R86" s="59">
        <f t="shared" si="55"/>
        <v>1032.3254291908809</v>
      </c>
      <c r="S86" s="59">
        <f ca="1">AVERAGE(OFFSET($R$3,0,0,'Données projet'!$E$9+1,1))-AVERAGE(OFFSET($H$3,0,0,'Données projet'!$E$9+1,1))</f>
        <v>342.49944586217674</v>
      </c>
      <c r="T86" s="59">
        <f t="shared" si="88"/>
        <v>282.29766600872563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111.14019120548002</v>
      </c>
      <c r="AA86" s="21">
        <f>EXP(-LN(2)/25)*AA85+(1-EXP(-LN(2)/25))/(LN(2)/25)*Calculateur!V86*Calculateur!X86*VLOOKUP('Données projet'!$B$9,Paramètres!$A$1:$I$89,3,0)*0.475*44/12</f>
        <v>9.2204040267106091</v>
      </c>
      <c r="AB86" s="21">
        <f>EXP(-LN(2)/2)*AB85+(1-EXP(-LN(2)/2))/(LN(2)/2)*V86*Y86*VLOOKUP('Données projet'!$B$9,Paramètres!$A$1:$I$89,3,0)*0.475*44/12</f>
        <v>8.7238167271715207E-10</v>
      </c>
      <c r="AC86" s="22">
        <f t="shared" si="57"/>
        <v>120.36059523306301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739.99999999999966</v>
      </c>
      <c r="AJ86" s="13">
        <f>AI86*VLOOKUP('Données projet'!$B$10,Paramètres!$A$1:$I$89,3,0)*VLOOKUP('Données projet'!$B$10,Paramètres!$A$1:$I$89,5,0)</f>
        <v>413.65999999999985</v>
      </c>
      <c r="AK86" s="13">
        <f t="shared" si="89"/>
        <v>94.540585122244352</v>
      </c>
      <c r="AL86" s="20">
        <f t="shared" si="58"/>
        <v>885.11601908790863</v>
      </c>
      <c r="AM86" s="59">
        <f t="shared" si="59"/>
        <v>1178.4493524212419</v>
      </c>
      <c r="AN86" s="59">
        <f ca="1">AVERAGE(OFFSET($AM$3,0,0,'Données projet'!$E$10+1,1))-AVERAGE(OFFSET($H$3,0,0,'Données projet'!$E$10+1,1))</f>
        <v>490.96084572840579</v>
      </c>
      <c r="AO86" s="59">
        <f t="shared" si="90"/>
        <v>597.91658789908263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78.312931423902455</v>
      </c>
      <c r="AV86" s="21">
        <f>EXP(-LN(2)/25)*AV85+(1-EXP(-LN(2)/25))/(LN(2)/25)*Calculateur!AQ86*Calculateur!AS86*VLOOKUP('Données projet'!$B$10,Paramètres!$A$1:$I$89,3,0)*0.475*44/12</f>
        <v>13.292491106156396</v>
      </c>
      <c r="AW86" s="21">
        <f>EXP(-LN(2)/2)*AW85+(1-EXP(-LN(2)/2))/(LN(2)/2)*AQ86*AT86*VLOOKUP('Données projet'!$B$10,Paramètres!$A$1:$I$89,3,0)*0.475*44/12</f>
        <v>8.9612984047445202E-9</v>
      </c>
      <c r="AX86" s="21">
        <f t="shared" si="60"/>
        <v>91.60542253902014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213.00000000000003</v>
      </c>
      <c r="BE86" s="13">
        <f>BD86*VLOOKUP('Données projet'!$B$11,Paramètres!$A$1:$I$89,3,0)*VLOOKUP('Données projet'!$B$11,Paramètres!$A$1:$I$89,5,0)</f>
        <v>169.46280000000002</v>
      </c>
      <c r="BF86" s="13">
        <f t="shared" si="91"/>
        <v>42.969686502194378</v>
      </c>
      <c r="BG86" s="20">
        <f t="shared" si="61"/>
        <v>369.98658065798855</v>
      </c>
      <c r="BH86" s="59">
        <f t="shared" si="62"/>
        <v>663.31991399132187</v>
      </c>
      <c r="BI86" s="59">
        <f ca="1">AVERAGE(OFFSET($BH$3,0,0,'Données projet'!$E$11+1,1))-AVERAGE(OFFSET($H$3,0,0,'Données projet'!$E$11+1,1))</f>
        <v>167.80254365106839</v>
      </c>
      <c r="BJ86" s="59">
        <f t="shared" si="92"/>
        <v>167.42302164950172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31.585860594929233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31.585860594929233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669.99999999999989</v>
      </c>
      <c r="BZ86" s="13">
        <f>BY86*VLOOKUP('Données projet'!$B$12,Paramètres!$A$1:$I$89,3,0)*VLOOKUP('Données projet'!$B$12,Paramètres!$A$1:$I$89,5,0)</f>
        <v>330.97999999999996</v>
      </c>
      <c r="CA86" s="13">
        <f t="shared" si="93"/>
        <v>77.633451096966454</v>
      </c>
      <c r="CB86" s="20">
        <f t="shared" si="64"/>
        <v>711.66842732721636</v>
      </c>
      <c r="CC86" s="59">
        <f t="shared" si="65"/>
        <v>1005.0017606605497</v>
      </c>
      <c r="CD86" s="59">
        <f ca="1">AVERAGE(OFFSET($CC$3,0,0,'Données projet'!$E$12+1,1))-AVERAGE(OFFSET($H$3,0,0,'Données projet'!$E$12+1,1))</f>
        <v>322.06606384496587</v>
      </c>
      <c r="CE86" s="59">
        <f t="shared" si="94"/>
        <v>267.71713177624713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109.62600990237638</v>
      </c>
      <c r="CL86" s="21">
        <f>EXP(-LN(2)/25)*CL85+(1-EXP(-LN(2)/25))/(LN(2)/25)*Calculateur!CG86*Calculateur!CI86*VLOOKUP('Données projet'!$B$12,Paramètres!$A$1:$I$89,3,0)*0.475*44/12</f>
        <v>4.6249716281802007</v>
      </c>
      <c r="CM86" s="21">
        <f>EXP(-LN(2)/2)*CM85+(1-EXP(-LN(2)/2))/(LN(2)/2)*CG86*CJ86*VLOOKUP('Données projet'!$B$12,Paramètres!$A$1:$I$89,3,0)*0.475*44/12</f>
        <v>4.1672792656576396E-8</v>
      </c>
      <c r="CN86" s="22">
        <f t="shared" si="66"/>
        <v>114.25098157222938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401</v>
      </c>
      <c r="CU86" s="17">
        <f>CT86*VLOOKUP('Données projet'!$B$13,Paramètres!$A$1:$I$89,3,0)*VLOOKUP('Données projet'!$B$13,Paramètres!$A$1:$I$89,5,0)</f>
        <v>250.22399999999999</v>
      </c>
      <c r="CV86" s="13">
        <f t="shared" si="95"/>
        <v>60.633904580527918</v>
      </c>
      <c r="CW86" s="20">
        <f t="shared" si="67"/>
        <v>541.41085047775289</v>
      </c>
      <c r="CX86" s="59">
        <f t="shared" si="68"/>
        <v>834.74418381108626</v>
      </c>
      <c r="CY86" s="59">
        <f ca="1">AVERAGE(OFFSET($CX$3,0,0,'Données projet'!$E$13+1,1))-AVERAGE(OFFSET($H$3,0,0,'Données projet'!$E$13+1,1))</f>
        <v>269.77739619445515</v>
      </c>
      <c r="CZ86" s="59">
        <f t="shared" si="96"/>
        <v>347.56964743629885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48.56085263397005</v>
      </c>
      <c r="DG86" s="21">
        <f>EXP(-LN(2)/25)*DG85+(1-EXP(-LN(2)/25))/(LN(2)/25)*Calculateur!DB86*Calculateur!DD86*VLOOKUP('Données projet'!$B$13,Paramètres!$A$1:$I$89,3,0)*0.475*44/12</f>
        <v>21.105008021019607</v>
      </c>
      <c r="DH86" s="21">
        <f>EXP(-LN(2)/2)*DH85+(1-EXP(-LN(2)/2))/(LN(2)/2)*DB86*DE86*VLOOKUP('Données projet'!$B$13,Paramètres!$A$1:$I$89,3,0)*0.475*44/12</f>
        <v>2.6171450181514539E-10</v>
      </c>
      <c r="DI86" s="22">
        <f t="shared" si="69"/>
        <v>69.665860655251379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669.99999999999989</v>
      </c>
      <c r="DP86" s="17">
        <f>DO86*VLOOKUP('Données projet'!$B$14,Paramètres!$A$1:$I$89,3,0)*VLOOKUP('Données projet'!$B$14,Paramètres!$A$1:$I$89,5,0)</f>
        <v>322.26999999999992</v>
      </c>
      <c r="DQ86" s="13">
        <f t="shared" si="97"/>
        <v>75.825476822885776</v>
      </c>
      <c r="DR86" s="20">
        <f t="shared" si="70"/>
        <v>693.34962213319261</v>
      </c>
      <c r="DS86" s="59">
        <f t="shared" si="71"/>
        <v>986.68295546652598</v>
      </c>
      <c r="DT86" s="59">
        <f ca="1">AVERAGE(OFFSET($DS$3,0,0,'Données projet'!$E$14+1,1))-AVERAGE(OFFSET($H$3,0,0,'Données projet'!$E$14+1,1))</f>
        <v>312.64506496298173</v>
      </c>
      <c r="DU86" s="59">
        <f t="shared" si="98"/>
        <v>259.97532509897508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106.74111490494542</v>
      </c>
      <c r="EB86" s="21">
        <f>EXP(-LN(2)/25)*EB85+(1-EXP(-LN(2)/25))/(LN(2)/25)*Calculateur!DW86*Calculateur!DY86*VLOOKUP('Données projet'!$B$14,Paramètres!$A$1:$I$89,3,0)*0.475*44/12</f>
        <v>4.5032618484912499</v>
      </c>
      <c r="EC86" s="21">
        <f>EXP(-LN(2)/2)*EC85+(1-EXP(-LN(2)/2))/(LN(2)/2)*DW86*DZ86*VLOOKUP('Données projet'!$B$14,Paramètres!$A$1:$I$89,3,0)*0.475*44/12</f>
        <v>4.0576140218245242E-8</v>
      </c>
      <c r="ED86" s="22">
        <f t="shared" si="72"/>
        <v>111.24437679401281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5.8</v>
      </c>
      <c r="EJ86" s="12">
        <f>IF('Données projet'!$A$192&gt;35,EJ85+EI86-ER85,IF(A86&lt;'Données projet'!$A$192,$EG$205^A86,IF(A86='Données projet'!$A$192,'Données projet'!$B$192,EJ85+EI86-ER85)))</f>
        <v>257.39999999999992</v>
      </c>
      <c r="EK86" s="17">
        <f>EJ86*VLOOKUP('Données projet'!$B$15,Paramètres!$A$1:$I$89,3,0)*VLOOKUP('Données projet'!$B$15,Paramètres!$A$1:$I$89,5,0)</f>
        <v>232.89551999999992</v>
      </c>
      <c r="EL86" s="13">
        <f t="shared" si="99"/>
        <v>56.908304063818662</v>
      </c>
      <c r="EM86" s="20">
        <f t="shared" si="73"/>
        <v>504.74166024448397</v>
      </c>
      <c r="EN86" s="59">
        <f t="shared" si="74"/>
        <v>798.07499357781728</v>
      </c>
      <c r="EO86" s="59">
        <f ca="1">AVERAGE(OFFSET($EN$3,0,0,'Données projet'!$E$15+1,1))-AVERAGE(OFFSET($H$3,0,0,'Données projet'!$E$15+1,1))</f>
        <v>269.64423257646359</v>
      </c>
      <c r="EP86" s="59">
        <f t="shared" si="100"/>
        <v>161.0819079811821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56.739885596326133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56.739885596326133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349.00000000000017</v>
      </c>
      <c r="FF86" s="17">
        <f>FE86*VLOOKUP('Données projet'!$B$16,Paramètres!$A$1:$I$89,3,0)*VLOOKUP('Données projet'!$B$16,Paramètres!$A$1:$I$89,5,0)</f>
        <v>272.22000000000014</v>
      </c>
      <c r="FG86" s="13">
        <f t="shared" si="101"/>
        <v>65.320184547527205</v>
      </c>
      <c r="FH86" s="20">
        <f t="shared" si="76"/>
        <v>587.88248808694345</v>
      </c>
      <c r="FI86" s="59">
        <f t="shared" si="77"/>
        <v>881.21582142027682</v>
      </c>
      <c r="FJ86" s="59">
        <f ca="1">AVERAGE(OFFSET($FI$3,0,0,'Données projet'!$E$16+1,1))-AVERAGE(OFFSET($H$3,0,0,'Données projet'!$E$16+1,1))</f>
        <v>283.77864672734273</v>
      </c>
      <c r="FK86" s="59">
        <f t="shared" si="102"/>
        <v>270.94620935643866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66.998219664741654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66.998219664741654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319</v>
      </c>
      <c r="GA86" s="17">
        <f>FZ86*VLOOKUP('Données projet'!$B$17,Paramètres!$A$1:$I$89,3,0)*VLOOKUP('Données projet'!$B$17,Paramètres!$A$1:$I$89,5,0)</f>
        <v>308.53680000000003</v>
      </c>
      <c r="GB86" s="13">
        <f t="shared" si="103"/>
        <v>72.963171684496103</v>
      </c>
      <c r="GC86" s="20">
        <f t="shared" si="79"/>
        <v>664.4457840171641</v>
      </c>
      <c r="GD86" s="59">
        <f t="shared" si="80"/>
        <v>957.77911735049747</v>
      </c>
      <c r="GE86" s="59">
        <f ca="1">AVERAGE(OFFSET($GD$3,0,0,'Données projet'!$E$17+1,1))-AVERAGE(OFFSET($H$3,0,0,'Données projet'!$E$17+1,1))</f>
        <v>347.54503437087288</v>
      </c>
      <c r="GF86" s="59">
        <f t="shared" si="104"/>
        <v>340.05673244455954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49.415568199475516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49.415568199475516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735.00000000000011</v>
      </c>
      <c r="O87" s="13">
        <f>N87*VLOOKUP('Données projet'!$B$9,Paramètres!$A$1:$I$89,3,0)*VLOOKUP('Données projet'!$B$9,Paramètres!$A$1:$I$89,5,0)</f>
        <v>343.98</v>
      </c>
      <c r="P87" s="13">
        <f t="shared" si="87"/>
        <v>80.321681832084693</v>
      </c>
      <c r="Q87" s="20">
        <f t="shared" si="54"/>
        <v>738.9920958575475</v>
      </c>
      <c r="R87" s="59">
        <f t="shared" si="55"/>
        <v>1032.3254291908809</v>
      </c>
      <c r="S87" s="59">
        <f ca="1">AVERAGE(OFFSET($R$3,0,0,'Données projet'!$E$9+1,1))-AVERAGE(OFFSET($H$3,0,0,'Données projet'!$E$9+1,1))</f>
        <v>342.49944586217674</v>
      </c>
      <c r="T87" s="59">
        <f t="shared" si="88"/>
        <v>282.29766600872563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108.9607998447636</v>
      </c>
      <c r="AA87" s="21">
        <f>EXP(-LN(2)/25)*AA86+(1-EXP(-LN(2)/25))/(LN(2)/25)*Calculateur!V87*Calculateur!X87*VLOOKUP('Données projet'!$B$9,Paramètres!$A$1:$I$89,3,0)*0.475*44/12</f>
        <v>8.9682715937202335</v>
      </c>
      <c r="AB87" s="21">
        <f>EXP(-LN(2)/2)*AB86+(1-EXP(-LN(2)/2))/(LN(2)/2)*V87*Y87*VLOOKUP('Données projet'!$B$9,Paramètres!$A$1:$I$89,3,0)*0.475*44/12</f>
        <v>6.1686699656116156E-10</v>
      </c>
      <c r="AC87" s="22">
        <f t="shared" si="57"/>
        <v>117.9290714391007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739.99999999999966</v>
      </c>
      <c r="AJ87" s="13">
        <f>AI87*VLOOKUP('Données projet'!$B$10,Paramètres!$A$1:$I$89,3,0)*VLOOKUP('Données projet'!$B$10,Paramètres!$A$1:$I$89,5,0)</f>
        <v>413.65999999999985</v>
      </c>
      <c r="AK87" s="13">
        <f t="shared" si="89"/>
        <v>94.540585122244352</v>
      </c>
      <c r="AL87" s="20">
        <f t="shared" si="58"/>
        <v>885.11601908790863</v>
      </c>
      <c r="AM87" s="59">
        <f t="shared" si="59"/>
        <v>1178.4493524212419</v>
      </c>
      <c r="AN87" s="59">
        <f ca="1">AVERAGE(OFFSET($AM$3,0,0,'Données projet'!$E$10+1,1))-AVERAGE(OFFSET($H$3,0,0,'Données projet'!$E$10+1,1))</f>
        <v>490.96084572840579</v>
      </c>
      <c r="AO87" s="59">
        <f t="shared" si="90"/>
        <v>597.91658789908263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76.777262604851373</v>
      </c>
      <c r="AV87" s="21">
        <f>EXP(-LN(2)/25)*AV86+(1-EXP(-LN(2)/25))/(LN(2)/25)*Calculateur!AQ87*Calculateur!AS87*VLOOKUP('Données projet'!$B$10,Paramètres!$A$1:$I$89,3,0)*0.475*44/12</f>
        <v>12.929007237836823</v>
      </c>
      <c r="AW87" s="21">
        <f>EXP(-LN(2)/2)*AW86+(1-EXP(-LN(2)/2))/(LN(2)/2)*AQ87*AT87*VLOOKUP('Données projet'!$B$10,Paramètres!$A$1:$I$89,3,0)*0.475*44/12</f>
        <v>6.336594870231041E-9</v>
      </c>
      <c r="AX87" s="21">
        <f t="shared" si="60"/>
        <v>89.706269849024793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213.00000000000003</v>
      </c>
      <c r="BE87" s="13">
        <f>BD87*VLOOKUP('Données projet'!$B$11,Paramètres!$A$1:$I$89,3,0)*VLOOKUP('Données projet'!$B$11,Paramètres!$A$1:$I$89,5,0)</f>
        <v>169.46280000000002</v>
      </c>
      <c r="BF87" s="13">
        <f t="shared" si="91"/>
        <v>42.969686502194378</v>
      </c>
      <c r="BG87" s="20">
        <f t="shared" si="61"/>
        <v>369.98658065798855</v>
      </c>
      <c r="BH87" s="59">
        <f t="shared" si="62"/>
        <v>663.31991399132187</v>
      </c>
      <c r="BI87" s="59">
        <f ca="1">AVERAGE(OFFSET($BH$3,0,0,'Données projet'!$E$11+1,1))-AVERAGE(OFFSET($H$3,0,0,'Données projet'!$E$11+1,1))</f>
        <v>167.80254365106839</v>
      </c>
      <c r="BJ87" s="59">
        <f t="shared" si="92"/>
        <v>167.42302164950172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30.966481134135325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30.966481134135325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669.99999999999989</v>
      </c>
      <c r="BZ87" s="13">
        <f>BY87*VLOOKUP('Données projet'!$B$12,Paramètres!$A$1:$I$89,3,0)*VLOOKUP('Données projet'!$B$12,Paramètres!$A$1:$I$89,5,0)</f>
        <v>330.97999999999996</v>
      </c>
      <c r="CA87" s="13">
        <f t="shared" si="93"/>
        <v>77.633451096966454</v>
      </c>
      <c r="CB87" s="20">
        <f t="shared" si="64"/>
        <v>711.66842732721636</v>
      </c>
      <c r="CC87" s="59">
        <f t="shared" si="65"/>
        <v>1005.0017606605497</v>
      </c>
      <c r="CD87" s="59">
        <f ca="1">AVERAGE(OFFSET($CC$3,0,0,'Données projet'!$E$12+1,1))-AVERAGE(OFFSET($H$3,0,0,'Données projet'!$E$12+1,1))</f>
        <v>322.06606384496587</v>
      </c>
      <c r="CE87" s="59">
        <f t="shared" si="94"/>
        <v>267.71713177624713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107.47631071345442</v>
      </c>
      <c r="CL87" s="21">
        <f>EXP(-LN(2)/25)*CL86+(1-EXP(-LN(2)/25))/(LN(2)/25)*Calculateur!CG87*Calculateur!CI87*VLOOKUP('Données projet'!$B$12,Paramètres!$A$1:$I$89,3,0)*0.475*44/12</f>
        <v>4.4985015357909255</v>
      </c>
      <c r="CM87" s="21">
        <f>EXP(-LN(2)/2)*CM86+(1-EXP(-LN(2)/2))/(LN(2)/2)*CG87*CJ87*VLOOKUP('Données projet'!$B$12,Paramètres!$A$1:$I$89,3,0)*0.475*44/12</f>
        <v>2.9467114278446132E-8</v>
      </c>
      <c r="CN87" s="22">
        <f t="shared" si="66"/>
        <v>111.97481227871246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401</v>
      </c>
      <c r="CU87" s="17">
        <f>CT87*VLOOKUP('Données projet'!$B$13,Paramètres!$A$1:$I$89,3,0)*VLOOKUP('Données projet'!$B$13,Paramètres!$A$1:$I$89,5,0)</f>
        <v>250.22399999999999</v>
      </c>
      <c r="CV87" s="13">
        <f t="shared" si="95"/>
        <v>60.633904580527918</v>
      </c>
      <c r="CW87" s="20">
        <f t="shared" si="67"/>
        <v>541.41085047775289</v>
      </c>
      <c r="CX87" s="59">
        <f t="shared" si="68"/>
        <v>834.74418381108626</v>
      </c>
      <c r="CY87" s="59">
        <f ca="1">AVERAGE(OFFSET($CX$3,0,0,'Données projet'!$E$13+1,1))-AVERAGE(OFFSET($H$3,0,0,'Données projet'!$E$13+1,1))</f>
        <v>269.77739619445515</v>
      </c>
      <c r="CZ87" s="59">
        <f t="shared" si="96"/>
        <v>347.56964743629885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47.608603933013349</v>
      </c>
      <c r="DG87" s="21">
        <f>EXP(-LN(2)/25)*DG86+(1-EXP(-LN(2)/25))/(LN(2)/25)*Calculateur!DB87*Calculateur!DD87*VLOOKUP('Données projet'!$B$13,Paramètres!$A$1:$I$89,3,0)*0.475*44/12</f>
        <v>20.52789046682069</v>
      </c>
      <c r="DH87" s="21">
        <f>EXP(-LN(2)/2)*DH86+(1-EXP(-LN(2)/2))/(LN(2)/2)*DB87*DE87*VLOOKUP('Données projet'!$B$13,Paramètres!$A$1:$I$89,3,0)*0.475*44/12</f>
        <v>1.8506009896834831E-10</v>
      </c>
      <c r="DI87" s="22">
        <f t="shared" si="69"/>
        <v>68.136494400019089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669.99999999999989</v>
      </c>
      <c r="DP87" s="17">
        <f>DO87*VLOOKUP('Données projet'!$B$14,Paramètres!$A$1:$I$89,3,0)*VLOOKUP('Données projet'!$B$14,Paramètres!$A$1:$I$89,5,0)</f>
        <v>322.26999999999992</v>
      </c>
      <c r="DQ87" s="13">
        <f t="shared" si="97"/>
        <v>75.825476822885776</v>
      </c>
      <c r="DR87" s="20">
        <f t="shared" si="70"/>
        <v>693.34962213319261</v>
      </c>
      <c r="DS87" s="59">
        <f t="shared" si="71"/>
        <v>986.68295546652598</v>
      </c>
      <c r="DT87" s="59">
        <f ca="1">AVERAGE(OFFSET($DS$3,0,0,'Données projet'!$E$14+1,1))-AVERAGE(OFFSET($H$3,0,0,'Données projet'!$E$14+1,1))</f>
        <v>312.64506496298173</v>
      </c>
      <c r="DU87" s="59">
        <f t="shared" si="98"/>
        <v>259.97532509897508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104.64798674731088</v>
      </c>
      <c r="EB87" s="21">
        <f>EXP(-LN(2)/25)*EB86+(1-EXP(-LN(2)/25))/(LN(2)/25)*Calculateur!DW87*Calculateur!DY87*VLOOKUP('Données projet'!$B$14,Paramètres!$A$1:$I$89,3,0)*0.475*44/12</f>
        <v>4.3801199164280087</v>
      </c>
      <c r="EC87" s="21">
        <f>EXP(-LN(2)/2)*EC86+(1-EXP(-LN(2)/2))/(LN(2)/2)*DW87*DZ87*VLOOKUP('Données projet'!$B$14,Paramètres!$A$1:$I$89,3,0)*0.475*44/12</f>
        <v>2.869166390269741E-8</v>
      </c>
      <c r="ED87" s="22">
        <f t="shared" si="72"/>
        <v>109.02810669243055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5.8</v>
      </c>
      <c r="EJ87" s="12">
        <f>IF('Données projet'!$A$192&gt;35,EJ86+EI87-ER86,IF(A87&lt;'Données projet'!$A$192,$EG$205^A87,IF(A87='Données projet'!$A$192,'Données projet'!$B$192,EJ86+EI87-ER86)))</f>
        <v>263.19999999999993</v>
      </c>
      <c r="EK87" s="17">
        <f>EJ87*VLOOKUP('Données projet'!$B$15,Paramètres!$A$1:$I$89,3,0)*VLOOKUP('Données projet'!$B$15,Paramètres!$A$1:$I$89,5,0)</f>
        <v>238.14335999999992</v>
      </c>
      <c r="EL87" s="13">
        <f t="shared" si="99"/>
        <v>58.039884968630489</v>
      </c>
      <c r="EM87" s="20">
        <f t="shared" si="73"/>
        <v>515.85248498703129</v>
      </c>
      <c r="EN87" s="59">
        <f t="shared" si="74"/>
        <v>809.18581832036466</v>
      </c>
      <c r="EO87" s="59">
        <f ca="1">AVERAGE(OFFSET($EN$3,0,0,'Données projet'!$E$15+1,1))-AVERAGE(OFFSET($H$3,0,0,'Données projet'!$E$15+1,1))</f>
        <v>269.64423257646359</v>
      </c>
      <c r="EP87" s="59">
        <f t="shared" si="100"/>
        <v>161.0819079811821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55.627251047695147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55.627251047695147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349.00000000000017</v>
      </c>
      <c r="FF87" s="17">
        <f>FE87*VLOOKUP('Données projet'!$B$16,Paramètres!$A$1:$I$89,3,0)*VLOOKUP('Données projet'!$B$16,Paramètres!$A$1:$I$89,5,0)</f>
        <v>272.22000000000014</v>
      </c>
      <c r="FG87" s="13">
        <f t="shared" si="101"/>
        <v>65.320184547527205</v>
      </c>
      <c r="FH87" s="20">
        <f t="shared" si="76"/>
        <v>587.88248808694345</v>
      </c>
      <c r="FI87" s="59">
        <f t="shared" si="77"/>
        <v>881.21582142027682</v>
      </c>
      <c r="FJ87" s="59">
        <f ca="1">AVERAGE(OFFSET($FI$3,0,0,'Données projet'!$E$16+1,1))-AVERAGE(OFFSET($H$3,0,0,'Données projet'!$E$16+1,1))</f>
        <v>283.77864672734273</v>
      </c>
      <c r="FK87" s="59">
        <f t="shared" si="102"/>
        <v>270.94620935643866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65.684425441994989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65.684425441994989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319</v>
      </c>
      <c r="GA87" s="17">
        <f>FZ87*VLOOKUP('Données projet'!$B$17,Paramètres!$A$1:$I$89,3,0)*VLOOKUP('Données projet'!$B$17,Paramètres!$A$1:$I$89,5,0)</f>
        <v>308.53680000000003</v>
      </c>
      <c r="GB87" s="13">
        <f t="shared" si="103"/>
        <v>72.963171684496103</v>
      </c>
      <c r="GC87" s="20">
        <f t="shared" si="79"/>
        <v>664.4457840171641</v>
      </c>
      <c r="GD87" s="59">
        <f t="shared" si="80"/>
        <v>957.77911735049747</v>
      </c>
      <c r="GE87" s="59">
        <f ca="1">AVERAGE(OFFSET($GD$3,0,0,'Données projet'!$E$17+1,1))-AVERAGE(OFFSET($H$3,0,0,'Données projet'!$E$17+1,1))</f>
        <v>347.54503437087288</v>
      </c>
      <c r="GF87" s="59">
        <f t="shared" si="104"/>
        <v>340.05673244455954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48.446559047604275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48.446559047604275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735.00000000000011</v>
      </c>
      <c r="O88" s="13">
        <f>N88*VLOOKUP('Données projet'!$B$9,Paramètres!$A$1:$I$89,3,0)*VLOOKUP('Données projet'!$B$9,Paramètres!$A$1:$I$89,5,0)</f>
        <v>343.98</v>
      </c>
      <c r="P88" s="13">
        <f t="shared" si="87"/>
        <v>80.321681832084693</v>
      </c>
      <c r="Q88" s="20">
        <f t="shared" si="54"/>
        <v>738.9920958575475</v>
      </c>
      <c r="R88" s="59">
        <f t="shared" si="55"/>
        <v>1032.3254291908809</v>
      </c>
      <c r="S88" s="59">
        <f ca="1">AVERAGE(OFFSET($R$3,0,0,'Données projet'!$E$9+1,1))-AVERAGE(OFFSET($H$3,0,0,'Données projet'!$E$9+1,1))</f>
        <v>342.49944586217674</v>
      </c>
      <c r="T88" s="59">
        <f t="shared" si="88"/>
        <v>282.29766600872563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106.82414501933336</v>
      </c>
      <c r="AA88" s="21">
        <f>EXP(-LN(2)/25)*AA87+(1-EXP(-LN(2)/25))/(LN(2)/25)*Calculateur!V88*Calculateur!X88*VLOOKUP('Données projet'!$B$9,Paramètres!$A$1:$I$89,3,0)*0.475*44/12</f>
        <v>8.7230337353690484</v>
      </c>
      <c r="AB88" s="21">
        <f>EXP(-LN(2)/2)*AB87+(1-EXP(-LN(2)/2))/(LN(2)/2)*V88*Y88*VLOOKUP('Données projet'!$B$9,Paramètres!$A$1:$I$89,3,0)*0.475*44/12</f>
        <v>4.3619083635857604E-10</v>
      </c>
      <c r="AC88" s="22">
        <f t="shared" si="57"/>
        <v>115.54717875513859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739.99999999999966</v>
      </c>
      <c r="AJ88" s="13">
        <f>AI88*VLOOKUP('Données projet'!$B$10,Paramètres!$A$1:$I$89,3,0)*VLOOKUP('Données projet'!$B$10,Paramètres!$A$1:$I$89,5,0)</f>
        <v>413.65999999999985</v>
      </c>
      <c r="AK88" s="13">
        <f t="shared" si="89"/>
        <v>94.540585122244352</v>
      </c>
      <c r="AL88" s="20">
        <f t="shared" si="58"/>
        <v>885.11601908790863</v>
      </c>
      <c r="AM88" s="59">
        <f t="shared" si="59"/>
        <v>1178.4493524212419</v>
      </c>
      <c r="AN88" s="59">
        <f ca="1">AVERAGE(OFFSET($AM$3,0,0,'Données projet'!$E$10+1,1))-AVERAGE(OFFSET($H$3,0,0,'Données projet'!$E$10+1,1))</f>
        <v>490.96084572840579</v>
      </c>
      <c r="AO88" s="59">
        <f t="shared" si="90"/>
        <v>597.91658789908263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75.271707314676391</v>
      </c>
      <c r="AV88" s="21">
        <f>EXP(-LN(2)/25)*AV87+(1-EXP(-LN(2)/25))/(LN(2)/25)*Calculateur!AQ88*Calculateur!AS88*VLOOKUP('Données projet'!$B$10,Paramètres!$A$1:$I$89,3,0)*0.475*44/12</f>
        <v>12.575462855011233</v>
      </c>
      <c r="AW88" s="21">
        <f>EXP(-LN(2)/2)*AW87+(1-EXP(-LN(2)/2))/(LN(2)/2)*AQ88*AT88*VLOOKUP('Données projet'!$B$10,Paramètres!$A$1:$I$89,3,0)*0.475*44/12</f>
        <v>4.4806492023722601E-9</v>
      </c>
      <c r="AX88" s="21">
        <f t="shared" si="60"/>
        <v>87.847170174168284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213.00000000000003</v>
      </c>
      <c r="BE88" s="13">
        <f>BD88*VLOOKUP('Données projet'!$B$11,Paramètres!$A$1:$I$89,3,0)*VLOOKUP('Données projet'!$B$11,Paramètres!$A$1:$I$89,5,0)</f>
        <v>169.46280000000002</v>
      </c>
      <c r="BF88" s="13">
        <f t="shared" si="91"/>
        <v>42.969686502194378</v>
      </c>
      <c r="BG88" s="20">
        <f t="shared" si="61"/>
        <v>369.98658065798855</v>
      </c>
      <c r="BH88" s="59">
        <f t="shared" si="62"/>
        <v>663.31991399132187</v>
      </c>
      <c r="BI88" s="59">
        <f ca="1">AVERAGE(OFFSET($BH$3,0,0,'Données projet'!$E$11+1,1))-AVERAGE(OFFSET($H$3,0,0,'Données projet'!$E$11+1,1))</f>
        <v>167.80254365106839</v>
      </c>
      <c r="BJ88" s="59">
        <f t="shared" si="92"/>
        <v>167.42302164950172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30.359247326783418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30.359247326783418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669.99999999999989</v>
      </c>
      <c r="BZ88" s="13">
        <f>BY88*VLOOKUP('Données projet'!$B$12,Paramètres!$A$1:$I$89,3,0)*VLOOKUP('Données projet'!$B$12,Paramètres!$A$1:$I$89,5,0)</f>
        <v>330.97999999999996</v>
      </c>
      <c r="CA88" s="13">
        <f t="shared" si="93"/>
        <v>77.633451096966454</v>
      </c>
      <c r="CB88" s="20">
        <f t="shared" si="64"/>
        <v>711.66842732721636</v>
      </c>
      <c r="CC88" s="59">
        <f t="shared" si="65"/>
        <v>1005.0017606605497</v>
      </c>
      <c r="CD88" s="59">
        <f ca="1">AVERAGE(OFFSET($CC$3,0,0,'Données projet'!$E$12+1,1))-AVERAGE(OFFSET($H$3,0,0,'Données projet'!$E$12+1,1))</f>
        <v>322.06606384496587</v>
      </c>
      <c r="CE88" s="59">
        <f t="shared" si="94"/>
        <v>267.71713177624713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105.3687658144402</v>
      </c>
      <c r="CL88" s="21">
        <f>EXP(-LN(2)/25)*CL87+(1-EXP(-LN(2)/25))/(LN(2)/25)*Calculateur!CG88*Calculateur!CI88*VLOOKUP('Données projet'!$B$12,Paramètres!$A$1:$I$89,3,0)*0.475*44/12</f>
        <v>4.3754897747288082</v>
      </c>
      <c r="CM88" s="21">
        <f>EXP(-LN(2)/2)*CM87+(1-EXP(-LN(2)/2))/(LN(2)/2)*CG88*CJ88*VLOOKUP('Données projet'!$B$12,Paramètres!$A$1:$I$89,3,0)*0.475*44/12</f>
        <v>2.0836396328288202E-8</v>
      </c>
      <c r="CN88" s="22">
        <f t="shared" si="66"/>
        <v>109.7442556100054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401</v>
      </c>
      <c r="CU88" s="17">
        <f>CT88*VLOOKUP('Données projet'!$B$13,Paramètres!$A$1:$I$89,3,0)*VLOOKUP('Données projet'!$B$13,Paramètres!$A$1:$I$89,5,0)</f>
        <v>250.22399999999999</v>
      </c>
      <c r="CV88" s="13">
        <f t="shared" si="95"/>
        <v>60.633904580527918</v>
      </c>
      <c r="CW88" s="20">
        <f t="shared" si="67"/>
        <v>541.41085047775289</v>
      </c>
      <c r="CX88" s="59">
        <f t="shared" si="68"/>
        <v>834.74418381108626</v>
      </c>
      <c r="CY88" s="59">
        <f ca="1">AVERAGE(OFFSET($CX$3,0,0,'Données projet'!$E$13+1,1))-AVERAGE(OFFSET($H$3,0,0,'Données projet'!$E$13+1,1))</f>
        <v>269.77739619445515</v>
      </c>
      <c r="CZ88" s="59">
        <f t="shared" si="96"/>
        <v>347.56964743629885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46.675028248268056</v>
      </c>
      <c r="DG88" s="21">
        <f>EXP(-LN(2)/25)*DG87+(1-EXP(-LN(2)/25))/(LN(2)/25)*Calculateur!DB88*Calculateur!DD88*VLOOKUP('Données projet'!$B$13,Paramètres!$A$1:$I$89,3,0)*0.475*44/12</f>
        <v>19.966554222490636</v>
      </c>
      <c r="DH88" s="21">
        <f>EXP(-LN(2)/2)*DH87+(1-EXP(-LN(2)/2))/(LN(2)/2)*DB88*DE88*VLOOKUP('Données projet'!$B$13,Paramètres!$A$1:$I$89,3,0)*0.475*44/12</f>
        <v>1.308572509075727E-10</v>
      </c>
      <c r="DI88" s="22">
        <f t="shared" si="69"/>
        <v>66.641582470889546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669.99999999999989</v>
      </c>
      <c r="DP88" s="17">
        <f>DO88*VLOOKUP('Données projet'!$B$14,Paramètres!$A$1:$I$89,3,0)*VLOOKUP('Données projet'!$B$14,Paramètres!$A$1:$I$89,5,0)</f>
        <v>322.26999999999992</v>
      </c>
      <c r="DQ88" s="13">
        <f t="shared" si="97"/>
        <v>75.825476822885776</v>
      </c>
      <c r="DR88" s="20">
        <f t="shared" si="70"/>
        <v>693.34962213319261</v>
      </c>
      <c r="DS88" s="59">
        <f t="shared" si="71"/>
        <v>986.68295546652598</v>
      </c>
      <c r="DT88" s="59">
        <f ca="1">AVERAGE(OFFSET($DS$3,0,0,'Données projet'!$E$14+1,1))-AVERAGE(OFFSET($H$3,0,0,'Données projet'!$E$14+1,1))</f>
        <v>312.64506496298173</v>
      </c>
      <c r="DU88" s="59">
        <f t="shared" si="98"/>
        <v>259.97532509897508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102.59590355616544</v>
      </c>
      <c r="EB88" s="21">
        <f>EXP(-LN(2)/25)*EB87+(1-EXP(-LN(2)/25))/(LN(2)/25)*Calculateur!DW88*Calculateur!DY88*VLOOKUP('Données projet'!$B$14,Paramètres!$A$1:$I$89,3,0)*0.475*44/12</f>
        <v>4.2603453069727895</v>
      </c>
      <c r="EC88" s="21">
        <f>EXP(-LN(2)/2)*EC87+(1-EXP(-LN(2)/2))/(LN(2)/2)*DW88*DZ88*VLOOKUP('Données projet'!$B$14,Paramètres!$A$1:$I$89,3,0)*0.475*44/12</f>
        <v>2.0288070109122621E-8</v>
      </c>
      <c r="ED88" s="22">
        <f t="shared" si="72"/>
        <v>106.8562488834263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269</v>
      </c>
      <c r="EH88" s="12">
        <f>VLOOKUP(A88,'Données projet'!$A$191:$I$211,9,0)</f>
        <v>5.8</v>
      </c>
      <c r="EI88" s="12">
        <f t="array" ref="EI88">INDEX(EH:EH,MIN(IF(ISNUMBER(EH88:EH284),ROW(EH88:EH284),"")))</f>
        <v>5.8</v>
      </c>
      <c r="EJ88" s="12">
        <f>IF('Données projet'!$A$192&gt;35,EJ87+EI88-ER87,IF(A88&lt;'Données projet'!$A$192,$EG$205^A88,IF(A88='Données projet'!$A$192,'Données projet'!$B$192,EJ87+EI88-ER87)))</f>
        <v>268.99999999999994</v>
      </c>
      <c r="EK88" s="17">
        <f>EJ88*VLOOKUP('Données projet'!$B$15,Paramètres!$A$1:$I$89,3,0)*VLOOKUP('Données projet'!$B$15,Paramètres!$A$1:$I$89,5,0)</f>
        <v>243.39119999999994</v>
      </c>
      <c r="EL88" s="13">
        <f t="shared" si="99"/>
        <v>59.168566788241527</v>
      </c>
      <c r="EM88" s="20">
        <f t="shared" si="73"/>
        <v>526.95826048952051</v>
      </c>
      <c r="EN88" s="59">
        <f t="shared" si="74"/>
        <v>820.29159382285388</v>
      </c>
      <c r="EO88" s="59">
        <f ca="1">AVERAGE(OFFSET($EN$3,0,0,'Données projet'!$E$15+1,1))-AVERAGE(OFFSET($H$3,0,0,'Données projet'!$E$15+1,1))</f>
        <v>269.64423257646359</v>
      </c>
      <c r="EP88" s="59">
        <f t="shared" si="100"/>
        <v>161.0819079811821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21</v>
      </c>
      <c r="ES88" s="16">
        <f>IF(ISNA(VLOOKUP(A88,'Données projet'!$A$191:$I$211,5,0)),0%,VLOOKUP(A88,'Données projet'!$A$191:$I$211,5,0)*VLOOKUP('Données projet'!$B$15,Paramètres!$A$1:$I$89,7,0))</f>
        <v>0.43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63.568507866517507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63.568507866517507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349.00000000000017</v>
      </c>
      <c r="FF88" s="17">
        <f>FE88*VLOOKUP('Données projet'!$B$16,Paramètres!$A$1:$I$89,3,0)*VLOOKUP('Données projet'!$B$16,Paramètres!$A$1:$I$89,5,0)</f>
        <v>272.22000000000014</v>
      </c>
      <c r="FG88" s="13">
        <f t="shared" si="101"/>
        <v>65.320184547527205</v>
      </c>
      <c r="FH88" s="20">
        <f t="shared" si="76"/>
        <v>587.88248808694345</v>
      </c>
      <c r="FI88" s="59">
        <f t="shared" si="77"/>
        <v>881.21582142027682</v>
      </c>
      <c r="FJ88" s="59">
        <f ca="1">AVERAGE(OFFSET($FI$3,0,0,'Données projet'!$E$16+1,1))-AVERAGE(OFFSET($H$3,0,0,'Données projet'!$E$16+1,1))</f>
        <v>283.77864672734273</v>
      </c>
      <c r="FK88" s="59">
        <f t="shared" si="102"/>
        <v>270.94620935643866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64.396393922621044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64.396393922621044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319</v>
      </c>
      <c r="GA88" s="17">
        <f>FZ88*VLOOKUP('Données projet'!$B$17,Paramètres!$A$1:$I$89,3,0)*VLOOKUP('Données projet'!$B$17,Paramètres!$A$1:$I$89,5,0)</f>
        <v>308.53680000000003</v>
      </c>
      <c r="GB88" s="13">
        <f t="shared" si="103"/>
        <v>72.963171684496103</v>
      </c>
      <c r="GC88" s="20">
        <f t="shared" si="79"/>
        <v>664.4457840171641</v>
      </c>
      <c r="GD88" s="59">
        <f t="shared" si="80"/>
        <v>957.77911735049747</v>
      </c>
      <c r="GE88" s="59">
        <f ca="1">AVERAGE(OFFSET($GD$3,0,0,'Données projet'!$E$17+1,1))-AVERAGE(OFFSET($H$3,0,0,'Données projet'!$E$17+1,1))</f>
        <v>347.54503437087288</v>
      </c>
      <c r="GF88" s="59">
        <f t="shared" si="104"/>
        <v>340.05673244455954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47.496551574164002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47.496551574164002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735.00000000000011</v>
      </c>
      <c r="O89" s="13">
        <f>N89*VLOOKUP('Données projet'!$B$9,Paramètres!$A$1:$I$89,3,0)*VLOOKUP('Données projet'!$B$9,Paramètres!$A$1:$I$89,5,0)</f>
        <v>343.98</v>
      </c>
      <c r="P89" s="13">
        <f t="shared" si="87"/>
        <v>80.321681832084693</v>
      </c>
      <c r="Q89" s="20">
        <f t="shared" si="54"/>
        <v>738.9920958575475</v>
      </c>
      <c r="R89" s="59">
        <f t="shared" si="55"/>
        <v>1032.3254291908809</v>
      </c>
      <c r="S89" s="59">
        <f ca="1">AVERAGE(OFFSET($R$3,0,0,'Données projet'!$E$9+1,1))-AVERAGE(OFFSET($H$3,0,0,'Données projet'!$E$9+1,1))</f>
        <v>342.49944586217674</v>
      </c>
      <c r="T89" s="59">
        <f t="shared" si="88"/>
        <v>282.29766600872563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104.72938869179904</v>
      </c>
      <c r="AA89" s="21">
        <f>EXP(-LN(2)/25)*AA88+(1-EXP(-LN(2)/25))/(LN(2)/25)*Calculateur!V89*Calculateur!X89*VLOOKUP('Données projet'!$B$9,Paramètres!$A$1:$I$89,3,0)*0.475*44/12</f>
        <v>8.4845019191509738</v>
      </c>
      <c r="AB89" s="21">
        <f>EXP(-LN(2)/2)*AB88+(1-EXP(-LN(2)/2))/(LN(2)/2)*V89*Y89*VLOOKUP('Données projet'!$B$9,Paramètres!$A$1:$I$89,3,0)*0.475*44/12</f>
        <v>3.0843349828058078E-10</v>
      </c>
      <c r="AC89" s="22">
        <f t="shared" si="57"/>
        <v>113.21389061125845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739.99999999999966</v>
      </c>
      <c r="AJ89" s="13">
        <f>AI89*VLOOKUP('Données projet'!$B$10,Paramètres!$A$1:$I$89,3,0)*VLOOKUP('Données projet'!$B$10,Paramètres!$A$1:$I$89,5,0)</f>
        <v>413.65999999999985</v>
      </c>
      <c r="AK89" s="13">
        <f t="shared" si="89"/>
        <v>94.540585122244352</v>
      </c>
      <c r="AL89" s="20">
        <f t="shared" si="58"/>
        <v>885.11601908790863</v>
      </c>
      <c r="AM89" s="59">
        <f t="shared" si="59"/>
        <v>1178.4493524212419</v>
      </c>
      <c r="AN89" s="59">
        <f ca="1">AVERAGE(OFFSET($AM$3,0,0,'Données projet'!$E$10+1,1))-AVERAGE(OFFSET($H$3,0,0,'Données projet'!$E$10+1,1))</f>
        <v>490.96084572840579</v>
      </c>
      <c r="AO89" s="59">
        <f t="shared" si="90"/>
        <v>597.91658789908263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73.795675045443687</v>
      </c>
      <c r="AV89" s="21">
        <f>EXP(-LN(2)/25)*AV88+(1-EXP(-LN(2)/25))/(LN(2)/25)*Calculateur!AQ89*Calculateur!AS89*VLOOKUP('Données projet'!$B$10,Paramètres!$A$1:$I$89,3,0)*0.475*44/12</f>
        <v>12.231586161926101</v>
      </c>
      <c r="AW89" s="21">
        <f>EXP(-LN(2)/2)*AW88+(1-EXP(-LN(2)/2))/(LN(2)/2)*AQ89*AT89*VLOOKUP('Données projet'!$B$10,Paramètres!$A$1:$I$89,3,0)*0.475*44/12</f>
        <v>3.1682974351155205E-9</v>
      </c>
      <c r="AX89" s="21">
        <f t="shared" si="60"/>
        <v>86.027261210538086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213.00000000000003</v>
      </c>
      <c r="BE89" s="13">
        <f>BD89*VLOOKUP('Données projet'!$B$11,Paramètres!$A$1:$I$89,3,0)*VLOOKUP('Données projet'!$B$11,Paramètres!$A$1:$I$89,5,0)</f>
        <v>169.46280000000002</v>
      </c>
      <c r="BF89" s="13">
        <f t="shared" si="91"/>
        <v>42.969686502194378</v>
      </c>
      <c r="BG89" s="20">
        <f t="shared" si="61"/>
        <v>369.98658065798855</v>
      </c>
      <c r="BH89" s="59">
        <f t="shared" si="62"/>
        <v>663.31991399132187</v>
      </c>
      <c r="BI89" s="59">
        <f ca="1">AVERAGE(OFFSET($BH$3,0,0,'Données projet'!$E$11+1,1))-AVERAGE(OFFSET($H$3,0,0,'Données projet'!$E$11+1,1))</f>
        <v>167.80254365106839</v>
      </c>
      <c r="BJ89" s="59">
        <f t="shared" si="92"/>
        <v>167.42302164950172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29.763921004017632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29.763921004017632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669.99999999999989</v>
      </c>
      <c r="BZ89" s="13">
        <f>BY89*VLOOKUP('Données projet'!$B$12,Paramètres!$A$1:$I$89,3,0)*VLOOKUP('Données projet'!$B$12,Paramètres!$A$1:$I$89,5,0)</f>
        <v>330.97999999999996</v>
      </c>
      <c r="CA89" s="13">
        <f t="shared" si="93"/>
        <v>77.633451096966454</v>
      </c>
      <c r="CB89" s="20">
        <f t="shared" si="64"/>
        <v>711.66842732721636</v>
      </c>
      <c r="CC89" s="59">
        <f t="shared" si="65"/>
        <v>1005.0017606605497</v>
      </c>
      <c r="CD89" s="59">
        <f ca="1">AVERAGE(OFFSET($CC$3,0,0,'Données projet'!$E$12+1,1))-AVERAGE(OFFSET($H$3,0,0,'Données projet'!$E$12+1,1))</f>
        <v>322.06606384496587</v>
      </c>
      <c r="CE89" s="59">
        <f t="shared" si="94"/>
        <v>267.71713177624713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103.30254858542017</v>
      </c>
      <c r="CL89" s="21">
        <f>EXP(-LN(2)/25)*CL88+(1-EXP(-LN(2)/25))/(LN(2)/25)*Calculateur!CG89*Calculateur!CI89*VLOOKUP('Données projet'!$B$12,Paramètres!$A$1:$I$89,3,0)*0.475*44/12</f>
        <v>4.2558417767418417</v>
      </c>
      <c r="CM89" s="21">
        <f>EXP(-LN(2)/2)*CM88+(1-EXP(-LN(2)/2))/(LN(2)/2)*CG89*CJ89*VLOOKUP('Données projet'!$B$12,Paramètres!$A$1:$I$89,3,0)*0.475*44/12</f>
        <v>1.4733557139223069E-8</v>
      </c>
      <c r="CN89" s="22">
        <f t="shared" si="66"/>
        <v>107.55839037689557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401</v>
      </c>
      <c r="CU89" s="17">
        <f>CT89*VLOOKUP('Données projet'!$B$13,Paramètres!$A$1:$I$89,3,0)*VLOOKUP('Données projet'!$B$13,Paramètres!$A$1:$I$89,5,0)</f>
        <v>250.22399999999999</v>
      </c>
      <c r="CV89" s="13">
        <f t="shared" si="95"/>
        <v>60.633904580527918</v>
      </c>
      <c r="CW89" s="20">
        <f t="shared" si="67"/>
        <v>541.41085047775289</v>
      </c>
      <c r="CX89" s="59">
        <f t="shared" si="68"/>
        <v>834.74418381108626</v>
      </c>
      <c r="CY89" s="59">
        <f ca="1">AVERAGE(OFFSET($CX$3,0,0,'Données projet'!$E$13+1,1))-AVERAGE(OFFSET($H$3,0,0,'Données projet'!$E$13+1,1))</f>
        <v>269.77739619445515</v>
      </c>
      <c r="CZ89" s="59">
        <f t="shared" si="96"/>
        <v>347.56964743629885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45.759759413275674</v>
      </c>
      <c r="DG89" s="21">
        <f>EXP(-LN(2)/25)*DG88+(1-EXP(-LN(2)/25))/(LN(2)/25)*Calculateur!DB89*Calculateur!DD89*VLOOKUP('Données projet'!$B$13,Paramètres!$A$1:$I$89,3,0)*0.475*44/12</f>
        <v>19.420567747281176</v>
      </c>
      <c r="DH89" s="21">
        <f>EXP(-LN(2)/2)*DH88+(1-EXP(-LN(2)/2))/(LN(2)/2)*DB89*DE89*VLOOKUP('Données projet'!$B$13,Paramètres!$A$1:$I$89,3,0)*0.475*44/12</f>
        <v>9.2530049484174156E-11</v>
      </c>
      <c r="DI89" s="22">
        <f t="shared" si="69"/>
        <v>65.180327160649384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669.99999999999989</v>
      </c>
      <c r="DP89" s="17">
        <f>DO89*VLOOKUP('Données projet'!$B$14,Paramètres!$A$1:$I$89,3,0)*VLOOKUP('Données projet'!$B$14,Paramètres!$A$1:$I$89,5,0)</f>
        <v>322.26999999999992</v>
      </c>
      <c r="DQ89" s="13">
        <f t="shared" si="97"/>
        <v>75.825476822885776</v>
      </c>
      <c r="DR89" s="20">
        <f t="shared" si="70"/>
        <v>693.34962213319261</v>
      </c>
      <c r="DS89" s="59">
        <f t="shared" si="71"/>
        <v>986.68295546652598</v>
      </c>
      <c r="DT89" s="59">
        <f ca="1">AVERAGE(OFFSET($DS$3,0,0,'Données projet'!$E$14+1,1))-AVERAGE(OFFSET($H$3,0,0,'Données projet'!$E$14+1,1))</f>
        <v>312.64506496298173</v>
      </c>
      <c r="DU89" s="59">
        <f t="shared" si="98"/>
        <v>259.97532509897508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100.5840604647512</v>
      </c>
      <c r="EB89" s="21">
        <f>EXP(-LN(2)/25)*EB88+(1-EXP(-LN(2)/25))/(LN(2)/25)*Calculateur!DW89*Calculateur!DY89*VLOOKUP('Données projet'!$B$14,Paramètres!$A$1:$I$89,3,0)*0.475*44/12</f>
        <v>4.1438459405117962</v>
      </c>
      <c r="EC89" s="21">
        <f>EXP(-LN(2)/2)*EC88+(1-EXP(-LN(2)/2))/(LN(2)/2)*DW89*DZ89*VLOOKUP('Données projet'!$B$14,Paramètres!$A$1:$I$89,3,0)*0.475*44/12</f>
        <v>1.4345831951348705E-8</v>
      </c>
      <c r="ED89" s="22">
        <f t="shared" si="72"/>
        <v>104.72790641960883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5.4</v>
      </c>
      <c r="EJ89" s="12">
        <f>IF('Données projet'!$A$192&gt;35,EJ88+EI89-ER88,IF(A89&lt;'Données projet'!$A$192,$EG$205^A89,IF(A89='Données projet'!$A$192,'Données projet'!$B$192,EJ88+EI89-ER88)))</f>
        <v>253.39999999999992</v>
      </c>
      <c r="EK89" s="17">
        <f>EJ89*VLOOKUP('Données projet'!$B$15,Paramètres!$A$1:$I$89,3,0)*VLOOKUP('Données projet'!$B$15,Paramètres!$A$1:$I$89,5,0)</f>
        <v>229.27631999999994</v>
      </c>
      <c r="EL89" s="13">
        <f t="shared" si="99"/>
        <v>56.126176307517476</v>
      </c>
      <c r="EM89" s="20">
        <f t="shared" si="73"/>
        <v>497.07601440225949</v>
      </c>
      <c r="EN89" s="59">
        <f t="shared" si="74"/>
        <v>790.40934773559275</v>
      </c>
      <c r="EO89" s="59">
        <f ca="1">AVERAGE(OFFSET($EN$3,0,0,'Données projet'!$E$15+1,1))-AVERAGE(OFFSET($H$3,0,0,'Données projet'!$E$15+1,1))</f>
        <v>269.64423257646359</v>
      </c>
      <c r="EP89" s="59">
        <f t="shared" si="100"/>
        <v>161.0819079811821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62.321968200216382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62.321968200216382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349.00000000000017</v>
      </c>
      <c r="FF89" s="17">
        <f>FE89*VLOOKUP('Données projet'!$B$16,Paramètres!$A$1:$I$89,3,0)*VLOOKUP('Données projet'!$B$16,Paramètres!$A$1:$I$89,5,0)</f>
        <v>272.22000000000014</v>
      </c>
      <c r="FG89" s="13">
        <f t="shared" si="101"/>
        <v>65.320184547527205</v>
      </c>
      <c r="FH89" s="20">
        <f t="shared" si="76"/>
        <v>587.88248808694345</v>
      </c>
      <c r="FI89" s="59">
        <f t="shared" si="77"/>
        <v>881.21582142027682</v>
      </c>
      <c r="FJ89" s="59">
        <f ca="1">AVERAGE(OFFSET($FI$3,0,0,'Données projet'!$E$16+1,1))-AVERAGE(OFFSET($H$3,0,0,'Données projet'!$E$16+1,1))</f>
        <v>283.77864672734273</v>
      </c>
      <c r="FK89" s="59">
        <f t="shared" si="102"/>
        <v>270.94620935643866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63.133619915720367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63.133619915720367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319</v>
      </c>
      <c r="GA89" s="17">
        <f>FZ89*VLOOKUP('Données projet'!$B$17,Paramètres!$A$1:$I$89,3,0)*VLOOKUP('Données projet'!$B$17,Paramètres!$A$1:$I$89,5,0)</f>
        <v>308.53680000000003</v>
      </c>
      <c r="GB89" s="13">
        <f t="shared" si="103"/>
        <v>72.963171684496103</v>
      </c>
      <c r="GC89" s="20">
        <f t="shared" si="79"/>
        <v>664.4457840171641</v>
      </c>
      <c r="GD89" s="59">
        <f t="shared" si="80"/>
        <v>957.77911735049747</v>
      </c>
      <c r="GE89" s="59">
        <f ca="1">AVERAGE(OFFSET($GD$3,0,0,'Données projet'!$E$17+1,1))-AVERAGE(OFFSET($H$3,0,0,'Données projet'!$E$17+1,1))</f>
        <v>347.54503437087288</v>
      </c>
      <c r="GF89" s="59">
        <f t="shared" si="104"/>
        <v>340.05673244455954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46.565173167830551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46.565173167830551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735.00000000000011</v>
      </c>
      <c r="O90" s="13">
        <f>N90*VLOOKUP('Données projet'!$B$9,Paramètres!$A$1:$I$89,3,0)*VLOOKUP('Données projet'!$B$9,Paramètres!$A$1:$I$89,5,0)</f>
        <v>343.98</v>
      </c>
      <c r="P90" s="13">
        <f t="shared" si="87"/>
        <v>80.321681832084693</v>
      </c>
      <c r="Q90" s="20">
        <f t="shared" si="54"/>
        <v>738.9920958575475</v>
      </c>
      <c r="R90" s="59">
        <f t="shared" si="55"/>
        <v>1032.3254291908809</v>
      </c>
      <c r="S90" s="59">
        <f ca="1">AVERAGE(OFFSET($R$3,0,0,'Données projet'!$E$9+1,1))-AVERAGE(OFFSET($H$3,0,0,'Données projet'!$E$9+1,1))</f>
        <v>342.49944586217674</v>
      </c>
      <c r="T90" s="59">
        <f t="shared" si="88"/>
        <v>282.29766600872563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102.67570925817247</v>
      </c>
      <c r="AA90" s="21">
        <f>EXP(-LN(2)/25)*AA89+(1-EXP(-LN(2)/25))/(LN(2)/25)*Calculateur!V90*Calculateur!X90*VLOOKUP('Données projet'!$B$9,Paramètres!$A$1:$I$89,3,0)*0.475*44/12</f>
        <v>8.2524927679912263</v>
      </c>
      <c r="AB90" s="21">
        <f>EXP(-LN(2)/2)*AB89+(1-EXP(-LN(2)/2))/(LN(2)/2)*V90*Y90*VLOOKUP('Données projet'!$B$9,Paramètres!$A$1:$I$89,3,0)*0.475*44/12</f>
        <v>2.1809541817928802E-10</v>
      </c>
      <c r="AC90" s="22">
        <f t="shared" si="57"/>
        <v>110.9282020263818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739.99999999999966</v>
      </c>
      <c r="AJ90" s="13">
        <f>AI90*VLOOKUP('Données projet'!$B$10,Paramètres!$A$1:$I$89,3,0)*VLOOKUP('Données projet'!$B$10,Paramètres!$A$1:$I$89,5,0)</f>
        <v>413.65999999999985</v>
      </c>
      <c r="AK90" s="13">
        <f t="shared" si="89"/>
        <v>94.540585122244352</v>
      </c>
      <c r="AL90" s="20">
        <f t="shared" si="58"/>
        <v>885.11601908790863</v>
      </c>
      <c r="AM90" s="59">
        <f t="shared" si="59"/>
        <v>1178.4493524212419</v>
      </c>
      <c r="AN90" s="59">
        <f ca="1">AVERAGE(OFFSET($AM$3,0,0,'Données projet'!$E$10+1,1))-AVERAGE(OFFSET($H$3,0,0,'Données projet'!$E$10+1,1))</f>
        <v>490.96084572840579</v>
      </c>
      <c r="AO90" s="59">
        <f t="shared" si="90"/>
        <v>597.91658789908263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72.348586868719849</v>
      </c>
      <c r="AV90" s="21">
        <f>EXP(-LN(2)/25)*AV89+(1-EXP(-LN(2)/25))/(LN(2)/25)*Calculateur!AQ90*Calculateur!AS90*VLOOKUP('Données projet'!$B$10,Paramètres!$A$1:$I$89,3,0)*0.475*44/12</f>
        <v>11.897112795097071</v>
      </c>
      <c r="AW90" s="21">
        <f>EXP(-LN(2)/2)*AW89+(1-EXP(-LN(2)/2))/(LN(2)/2)*AQ90*AT90*VLOOKUP('Données projet'!$B$10,Paramètres!$A$1:$I$89,3,0)*0.475*44/12</f>
        <v>2.24032460118613E-9</v>
      </c>
      <c r="AX90" s="21">
        <f t="shared" si="60"/>
        <v>84.245699666057249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213.00000000000003</v>
      </c>
      <c r="BE90" s="13">
        <f>BD90*VLOOKUP('Données projet'!$B$11,Paramètres!$A$1:$I$89,3,0)*VLOOKUP('Données projet'!$B$11,Paramètres!$A$1:$I$89,5,0)</f>
        <v>169.46280000000002</v>
      </c>
      <c r="BF90" s="13">
        <f t="shared" si="91"/>
        <v>42.969686502194378</v>
      </c>
      <c r="BG90" s="20">
        <f t="shared" si="61"/>
        <v>369.98658065798855</v>
      </c>
      <c r="BH90" s="59">
        <f t="shared" si="62"/>
        <v>663.31991399132187</v>
      </c>
      <c r="BI90" s="59">
        <f ca="1">AVERAGE(OFFSET($BH$3,0,0,'Données projet'!$E$11+1,1))-AVERAGE(OFFSET($H$3,0,0,'Données projet'!$E$11+1,1))</f>
        <v>167.80254365106839</v>
      </c>
      <c r="BJ90" s="59">
        <f t="shared" si="92"/>
        <v>167.42302164950172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29.180268667328082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29.180268667328082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669.99999999999989</v>
      </c>
      <c r="BZ90" s="13">
        <f>BY90*VLOOKUP('Données projet'!$B$12,Paramètres!$A$1:$I$89,3,0)*VLOOKUP('Données projet'!$B$12,Paramètres!$A$1:$I$89,5,0)</f>
        <v>330.97999999999996</v>
      </c>
      <c r="CA90" s="13">
        <f t="shared" si="93"/>
        <v>77.633451096966454</v>
      </c>
      <c r="CB90" s="20">
        <f t="shared" si="64"/>
        <v>711.66842732721636</v>
      </c>
      <c r="CC90" s="59">
        <f t="shared" si="65"/>
        <v>1005.0017606605497</v>
      </c>
      <c r="CD90" s="59">
        <f ca="1">AVERAGE(OFFSET($CC$3,0,0,'Données projet'!$E$12+1,1))-AVERAGE(OFFSET($H$3,0,0,'Données projet'!$E$12+1,1))</f>
        <v>322.06606384496587</v>
      </c>
      <c r="CE90" s="59">
        <f t="shared" si="94"/>
        <v>267.71713177624713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101.27684861599316</v>
      </c>
      <c r="CL90" s="21">
        <f>EXP(-LN(2)/25)*CL89+(1-EXP(-LN(2)/25))/(LN(2)/25)*Calculateur!CG90*Calculateur!CI90*VLOOKUP('Données projet'!$B$12,Paramètres!$A$1:$I$89,3,0)*0.475*44/12</f>
        <v>4.1394655595518435</v>
      </c>
      <c r="CM90" s="21">
        <f>EXP(-LN(2)/2)*CM89+(1-EXP(-LN(2)/2))/(LN(2)/2)*CG90*CJ90*VLOOKUP('Données projet'!$B$12,Paramètres!$A$1:$I$89,3,0)*0.475*44/12</f>
        <v>1.0418198164144102E-8</v>
      </c>
      <c r="CN90" s="22">
        <f t="shared" si="66"/>
        <v>105.4163141859632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401</v>
      </c>
      <c r="CU90" s="17">
        <f>CT90*VLOOKUP('Données projet'!$B$13,Paramètres!$A$1:$I$89,3,0)*VLOOKUP('Données projet'!$B$13,Paramètres!$A$1:$I$89,5,0)</f>
        <v>250.22399999999999</v>
      </c>
      <c r="CV90" s="13">
        <f t="shared" si="95"/>
        <v>60.633904580527918</v>
      </c>
      <c r="CW90" s="20">
        <f t="shared" si="67"/>
        <v>541.41085047775289</v>
      </c>
      <c r="CX90" s="59">
        <f t="shared" si="68"/>
        <v>834.74418381108626</v>
      </c>
      <c r="CY90" s="59">
        <f ca="1">AVERAGE(OFFSET($CX$3,0,0,'Données projet'!$E$13+1,1))-AVERAGE(OFFSET($H$3,0,0,'Données projet'!$E$13+1,1))</f>
        <v>269.77739619445515</v>
      </c>
      <c r="CZ90" s="59">
        <f t="shared" si="96"/>
        <v>347.56964743629885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44.862438441878631</v>
      </c>
      <c r="DG90" s="21">
        <f>EXP(-LN(2)/25)*DG89+(1-EXP(-LN(2)/25))/(LN(2)/25)*Calculateur!DB90*Calculateur!DD90*VLOOKUP('Données projet'!$B$13,Paramètres!$A$1:$I$89,3,0)*0.475*44/12</f>
        <v>18.889511300948499</v>
      </c>
      <c r="DH90" s="21">
        <f>EXP(-LN(2)/2)*DH89+(1-EXP(-LN(2)/2))/(LN(2)/2)*DB90*DE90*VLOOKUP('Données projet'!$B$13,Paramètres!$A$1:$I$89,3,0)*0.475*44/12</f>
        <v>6.5428625453786348E-11</v>
      </c>
      <c r="DI90" s="22">
        <f t="shared" si="69"/>
        <v>63.751949742892556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669.99999999999989</v>
      </c>
      <c r="DP90" s="17">
        <f>DO90*VLOOKUP('Données projet'!$B$14,Paramètres!$A$1:$I$89,3,0)*VLOOKUP('Données projet'!$B$14,Paramètres!$A$1:$I$89,5,0)</f>
        <v>322.26999999999992</v>
      </c>
      <c r="DQ90" s="13">
        <f t="shared" si="97"/>
        <v>75.825476822885776</v>
      </c>
      <c r="DR90" s="20">
        <f t="shared" si="70"/>
        <v>693.34962213319261</v>
      </c>
      <c r="DS90" s="59">
        <f t="shared" si="71"/>
        <v>986.68295546652598</v>
      </c>
      <c r="DT90" s="59">
        <f ca="1">AVERAGE(OFFSET($DS$3,0,0,'Données projet'!$E$14+1,1))-AVERAGE(OFFSET($H$3,0,0,'Données projet'!$E$14+1,1))</f>
        <v>312.64506496298173</v>
      </c>
      <c r="DU90" s="59">
        <f t="shared" si="98"/>
        <v>259.97532509897508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98.611668389256479</v>
      </c>
      <c r="EB90" s="21">
        <f>EXP(-LN(2)/25)*EB89+(1-EXP(-LN(2)/25))/(LN(2)/25)*Calculateur!DW90*Calculateur!DY90*VLOOKUP('Données projet'!$B$14,Paramètres!$A$1:$I$89,3,0)*0.475*44/12</f>
        <v>4.0305322553531138</v>
      </c>
      <c r="EC90" s="21">
        <f>EXP(-LN(2)/2)*EC89+(1-EXP(-LN(2)/2))/(LN(2)/2)*DW90*DZ90*VLOOKUP('Données projet'!$B$14,Paramètres!$A$1:$I$89,3,0)*0.475*44/12</f>
        <v>1.0144035054561311E-8</v>
      </c>
      <c r="ED90" s="22">
        <f t="shared" si="72"/>
        <v>102.64220065475362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5.4</v>
      </c>
      <c r="EJ90" s="12">
        <f>IF('Données projet'!$A$192&gt;35,EJ89+EI90-ER89,IF(A90&lt;'Données projet'!$A$192,$EG$205^A90,IF(A90='Données projet'!$A$192,'Données projet'!$B$192,EJ89+EI90-ER89)))</f>
        <v>258.7999999999999</v>
      </c>
      <c r="EK90" s="17">
        <f>EJ90*VLOOKUP('Données projet'!$B$15,Paramètres!$A$1:$I$89,3,0)*VLOOKUP('Données projet'!$B$15,Paramètres!$A$1:$I$89,5,0)</f>
        <v>234.16223999999988</v>
      </c>
      <c r="EL90" s="13">
        <f t="shared" si="99"/>
        <v>57.181713578143047</v>
      </c>
      <c r="EM90" s="20">
        <f t="shared" si="73"/>
        <v>507.42405248193222</v>
      </c>
      <c r="EN90" s="59">
        <f t="shared" si="74"/>
        <v>800.75738581526548</v>
      </c>
      <c r="EO90" s="59">
        <f ca="1">AVERAGE(OFFSET($EN$3,0,0,'Données projet'!$E$15+1,1))-AVERAGE(OFFSET($H$3,0,0,'Données projet'!$E$15+1,1))</f>
        <v>269.64423257646359</v>
      </c>
      <c r="EP90" s="59">
        <f t="shared" si="100"/>
        <v>161.0819079811821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61.099872416457302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61.099872416457302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349.00000000000017</v>
      </c>
      <c r="FF90" s="17">
        <f>FE90*VLOOKUP('Données projet'!$B$16,Paramètres!$A$1:$I$89,3,0)*VLOOKUP('Données projet'!$B$16,Paramètres!$A$1:$I$89,5,0)</f>
        <v>272.22000000000014</v>
      </c>
      <c r="FG90" s="13">
        <f t="shared" si="101"/>
        <v>65.320184547527205</v>
      </c>
      <c r="FH90" s="20">
        <f t="shared" si="76"/>
        <v>587.88248808694345</v>
      </c>
      <c r="FI90" s="59">
        <f t="shared" si="77"/>
        <v>881.21582142027682</v>
      </c>
      <c r="FJ90" s="59">
        <f ca="1">AVERAGE(OFFSET($FI$3,0,0,'Données projet'!$E$16+1,1))-AVERAGE(OFFSET($H$3,0,0,'Données projet'!$E$16+1,1))</f>
        <v>283.77864672734273</v>
      </c>
      <c r="FK90" s="59">
        <f t="shared" si="102"/>
        <v>270.94620935643866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61.89560813687892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61.89560813687892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319</v>
      </c>
      <c r="GA90" s="17">
        <f>FZ90*VLOOKUP('Données projet'!$B$17,Paramètres!$A$1:$I$89,3,0)*VLOOKUP('Données projet'!$B$17,Paramètres!$A$1:$I$89,5,0)</f>
        <v>308.53680000000003</v>
      </c>
      <c r="GB90" s="13">
        <f t="shared" si="103"/>
        <v>72.963171684496103</v>
      </c>
      <c r="GC90" s="20">
        <f t="shared" si="79"/>
        <v>664.4457840171641</v>
      </c>
      <c r="GD90" s="59">
        <f t="shared" si="80"/>
        <v>957.77911735049747</v>
      </c>
      <c r="GE90" s="59">
        <f ca="1">AVERAGE(OFFSET($GD$3,0,0,'Données projet'!$E$17+1,1))-AVERAGE(OFFSET($H$3,0,0,'Données projet'!$E$17+1,1))</f>
        <v>347.54503437087288</v>
      </c>
      <c r="GF90" s="59">
        <f t="shared" si="104"/>
        <v>340.05673244455954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45.652058523960569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45.652058523960569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735.00000000000011</v>
      </c>
      <c r="O91" s="13">
        <f>N91*VLOOKUP('Données projet'!$B$9,Paramètres!$A$1:$I$89,3,0)*VLOOKUP('Données projet'!$B$9,Paramètres!$A$1:$I$89,5,0)</f>
        <v>343.98</v>
      </c>
      <c r="P91" s="13">
        <f t="shared" si="87"/>
        <v>80.321681832084693</v>
      </c>
      <c r="Q91" s="20">
        <f t="shared" si="54"/>
        <v>738.9920958575475</v>
      </c>
      <c r="R91" s="59">
        <f t="shared" si="55"/>
        <v>1032.3254291908809</v>
      </c>
      <c r="S91" s="59">
        <f ca="1">AVERAGE(OFFSET($R$3,0,0,'Données projet'!$E$9+1,1))-AVERAGE(OFFSET($H$3,0,0,'Données projet'!$E$9+1,1))</f>
        <v>342.49944586217674</v>
      </c>
      <c r="T91" s="59">
        <f t="shared" si="88"/>
        <v>282.29766600872563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100.66230122561856</v>
      </c>
      <c r="AA91" s="21">
        <f>EXP(-LN(2)/25)*AA90+(1-EXP(-LN(2)/25))/(LN(2)/25)*Calculateur!V91*Calculateur!X91*VLOOKUP('Données projet'!$B$9,Paramètres!$A$1:$I$89,3,0)*0.475*44/12</f>
        <v>8.0268279192707723</v>
      </c>
      <c r="AB91" s="21">
        <f>EXP(-LN(2)/2)*AB90+(1-EXP(-LN(2)/2))/(LN(2)/2)*V91*Y91*VLOOKUP('Données projet'!$B$9,Paramètres!$A$1:$I$89,3,0)*0.475*44/12</f>
        <v>1.5421674914029039E-10</v>
      </c>
      <c r="AC91" s="22">
        <f t="shared" si="57"/>
        <v>108.68912914504355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739.99999999999966</v>
      </c>
      <c r="AJ91" s="13">
        <f>AI91*VLOOKUP('Données projet'!$B$10,Paramètres!$A$1:$I$89,3,0)*VLOOKUP('Données projet'!$B$10,Paramètres!$A$1:$I$89,5,0)</f>
        <v>413.65999999999985</v>
      </c>
      <c r="AK91" s="13">
        <f t="shared" si="89"/>
        <v>94.540585122244352</v>
      </c>
      <c r="AL91" s="20">
        <f t="shared" si="58"/>
        <v>885.11601908790863</v>
      </c>
      <c r="AM91" s="59">
        <f t="shared" si="59"/>
        <v>1178.4493524212419</v>
      </c>
      <c r="AN91" s="59">
        <f ca="1">AVERAGE(OFFSET($AM$3,0,0,'Données projet'!$E$10+1,1))-AVERAGE(OFFSET($H$3,0,0,'Données projet'!$E$10+1,1))</f>
        <v>490.96084572840579</v>
      </c>
      <c r="AO91" s="59">
        <f t="shared" si="90"/>
        <v>597.91658789908263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70.929875208504939</v>
      </c>
      <c r="AV91" s="21">
        <f>EXP(-LN(2)/25)*AV90+(1-EXP(-LN(2)/25))/(LN(2)/25)*Calculateur!AQ91*Calculateur!AS91*VLOOKUP('Données projet'!$B$10,Paramètres!$A$1:$I$89,3,0)*0.475*44/12</f>
        <v>11.57178562007317</v>
      </c>
      <c r="AW91" s="21">
        <f>EXP(-LN(2)/2)*AW90+(1-EXP(-LN(2)/2))/(LN(2)/2)*AQ91*AT91*VLOOKUP('Données projet'!$B$10,Paramètres!$A$1:$I$89,3,0)*0.475*44/12</f>
        <v>1.5841487175577602E-9</v>
      </c>
      <c r="AX91" s="21">
        <f t="shared" si="60"/>
        <v>82.501660830162265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213.00000000000003</v>
      </c>
      <c r="BE91" s="13">
        <f>BD91*VLOOKUP('Données projet'!$B$11,Paramètres!$A$1:$I$89,3,0)*VLOOKUP('Données projet'!$B$11,Paramètres!$A$1:$I$89,5,0)</f>
        <v>169.46280000000002</v>
      </c>
      <c r="BF91" s="13">
        <f t="shared" si="91"/>
        <v>42.969686502194378</v>
      </c>
      <c r="BG91" s="20">
        <f t="shared" si="61"/>
        <v>369.98658065798855</v>
      </c>
      <c r="BH91" s="59">
        <f t="shared" si="62"/>
        <v>663.31991399132187</v>
      </c>
      <c r="BI91" s="59">
        <f ca="1">AVERAGE(OFFSET($BH$3,0,0,'Données projet'!$E$11+1,1))-AVERAGE(OFFSET($H$3,0,0,'Données projet'!$E$11+1,1))</f>
        <v>167.80254365106839</v>
      </c>
      <c r="BJ91" s="59">
        <f t="shared" si="92"/>
        <v>167.42302164950172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28.608061396968239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28.608061396968239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669.99999999999989</v>
      </c>
      <c r="BZ91" s="13">
        <f>BY91*VLOOKUP('Données projet'!$B$12,Paramètres!$A$1:$I$89,3,0)*VLOOKUP('Données projet'!$B$12,Paramètres!$A$1:$I$89,5,0)</f>
        <v>330.97999999999996</v>
      </c>
      <c r="CA91" s="13">
        <f t="shared" si="93"/>
        <v>77.633451096966454</v>
      </c>
      <c r="CB91" s="20">
        <f t="shared" si="64"/>
        <v>711.66842732721636</v>
      </c>
      <c r="CC91" s="59">
        <f t="shared" si="65"/>
        <v>1005.0017606605497</v>
      </c>
      <c r="CD91" s="59">
        <f ca="1">AVERAGE(OFFSET($CC$3,0,0,'Données projet'!$E$12+1,1))-AVERAGE(OFFSET($H$3,0,0,'Données projet'!$E$12+1,1))</f>
        <v>322.06606384496587</v>
      </c>
      <c r="CE91" s="59">
        <f t="shared" si="94"/>
        <v>267.71713177624713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99.290871387411642</v>
      </c>
      <c r="CL91" s="21">
        <f>EXP(-LN(2)/25)*CL90+(1-EXP(-LN(2)/25))/(LN(2)/25)*Calculateur!CG91*Calculateur!CI91*VLOOKUP('Données projet'!$B$12,Paramètres!$A$1:$I$89,3,0)*0.475*44/12</f>
        <v>4.0262716561408656</v>
      </c>
      <c r="CM91" s="21">
        <f>EXP(-LN(2)/2)*CM90+(1-EXP(-LN(2)/2))/(LN(2)/2)*CG91*CJ91*VLOOKUP('Données projet'!$B$12,Paramètres!$A$1:$I$89,3,0)*0.475*44/12</f>
        <v>7.3667785696115354E-9</v>
      </c>
      <c r="CN91" s="22">
        <f t="shared" si="66"/>
        <v>103.31714305091928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401</v>
      </c>
      <c r="CU91" s="17">
        <f>CT91*VLOOKUP('Données projet'!$B$13,Paramètres!$A$1:$I$89,3,0)*VLOOKUP('Données projet'!$B$13,Paramètres!$A$1:$I$89,5,0)</f>
        <v>250.22399999999999</v>
      </c>
      <c r="CV91" s="13">
        <f t="shared" si="95"/>
        <v>60.633904580527918</v>
      </c>
      <c r="CW91" s="20">
        <f t="shared" si="67"/>
        <v>541.41085047775289</v>
      </c>
      <c r="CX91" s="59">
        <f t="shared" si="68"/>
        <v>834.74418381108626</v>
      </c>
      <c r="CY91" s="59">
        <f ca="1">AVERAGE(OFFSET($CX$3,0,0,'Données projet'!$E$13+1,1))-AVERAGE(OFFSET($H$3,0,0,'Données projet'!$E$13+1,1))</f>
        <v>269.77739619445515</v>
      </c>
      <c r="CZ91" s="59">
        <f t="shared" si="96"/>
        <v>347.56964743629885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43.982713387418933</v>
      </c>
      <c r="DG91" s="21">
        <f>EXP(-LN(2)/25)*DG90+(1-EXP(-LN(2)/25))/(LN(2)/25)*Calculateur!DB91*Calculateur!DD91*VLOOKUP('Données projet'!$B$13,Paramètres!$A$1:$I$89,3,0)*0.475*44/12</f>
        <v>18.372976621067835</v>
      </c>
      <c r="DH91" s="21">
        <f>EXP(-LN(2)/2)*DH90+(1-EXP(-LN(2)/2))/(LN(2)/2)*DB91*DE91*VLOOKUP('Données projet'!$B$13,Paramètres!$A$1:$I$89,3,0)*0.475*44/12</f>
        <v>4.6265024742087078E-11</v>
      </c>
      <c r="DI91" s="22">
        <f t="shared" si="69"/>
        <v>62.355690008533031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669.99999999999989</v>
      </c>
      <c r="DP91" s="17">
        <f>DO91*VLOOKUP('Données projet'!$B$14,Paramètres!$A$1:$I$89,3,0)*VLOOKUP('Données projet'!$B$14,Paramètres!$A$1:$I$89,5,0)</f>
        <v>322.26999999999992</v>
      </c>
      <c r="DQ91" s="13">
        <f t="shared" si="97"/>
        <v>75.825476822885776</v>
      </c>
      <c r="DR91" s="20">
        <f t="shared" si="70"/>
        <v>693.34962213319261</v>
      </c>
      <c r="DS91" s="59">
        <f t="shared" si="71"/>
        <v>986.68295546652598</v>
      </c>
      <c r="DT91" s="59">
        <f ca="1">AVERAGE(OFFSET($DS$3,0,0,'Données projet'!$E$14+1,1))-AVERAGE(OFFSET($H$3,0,0,'Données projet'!$E$14+1,1))</f>
        <v>312.64506496298173</v>
      </c>
      <c r="DU91" s="59">
        <f t="shared" si="98"/>
        <v>259.97532509897508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96.677953719321835</v>
      </c>
      <c r="EB91" s="21">
        <f>EXP(-LN(2)/25)*EB90+(1-EXP(-LN(2)/25))/(LN(2)/25)*Calculateur!DW91*Calculateur!DY91*VLOOKUP('Données projet'!$B$14,Paramètres!$A$1:$I$89,3,0)*0.475*44/12</f>
        <v>3.9203171388740037</v>
      </c>
      <c r="EC91" s="21">
        <f>EXP(-LN(2)/2)*EC90+(1-EXP(-LN(2)/2))/(LN(2)/2)*DW91*DZ91*VLOOKUP('Données projet'!$B$14,Paramètres!$A$1:$I$89,3,0)*0.475*44/12</f>
        <v>7.1729159756743524E-9</v>
      </c>
      <c r="ED91" s="22">
        <f t="shared" si="72"/>
        <v>100.59827086536875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5.4</v>
      </c>
      <c r="EJ91" s="12">
        <f>IF('Données projet'!$A$192&gt;35,EJ90+EI91-ER90,IF(A91&lt;'Données projet'!$A$192,$EG$205^A91,IF(A91='Données projet'!$A$192,'Données projet'!$B$192,EJ90+EI91-ER90)))</f>
        <v>264.19999999999987</v>
      </c>
      <c r="EK91" s="17">
        <f>EJ91*VLOOKUP('Données projet'!$B$15,Paramètres!$A$1:$I$89,3,0)*VLOOKUP('Données projet'!$B$15,Paramètres!$A$1:$I$89,5,0)</f>
        <v>239.04815999999985</v>
      </c>
      <c r="EL91" s="13">
        <f t="shared" si="99"/>
        <v>58.234690128947292</v>
      </c>
      <c r="EM91" s="20">
        <f t="shared" si="73"/>
        <v>517.76763064124964</v>
      </c>
      <c r="EN91" s="59">
        <f t="shared" si="74"/>
        <v>811.10096397458301</v>
      </c>
      <c r="EO91" s="59">
        <f ca="1">AVERAGE(OFFSET($EN$3,0,0,'Données projet'!$E$15+1,1))-AVERAGE(OFFSET($H$3,0,0,'Données projet'!$E$15+1,1))</f>
        <v>269.64423257646359</v>
      </c>
      <c r="EP91" s="59">
        <f t="shared" si="100"/>
        <v>161.0819079811821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59.901741185612913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59.901741185612913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349.00000000000017</v>
      </c>
      <c r="FF91" s="17">
        <f>FE91*VLOOKUP('Données projet'!$B$16,Paramètres!$A$1:$I$89,3,0)*VLOOKUP('Données projet'!$B$16,Paramètres!$A$1:$I$89,5,0)</f>
        <v>272.22000000000014</v>
      </c>
      <c r="FG91" s="13">
        <f t="shared" si="101"/>
        <v>65.320184547527205</v>
      </c>
      <c r="FH91" s="20">
        <f t="shared" si="76"/>
        <v>587.88248808694345</v>
      </c>
      <c r="FI91" s="59">
        <f t="shared" si="77"/>
        <v>881.21582142027682</v>
      </c>
      <c r="FJ91" s="59">
        <f ca="1">AVERAGE(OFFSET($FI$3,0,0,'Données projet'!$E$16+1,1))-AVERAGE(OFFSET($H$3,0,0,'Données projet'!$E$16+1,1))</f>
        <v>283.77864672734273</v>
      </c>
      <c r="FK91" s="59">
        <f t="shared" si="102"/>
        <v>270.94620935643866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60.681873013907932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60.681873013907932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319</v>
      </c>
      <c r="GA91" s="17">
        <f>FZ91*VLOOKUP('Données projet'!$B$17,Paramètres!$A$1:$I$89,3,0)*VLOOKUP('Données projet'!$B$17,Paramètres!$A$1:$I$89,5,0)</f>
        <v>308.53680000000003</v>
      </c>
      <c r="GB91" s="13">
        <f t="shared" si="103"/>
        <v>72.963171684496103</v>
      </c>
      <c r="GC91" s="20">
        <f t="shared" si="79"/>
        <v>664.4457840171641</v>
      </c>
      <c r="GD91" s="59">
        <f t="shared" si="80"/>
        <v>957.77911735049747</v>
      </c>
      <c r="GE91" s="59">
        <f ca="1">AVERAGE(OFFSET($GD$3,0,0,'Données projet'!$E$17+1,1))-AVERAGE(OFFSET($H$3,0,0,'Données projet'!$E$17+1,1))</f>
        <v>347.54503437087288</v>
      </c>
      <c r="GF91" s="59">
        <f t="shared" si="104"/>
        <v>340.05673244455954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44.756849501311933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44.756849501311933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735.00000000000011</v>
      </c>
      <c r="O92" s="13">
        <f>N92*VLOOKUP('Données projet'!$B$9,Paramètres!$A$1:$I$89,3,0)*VLOOKUP('Données projet'!$B$9,Paramètres!$A$1:$I$89,5,0)</f>
        <v>343.98</v>
      </c>
      <c r="P92" s="13">
        <f t="shared" si="87"/>
        <v>80.321681832084693</v>
      </c>
      <c r="Q92" s="20">
        <f t="shared" si="54"/>
        <v>738.9920958575475</v>
      </c>
      <c r="R92" s="59">
        <f t="shared" si="55"/>
        <v>1032.3254291908809</v>
      </c>
      <c r="S92" s="59">
        <f ca="1">AVERAGE(OFFSET($R$3,0,0,'Données projet'!$E$9+1,1))-AVERAGE(OFFSET($H$3,0,0,'Données projet'!$E$9+1,1))</f>
        <v>342.49944586217674</v>
      </c>
      <c r="T92" s="59">
        <f t="shared" si="88"/>
        <v>282.29766600872563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98.688374896525389</v>
      </c>
      <c r="AA92" s="21">
        <f>EXP(-LN(2)/25)*AA91+(1-EXP(-LN(2)/25))/(LN(2)/25)*Calculateur!V92*Calculateur!X92*VLOOKUP('Données projet'!$B$9,Paramètres!$A$1:$I$89,3,0)*0.475*44/12</f>
        <v>7.8073338877057781</v>
      </c>
      <c r="AB92" s="21">
        <f>EXP(-LN(2)/2)*AB91+(1-EXP(-LN(2)/2))/(LN(2)/2)*V92*Y92*VLOOKUP('Données projet'!$B$9,Paramètres!$A$1:$I$89,3,0)*0.475*44/12</f>
        <v>1.0904770908964401E-10</v>
      </c>
      <c r="AC92" s="22">
        <f t="shared" si="57"/>
        <v>106.49570878434022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739.99999999999966</v>
      </c>
      <c r="AJ92" s="13">
        <f>AI92*VLOOKUP('Données projet'!$B$10,Paramètres!$A$1:$I$89,3,0)*VLOOKUP('Données projet'!$B$10,Paramètres!$A$1:$I$89,5,0)</f>
        <v>413.65999999999985</v>
      </c>
      <c r="AK92" s="13">
        <f t="shared" si="89"/>
        <v>94.540585122244352</v>
      </c>
      <c r="AL92" s="20">
        <f t="shared" si="58"/>
        <v>885.11601908790863</v>
      </c>
      <c r="AM92" s="59">
        <f t="shared" si="59"/>
        <v>1178.4493524212419</v>
      </c>
      <c r="AN92" s="59">
        <f ca="1">AVERAGE(OFFSET($AM$3,0,0,'Données projet'!$E$10+1,1))-AVERAGE(OFFSET($H$3,0,0,'Données projet'!$E$10+1,1))</f>
        <v>490.96084572840579</v>
      </c>
      <c r="AO92" s="59">
        <f t="shared" si="90"/>
        <v>597.91658789908263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69.538983618618175</v>
      </c>
      <c r="AV92" s="21">
        <f>EXP(-LN(2)/25)*AV91+(1-EXP(-LN(2)/25))/(LN(2)/25)*Calculateur!AQ92*Calculateur!AS92*VLOOKUP('Données projet'!$B$10,Paramètres!$A$1:$I$89,3,0)*0.475*44/12</f>
        <v>11.255354533758512</v>
      </c>
      <c r="AW92" s="21">
        <f>EXP(-LN(2)/2)*AW91+(1-EXP(-LN(2)/2))/(LN(2)/2)*AQ92*AT92*VLOOKUP('Données projet'!$B$10,Paramètres!$A$1:$I$89,3,0)*0.475*44/12</f>
        <v>1.120162300593065E-9</v>
      </c>
      <c r="AX92" s="21">
        <f t="shared" si="60"/>
        <v>80.794338153496838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213.00000000000003</v>
      </c>
      <c r="BE92" s="13">
        <f>BD92*VLOOKUP('Données projet'!$B$11,Paramètres!$A$1:$I$89,3,0)*VLOOKUP('Données projet'!$B$11,Paramètres!$A$1:$I$89,5,0)</f>
        <v>169.46280000000002</v>
      </c>
      <c r="BF92" s="13">
        <f t="shared" si="91"/>
        <v>42.969686502194378</v>
      </c>
      <c r="BG92" s="20">
        <f t="shared" si="61"/>
        <v>369.98658065798855</v>
      </c>
      <c r="BH92" s="59">
        <f t="shared" si="62"/>
        <v>663.31991399132187</v>
      </c>
      <c r="BI92" s="59">
        <f ca="1">AVERAGE(OFFSET($BH$3,0,0,'Données projet'!$E$11+1,1))-AVERAGE(OFFSET($H$3,0,0,'Données projet'!$E$11+1,1))</f>
        <v>167.80254365106839</v>
      </c>
      <c r="BJ92" s="59">
        <f t="shared" si="92"/>
        <v>167.42302164950172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28.04707476216818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28.04707476216818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669.99999999999989</v>
      </c>
      <c r="BZ92" s="13">
        <f>BY92*VLOOKUP('Données projet'!$B$12,Paramètres!$A$1:$I$89,3,0)*VLOOKUP('Données projet'!$B$12,Paramètres!$A$1:$I$89,5,0)</f>
        <v>330.97999999999996</v>
      </c>
      <c r="CA92" s="13">
        <f t="shared" si="93"/>
        <v>77.633451096966454</v>
      </c>
      <c r="CB92" s="20">
        <f t="shared" si="64"/>
        <v>711.66842732721636</v>
      </c>
      <c r="CC92" s="59">
        <f t="shared" si="65"/>
        <v>1005.0017606605497</v>
      </c>
      <c r="CD92" s="59">
        <f ca="1">AVERAGE(OFFSET($CC$3,0,0,'Données projet'!$E$12+1,1))-AVERAGE(OFFSET($H$3,0,0,'Données projet'!$E$12+1,1))</f>
        <v>322.06606384496587</v>
      </c>
      <c r="CE92" s="59">
        <f t="shared" si="94"/>
        <v>267.71713177624713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97.343837960956094</v>
      </c>
      <c r="CL92" s="21">
        <f>EXP(-LN(2)/25)*CL91+(1-EXP(-LN(2)/25))/(LN(2)/25)*Calculateur!CG92*Calculateur!CI92*VLOOKUP('Données projet'!$B$12,Paramètres!$A$1:$I$89,3,0)*0.475*44/12</f>
        <v>3.9161730459712696</v>
      </c>
      <c r="CM92" s="21">
        <f>EXP(-LN(2)/2)*CM91+(1-EXP(-LN(2)/2))/(LN(2)/2)*CG92*CJ92*VLOOKUP('Données projet'!$B$12,Paramètres!$A$1:$I$89,3,0)*0.475*44/12</f>
        <v>5.209099082072052E-9</v>
      </c>
      <c r="CN92" s="22">
        <f t="shared" si="66"/>
        <v>101.26001101213646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401</v>
      </c>
      <c r="CU92" s="17">
        <f>CT92*VLOOKUP('Données projet'!$B$13,Paramètres!$A$1:$I$89,3,0)*VLOOKUP('Données projet'!$B$13,Paramètres!$A$1:$I$89,5,0)</f>
        <v>250.22399999999999</v>
      </c>
      <c r="CV92" s="13">
        <f t="shared" si="95"/>
        <v>60.633904580527918</v>
      </c>
      <c r="CW92" s="20">
        <f t="shared" si="67"/>
        <v>541.41085047775289</v>
      </c>
      <c r="CX92" s="59">
        <f t="shared" si="68"/>
        <v>834.74418381108626</v>
      </c>
      <c r="CY92" s="59">
        <f ca="1">AVERAGE(OFFSET($CX$3,0,0,'Données projet'!$E$13+1,1))-AVERAGE(OFFSET($H$3,0,0,'Données projet'!$E$13+1,1))</f>
        <v>269.77739619445515</v>
      </c>
      <c r="CZ92" s="59">
        <f t="shared" si="96"/>
        <v>347.56964743629885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43.120239204697889</v>
      </c>
      <c r="DG92" s="21">
        <f>EXP(-LN(2)/25)*DG91+(1-EXP(-LN(2)/25))/(LN(2)/25)*Calculateur!DB92*Calculateur!DD92*VLOOKUP('Données projet'!$B$13,Paramètres!$A$1:$I$89,3,0)*0.475*44/12</f>
        <v>17.870566609171888</v>
      </c>
      <c r="DH92" s="21">
        <f>EXP(-LN(2)/2)*DH91+(1-EXP(-LN(2)/2))/(LN(2)/2)*DB92*DE92*VLOOKUP('Données projet'!$B$13,Paramètres!$A$1:$I$89,3,0)*0.475*44/12</f>
        <v>3.2714312726893174E-11</v>
      </c>
      <c r="DI92" s="22">
        <f t="shared" si="69"/>
        <v>60.99080581390249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669.99999999999989</v>
      </c>
      <c r="DP92" s="17">
        <f>DO92*VLOOKUP('Données projet'!$B$14,Paramètres!$A$1:$I$89,3,0)*VLOOKUP('Données projet'!$B$14,Paramètres!$A$1:$I$89,5,0)</f>
        <v>322.26999999999992</v>
      </c>
      <c r="DQ92" s="13">
        <f t="shared" si="97"/>
        <v>75.825476822885776</v>
      </c>
      <c r="DR92" s="20">
        <f t="shared" si="70"/>
        <v>693.34962213319261</v>
      </c>
      <c r="DS92" s="59">
        <f t="shared" si="71"/>
        <v>986.68295546652598</v>
      </c>
      <c r="DT92" s="59">
        <f ca="1">AVERAGE(OFFSET($DS$3,0,0,'Données projet'!$E$14+1,1))-AVERAGE(OFFSET($H$3,0,0,'Données projet'!$E$14+1,1))</f>
        <v>312.64506496298173</v>
      </c>
      <c r="DU92" s="59">
        <f t="shared" si="98"/>
        <v>259.97532509897508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94.782158014615121</v>
      </c>
      <c r="EB92" s="21">
        <f>EXP(-LN(2)/25)*EB91+(1-EXP(-LN(2)/25))/(LN(2)/25)*Calculateur!DW92*Calculateur!DY92*VLOOKUP('Données projet'!$B$14,Paramètres!$A$1:$I$89,3,0)*0.475*44/12</f>
        <v>3.8131158605509756</v>
      </c>
      <c r="EC92" s="21">
        <f>EXP(-LN(2)/2)*EC91+(1-EXP(-LN(2)/2))/(LN(2)/2)*DW92*DZ92*VLOOKUP('Données projet'!$B$14,Paramètres!$A$1:$I$89,3,0)*0.475*44/12</f>
        <v>5.0720175272806553E-9</v>
      </c>
      <c r="ED92" s="22">
        <f t="shared" si="72"/>
        <v>98.595273880238125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5.4</v>
      </c>
      <c r="EJ92" s="12">
        <f>IF('Données projet'!$A$192&gt;35,EJ91+EI92-ER91,IF(A92&lt;'Données projet'!$A$192,$EG$205^A92,IF(A92='Données projet'!$A$192,'Données projet'!$B$192,EJ91+EI92-ER91)))</f>
        <v>269.59999999999985</v>
      </c>
      <c r="EK92" s="17">
        <f>EJ92*VLOOKUP('Données projet'!$B$15,Paramètres!$A$1:$I$89,3,0)*VLOOKUP('Données projet'!$B$15,Paramètres!$A$1:$I$89,5,0)</f>
        <v>243.93407999999988</v>
      </c>
      <c r="EL92" s="13">
        <f t="shared" si="99"/>
        <v>59.285164329617594</v>
      </c>
      <c r="EM92" s="20">
        <f t="shared" si="73"/>
        <v>528.10685054075043</v>
      </c>
      <c r="EN92" s="59">
        <f t="shared" si="74"/>
        <v>821.44018387408369</v>
      </c>
      <c r="EO92" s="59">
        <f ca="1">AVERAGE(OFFSET($EN$3,0,0,'Données projet'!$E$15+1,1))-AVERAGE(OFFSET($H$3,0,0,'Données projet'!$E$15+1,1))</f>
        <v>269.64423257646359</v>
      </c>
      <c r="EP92" s="59">
        <f t="shared" si="100"/>
        <v>161.0819079811821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58.727104577417492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58.727104577417492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349.00000000000017</v>
      </c>
      <c r="FF92" s="17">
        <f>FE92*VLOOKUP('Données projet'!$B$16,Paramètres!$A$1:$I$89,3,0)*VLOOKUP('Données projet'!$B$16,Paramètres!$A$1:$I$89,5,0)</f>
        <v>272.22000000000014</v>
      </c>
      <c r="FG92" s="13">
        <f t="shared" si="101"/>
        <v>65.320184547527205</v>
      </c>
      <c r="FH92" s="20">
        <f t="shared" si="76"/>
        <v>587.88248808694345</v>
      </c>
      <c r="FI92" s="59">
        <f t="shared" si="77"/>
        <v>881.21582142027682</v>
      </c>
      <c r="FJ92" s="59">
        <f ca="1">AVERAGE(OFFSET($FI$3,0,0,'Données projet'!$E$16+1,1))-AVERAGE(OFFSET($H$3,0,0,'Données projet'!$E$16+1,1))</f>
        <v>283.77864672734273</v>
      </c>
      <c r="FK92" s="59">
        <f t="shared" si="102"/>
        <v>270.94620935643866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59.491938496393075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59.491938496393075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319</v>
      </c>
      <c r="GA92" s="17">
        <f>FZ92*VLOOKUP('Données projet'!$B$17,Paramètres!$A$1:$I$89,3,0)*VLOOKUP('Données projet'!$B$17,Paramètres!$A$1:$I$89,5,0)</f>
        <v>308.53680000000003</v>
      </c>
      <c r="GB92" s="13">
        <f t="shared" si="103"/>
        <v>72.963171684496103</v>
      </c>
      <c r="GC92" s="20">
        <f t="shared" si="79"/>
        <v>664.4457840171641</v>
      </c>
      <c r="GD92" s="59">
        <f t="shared" si="80"/>
        <v>957.77911735049747</v>
      </c>
      <c r="GE92" s="59">
        <f ca="1">AVERAGE(OFFSET($GD$3,0,0,'Données projet'!$E$17+1,1))-AVERAGE(OFFSET($H$3,0,0,'Données projet'!$E$17+1,1))</f>
        <v>347.54503437087288</v>
      </c>
      <c r="GF92" s="59">
        <f t="shared" si="104"/>
        <v>340.05673244455954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43.879194981573853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43.879194981573853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735.00000000000011</v>
      </c>
      <c r="O93" s="13">
        <f>N93*VLOOKUP('Données projet'!$B$9,Paramètres!$A$1:$I$89,3,0)*VLOOKUP('Données projet'!$B$9,Paramètres!$A$1:$I$89,5,0)</f>
        <v>343.98</v>
      </c>
      <c r="P93" s="13">
        <f t="shared" si="87"/>
        <v>80.321681832084693</v>
      </c>
      <c r="Q93" s="20">
        <f t="shared" si="54"/>
        <v>738.9920958575475</v>
      </c>
      <c r="R93" s="59">
        <f t="shared" si="55"/>
        <v>1032.3254291908809</v>
      </c>
      <c r="S93" s="59">
        <f ca="1">AVERAGE(OFFSET($R$3,0,0,'Données projet'!$E$9+1,1))-AVERAGE(OFFSET($H$3,0,0,'Données projet'!$E$9+1,1))</f>
        <v>342.49944586217674</v>
      </c>
      <c r="T93" s="59">
        <f t="shared" si="88"/>
        <v>282.29766600872563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96.753156058769548</v>
      </c>
      <c r="AA93" s="21">
        <f>EXP(-LN(2)/25)*AA92+(1-EXP(-LN(2)/25))/(LN(2)/25)*Calculateur!V93*Calculateur!X93*VLOOKUP('Données projet'!$B$9,Paramètres!$A$1:$I$89,3,0)*0.475*44/12</f>
        <v>7.5938419319766179</v>
      </c>
      <c r="AB93" s="21">
        <f>EXP(-LN(2)/2)*AB92+(1-EXP(-LN(2)/2))/(LN(2)/2)*V93*Y93*VLOOKUP('Données projet'!$B$9,Paramètres!$A$1:$I$89,3,0)*0.475*44/12</f>
        <v>7.7108374570145195E-11</v>
      </c>
      <c r="AC93" s="22">
        <f t="shared" si="57"/>
        <v>104.34699799082327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739.99999999999966</v>
      </c>
      <c r="AJ93" s="13">
        <f>AI93*VLOOKUP('Données projet'!$B$10,Paramètres!$A$1:$I$89,3,0)*VLOOKUP('Données projet'!$B$10,Paramètres!$A$1:$I$89,5,0)</f>
        <v>413.65999999999985</v>
      </c>
      <c r="AK93" s="13">
        <f t="shared" si="89"/>
        <v>94.540585122244352</v>
      </c>
      <c r="AL93" s="20">
        <f t="shared" si="58"/>
        <v>885.11601908790863</v>
      </c>
      <c r="AM93" s="59">
        <f t="shared" si="59"/>
        <v>1178.4493524212419</v>
      </c>
      <c r="AN93" s="59">
        <f ca="1">AVERAGE(OFFSET($AM$3,0,0,'Données projet'!$E$10+1,1))-AVERAGE(OFFSET($H$3,0,0,'Données projet'!$E$10+1,1))</f>
        <v>490.96084572840579</v>
      </c>
      <c r="AO93" s="59">
        <f t="shared" si="90"/>
        <v>597.91658789908263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68.175366564448993</v>
      </c>
      <c r="AV93" s="21">
        <f>EXP(-LN(2)/25)*AV92+(1-EXP(-LN(2)/25))/(LN(2)/25)*Calculateur!AQ93*Calculateur!AS93*VLOOKUP('Données projet'!$B$10,Paramètres!$A$1:$I$89,3,0)*0.475*44/12</f>
        <v>10.947576272139514</v>
      </c>
      <c r="AW93" s="21">
        <f>EXP(-LN(2)/2)*AW92+(1-EXP(-LN(2)/2))/(LN(2)/2)*AQ93*AT93*VLOOKUP('Données projet'!$B$10,Paramètres!$A$1:$I$89,3,0)*0.475*44/12</f>
        <v>7.9207435877888012E-10</v>
      </c>
      <c r="AX93" s="21">
        <f t="shared" si="60"/>
        <v>79.122942837380577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213.00000000000003</v>
      </c>
      <c r="BE93" s="13">
        <f>BD93*VLOOKUP('Données projet'!$B$11,Paramètres!$A$1:$I$89,3,0)*VLOOKUP('Données projet'!$B$11,Paramètres!$A$1:$I$89,5,0)</f>
        <v>169.46280000000002</v>
      </c>
      <c r="BF93" s="13">
        <f t="shared" si="91"/>
        <v>42.969686502194378</v>
      </c>
      <c r="BG93" s="20">
        <f t="shared" si="61"/>
        <v>369.98658065798855</v>
      </c>
      <c r="BH93" s="59">
        <f t="shared" si="62"/>
        <v>663.31991399132187</v>
      </c>
      <c r="BI93" s="59">
        <f ca="1">AVERAGE(OFFSET($BH$3,0,0,'Données projet'!$E$11+1,1))-AVERAGE(OFFSET($H$3,0,0,'Données projet'!$E$11+1,1))</f>
        <v>167.80254365106839</v>
      </c>
      <c r="BJ93" s="59">
        <f t="shared" si="92"/>
        <v>167.42302164950172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27.497088733108487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27.497088733108487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669.99999999999989</v>
      </c>
      <c r="BZ93" s="13">
        <f>BY93*VLOOKUP('Données projet'!$B$12,Paramètres!$A$1:$I$89,3,0)*VLOOKUP('Données projet'!$B$12,Paramètres!$A$1:$I$89,5,0)</f>
        <v>330.97999999999996</v>
      </c>
      <c r="CA93" s="13">
        <f t="shared" si="93"/>
        <v>77.633451096966454</v>
      </c>
      <c r="CB93" s="20">
        <f t="shared" si="64"/>
        <v>711.66842732721636</v>
      </c>
      <c r="CC93" s="59">
        <f t="shared" si="65"/>
        <v>1005.0017606605497</v>
      </c>
      <c r="CD93" s="59">
        <f ca="1">AVERAGE(OFFSET($CC$3,0,0,'Données projet'!$E$12+1,1))-AVERAGE(OFFSET($H$3,0,0,'Données projet'!$E$12+1,1))</f>
        <v>322.06606384496587</v>
      </c>
      <c r="CE93" s="59">
        <f t="shared" si="94"/>
        <v>267.71713177624713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95.434984672420214</v>
      </c>
      <c r="CL93" s="21">
        <f>EXP(-LN(2)/25)*CL92+(1-EXP(-LN(2)/25))/(LN(2)/25)*Calculateur!CG93*Calculateur!CI93*VLOOKUP('Données projet'!$B$12,Paramètres!$A$1:$I$89,3,0)*0.475*44/12</f>
        <v>3.8090850880865954</v>
      </c>
      <c r="CM93" s="21">
        <f>EXP(-LN(2)/2)*CM92+(1-EXP(-LN(2)/2))/(LN(2)/2)*CG93*CJ93*VLOOKUP('Données projet'!$B$12,Paramètres!$A$1:$I$89,3,0)*0.475*44/12</f>
        <v>3.6833892848057681E-9</v>
      </c>
      <c r="CN93" s="22">
        <f t="shared" si="66"/>
        <v>99.244069764190186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401</v>
      </c>
      <c r="CU93" s="17">
        <f>CT93*VLOOKUP('Données projet'!$B$13,Paramètres!$A$1:$I$89,3,0)*VLOOKUP('Données projet'!$B$13,Paramètres!$A$1:$I$89,5,0)</f>
        <v>250.22399999999999</v>
      </c>
      <c r="CV93" s="13">
        <f t="shared" si="95"/>
        <v>60.633904580527918</v>
      </c>
      <c r="CW93" s="20">
        <f t="shared" si="67"/>
        <v>541.41085047775289</v>
      </c>
      <c r="CX93" s="59">
        <f t="shared" si="68"/>
        <v>834.74418381108626</v>
      </c>
      <c r="CY93" s="59">
        <f ca="1">AVERAGE(OFFSET($CX$3,0,0,'Données projet'!$E$13+1,1))-AVERAGE(OFFSET($H$3,0,0,'Données projet'!$E$13+1,1))</f>
        <v>269.77739619445515</v>
      </c>
      <c r="CZ93" s="59">
        <f t="shared" si="96"/>
        <v>347.56964743629885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42.274677614642698</v>
      </c>
      <c r="DG93" s="21">
        <f>EXP(-LN(2)/25)*DG92+(1-EXP(-LN(2)/25))/(LN(2)/25)*Calculateur!DB93*Calculateur!DD93*VLOOKUP('Données projet'!$B$13,Paramètres!$A$1:$I$89,3,0)*0.475*44/12</f>
        <v>17.381895025471827</v>
      </c>
      <c r="DH93" s="21">
        <f>EXP(-LN(2)/2)*DH92+(1-EXP(-LN(2)/2))/(LN(2)/2)*DB93*DE93*VLOOKUP('Données projet'!$B$13,Paramètres!$A$1:$I$89,3,0)*0.475*44/12</f>
        <v>2.3132512371043539E-11</v>
      </c>
      <c r="DI93" s="22">
        <f t="shared" si="69"/>
        <v>59.656572640137661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669.99999999999989</v>
      </c>
      <c r="DP93" s="17">
        <f>DO93*VLOOKUP('Données projet'!$B$14,Paramètres!$A$1:$I$89,3,0)*VLOOKUP('Données projet'!$B$14,Paramètres!$A$1:$I$89,5,0)</f>
        <v>322.26999999999992</v>
      </c>
      <c r="DQ93" s="13">
        <f t="shared" si="97"/>
        <v>75.825476822885776</v>
      </c>
      <c r="DR93" s="20">
        <f t="shared" si="70"/>
        <v>693.34962213319261</v>
      </c>
      <c r="DS93" s="59">
        <f t="shared" si="71"/>
        <v>986.68295546652598</v>
      </c>
      <c r="DT93" s="59">
        <f ca="1">AVERAGE(OFFSET($DS$3,0,0,'Données projet'!$E$14+1,1))-AVERAGE(OFFSET($H$3,0,0,'Données projet'!$E$14+1,1))</f>
        <v>312.64506496298173</v>
      </c>
      <c r="DU93" s="59">
        <f t="shared" si="98"/>
        <v>259.97532509897508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92.923537707356502</v>
      </c>
      <c r="EB93" s="21">
        <f>EXP(-LN(2)/25)*EB92+(1-EXP(-LN(2)/25))/(LN(2)/25)*Calculateur!DW93*Calculateur!DY93*VLOOKUP('Données projet'!$B$14,Paramètres!$A$1:$I$89,3,0)*0.475*44/12</f>
        <v>3.7088460068211613</v>
      </c>
      <c r="EC93" s="21">
        <f>EXP(-LN(2)/2)*EC92+(1-EXP(-LN(2)/2))/(LN(2)/2)*DW93*DZ93*VLOOKUP('Données projet'!$B$14,Paramètres!$A$1:$I$89,3,0)*0.475*44/12</f>
        <v>3.5864579878371762E-9</v>
      </c>
      <c r="ED93" s="22">
        <f t="shared" si="72"/>
        <v>96.632383717764128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275</v>
      </c>
      <c r="EH93" s="12">
        <f>VLOOKUP(A93,'Données projet'!$A$191:$I$211,9,0)</f>
        <v>5.4</v>
      </c>
      <c r="EI93" s="12">
        <f t="array" ref="EI93">INDEX(EH:EH,MIN(IF(ISNUMBER(EH93:EH289),ROW(EH93:EH289),"")))</f>
        <v>5.4</v>
      </c>
      <c r="EJ93" s="12">
        <f>IF('Données projet'!$A$192&gt;35,EJ92+EI93-ER92,IF(A93&lt;'Données projet'!$A$192,$EG$205^A93,IF(A93='Données projet'!$A$192,'Données projet'!$B$192,EJ92+EI93-ER92)))</f>
        <v>274.99999999999983</v>
      </c>
      <c r="EK93" s="17">
        <f>EJ93*VLOOKUP('Données projet'!$B$15,Paramètres!$A$1:$I$89,3,0)*VLOOKUP('Données projet'!$B$15,Paramètres!$A$1:$I$89,5,0)</f>
        <v>248.81999999999982</v>
      </c>
      <c r="EL93" s="13">
        <f t="shared" si="99"/>
        <v>60.333192077890018</v>
      </c>
      <c r="EM93" s="20">
        <f t="shared" si="73"/>
        <v>538.44180953565808</v>
      </c>
      <c r="EN93" s="59">
        <f t="shared" si="74"/>
        <v>831.77514286899145</v>
      </c>
      <c r="EO93" s="59">
        <f ca="1">AVERAGE(OFFSET($EN$3,0,0,'Données projet'!$E$15+1,1))-AVERAGE(OFFSET($H$3,0,0,'Données projet'!$E$15+1,1))</f>
        <v>269.64423257646359</v>
      </c>
      <c r="EP93" s="59">
        <f t="shared" si="100"/>
        <v>161.0819079811821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21</v>
      </c>
      <c r="ES93" s="16">
        <f>IF(ISNA(VLOOKUP(A93,'Données projet'!$A$191:$I$211,5,0)),0%,VLOOKUP(A93,'Données projet'!$A$191:$I$211,5,0)*VLOOKUP('Données projet'!$B$15,Paramètres!$A$1:$I$89,7,0))</f>
        <v>0.43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66.607575159245954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66.607575159245954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349.00000000000017</v>
      </c>
      <c r="FF93" s="17">
        <f>FE93*VLOOKUP('Données projet'!$B$16,Paramètres!$A$1:$I$89,3,0)*VLOOKUP('Données projet'!$B$16,Paramètres!$A$1:$I$89,5,0)</f>
        <v>272.22000000000014</v>
      </c>
      <c r="FG93" s="13">
        <f t="shared" si="101"/>
        <v>65.320184547527205</v>
      </c>
      <c r="FH93" s="20">
        <f t="shared" si="76"/>
        <v>587.88248808694345</v>
      </c>
      <c r="FI93" s="59">
        <f t="shared" si="77"/>
        <v>881.21582142027682</v>
      </c>
      <c r="FJ93" s="59">
        <f ca="1">AVERAGE(OFFSET($FI$3,0,0,'Données projet'!$E$16+1,1))-AVERAGE(OFFSET($H$3,0,0,'Données projet'!$E$16+1,1))</f>
        <v>283.77864672734273</v>
      </c>
      <c r="FK93" s="59">
        <f t="shared" si="102"/>
        <v>270.94620935643866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58.325337868978295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58.325337868978295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319</v>
      </c>
      <c r="GA93" s="17">
        <f>FZ93*VLOOKUP('Données projet'!$B$17,Paramètres!$A$1:$I$89,3,0)*VLOOKUP('Données projet'!$B$17,Paramètres!$A$1:$I$89,5,0)</f>
        <v>308.53680000000003</v>
      </c>
      <c r="GB93" s="13">
        <f t="shared" si="103"/>
        <v>72.963171684496103</v>
      </c>
      <c r="GC93" s="20">
        <f t="shared" si="79"/>
        <v>664.4457840171641</v>
      </c>
      <c r="GD93" s="59">
        <f t="shared" si="80"/>
        <v>957.77911735049747</v>
      </c>
      <c r="GE93" s="59">
        <f ca="1">AVERAGE(OFFSET($GD$3,0,0,'Données projet'!$E$17+1,1))-AVERAGE(OFFSET($H$3,0,0,'Données projet'!$E$17+1,1))</f>
        <v>347.54503437087288</v>
      </c>
      <c r="GF93" s="59">
        <f t="shared" si="104"/>
        <v>340.05673244455954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43.018750731651437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43.018750731651437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735.00000000000011</v>
      </c>
      <c r="O94" s="13">
        <f>N94*VLOOKUP('Données projet'!$B$9,Paramètres!$A$1:$I$89,3,0)*VLOOKUP('Données projet'!$B$9,Paramètres!$A$1:$I$89,5,0)</f>
        <v>343.98</v>
      </c>
      <c r="P94" s="13">
        <f t="shared" si="87"/>
        <v>80.321681832084693</v>
      </c>
      <c r="Q94" s="20">
        <f t="shared" si="54"/>
        <v>738.9920958575475</v>
      </c>
      <c r="R94" s="59">
        <f t="shared" si="55"/>
        <v>1032.3254291908809</v>
      </c>
      <c r="S94" s="59">
        <f ca="1">AVERAGE(OFFSET($R$3,0,0,'Données projet'!$E$9+1,1))-AVERAGE(OFFSET($H$3,0,0,'Données projet'!$E$9+1,1))</f>
        <v>342.49944586217674</v>
      </c>
      <c r="T94" s="59">
        <f t="shared" si="88"/>
        <v>282.29766600872563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94.85588568205516</v>
      </c>
      <c r="AA94" s="21">
        <f>EXP(-LN(2)/25)*AA93+(1-EXP(-LN(2)/25))/(LN(2)/25)*Calculateur!V94*Calculateur!X94*VLOOKUP('Données projet'!$B$9,Paramètres!$A$1:$I$89,3,0)*0.475*44/12</f>
        <v>7.3861879250039264</v>
      </c>
      <c r="AB94" s="21">
        <f>EXP(-LN(2)/2)*AB93+(1-EXP(-LN(2)/2))/(LN(2)/2)*V94*Y94*VLOOKUP('Données projet'!$B$9,Paramètres!$A$1:$I$89,3,0)*0.475*44/12</f>
        <v>5.4523854544822004E-11</v>
      </c>
      <c r="AC94" s="22">
        <f t="shared" si="57"/>
        <v>102.24207360711361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739.99999999999966</v>
      </c>
      <c r="AJ94" s="13">
        <f>AI94*VLOOKUP('Données projet'!$B$10,Paramètres!$A$1:$I$89,3,0)*VLOOKUP('Données projet'!$B$10,Paramètres!$A$1:$I$89,5,0)</f>
        <v>413.65999999999985</v>
      </c>
      <c r="AK94" s="13">
        <f t="shared" si="89"/>
        <v>94.540585122244352</v>
      </c>
      <c r="AL94" s="20">
        <f t="shared" si="58"/>
        <v>885.11601908790863</v>
      </c>
      <c r="AM94" s="59">
        <f t="shared" si="59"/>
        <v>1178.4493524212419</v>
      </c>
      <c r="AN94" s="59">
        <f ca="1">AVERAGE(OFFSET($AM$3,0,0,'Données projet'!$E$10+1,1))-AVERAGE(OFFSET($H$3,0,0,'Données projet'!$E$10+1,1))</f>
        <v>490.96084572840579</v>
      </c>
      <c r="AO94" s="59">
        <f t="shared" si="90"/>
        <v>597.91658789908263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66.838489208987781</v>
      </c>
      <c r="AV94" s="21">
        <f>EXP(-LN(2)/25)*AV93+(1-EXP(-LN(2)/25))/(LN(2)/25)*Calculateur!AQ94*Calculateur!AS94*VLOOKUP('Données projet'!$B$10,Paramètres!$A$1:$I$89,3,0)*0.475*44/12</f>
        <v>10.648214223269845</v>
      </c>
      <c r="AW94" s="21">
        <f>EXP(-LN(2)/2)*AW93+(1-EXP(-LN(2)/2))/(LN(2)/2)*AQ94*AT94*VLOOKUP('Données projet'!$B$10,Paramètres!$A$1:$I$89,3,0)*0.475*44/12</f>
        <v>5.6008115029653251E-10</v>
      </c>
      <c r="AX94" s="21">
        <f t="shared" si="60"/>
        <v>77.486703432817706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213.00000000000003</v>
      </c>
      <c r="BE94" s="13">
        <f>BD94*VLOOKUP('Données projet'!$B$11,Paramètres!$A$1:$I$89,3,0)*VLOOKUP('Données projet'!$B$11,Paramètres!$A$1:$I$89,5,0)</f>
        <v>169.46280000000002</v>
      </c>
      <c r="BF94" s="13">
        <f t="shared" si="91"/>
        <v>42.969686502194378</v>
      </c>
      <c r="BG94" s="20">
        <f t="shared" si="61"/>
        <v>369.98658065798855</v>
      </c>
      <c r="BH94" s="59">
        <f t="shared" si="62"/>
        <v>663.31991399132187</v>
      </c>
      <c r="BI94" s="59">
        <f ca="1">AVERAGE(OFFSET($BH$3,0,0,'Données projet'!$E$11+1,1))-AVERAGE(OFFSET($H$3,0,0,'Données projet'!$E$11+1,1))</f>
        <v>167.80254365106839</v>
      </c>
      <c r="BJ94" s="59">
        <f t="shared" si="92"/>
        <v>167.42302164950172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26.957887594620303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26.957887594620303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669.99999999999989</v>
      </c>
      <c r="BZ94" s="13">
        <f>BY94*VLOOKUP('Données projet'!$B$12,Paramètres!$A$1:$I$89,3,0)*VLOOKUP('Données projet'!$B$12,Paramètres!$A$1:$I$89,5,0)</f>
        <v>330.97999999999996</v>
      </c>
      <c r="CA94" s="13">
        <f t="shared" si="93"/>
        <v>77.633451096966454</v>
      </c>
      <c r="CB94" s="20">
        <f t="shared" si="64"/>
        <v>711.66842732721636</v>
      </c>
      <c r="CC94" s="59">
        <f t="shared" si="65"/>
        <v>1005.0017606605497</v>
      </c>
      <c r="CD94" s="59">
        <f ca="1">AVERAGE(OFFSET($CC$3,0,0,'Données projet'!$E$12+1,1))-AVERAGE(OFFSET($H$3,0,0,'Données projet'!$E$12+1,1))</f>
        <v>322.06606384496587</v>
      </c>
      <c r="CE94" s="59">
        <f t="shared" si="94"/>
        <v>267.71713177624713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93.563562832586982</v>
      </c>
      <c r="CL94" s="21">
        <f>EXP(-LN(2)/25)*CL93+(1-EXP(-LN(2)/25))/(LN(2)/25)*Calculateur!CG94*Calculateur!CI94*VLOOKUP('Données projet'!$B$12,Paramètres!$A$1:$I$89,3,0)*0.475*44/12</f>
        <v>3.7049254560417886</v>
      </c>
      <c r="CM94" s="21">
        <f>EXP(-LN(2)/2)*CM93+(1-EXP(-LN(2)/2))/(LN(2)/2)*CG94*CJ94*VLOOKUP('Données projet'!$B$12,Paramètres!$A$1:$I$89,3,0)*0.475*44/12</f>
        <v>2.6045495410360264E-9</v>
      </c>
      <c r="CN94" s="22">
        <f t="shared" si="66"/>
        <v>97.268488291233325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401</v>
      </c>
      <c r="CU94" s="17">
        <f>CT94*VLOOKUP('Données projet'!$B$13,Paramètres!$A$1:$I$89,3,0)*VLOOKUP('Données projet'!$B$13,Paramètres!$A$1:$I$89,5,0)</f>
        <v>250.22399999999999</v>
      </c>
      <c r="CV94" s="13">
        <f t="shared" si="95"/>
        <v>60.633904580527918</v>
      </c>
      <c r="CW94" s="20">
        <f t="shared" si="67"/>
        <v>541.41085047775289</v>
      </c>
      <c r="CX94" s="59">
        <f t="shared" si="68"/>
        <v>834.74418381108626</v>
      </c>
      <c r="CY94" s="59">
        <f ca="1">AVERAGE(OFFSET($CX$3,0,0,'Données projet'!$E$13+1,1))-AVERAGE(OFFSET($H$3,0,0,'Données projet'!$E$13+1,1))</f>
        <v>269.77739619445515</v>
      </c>
      <c r="CZ94" s="59">
        <f t="shared" si="96"/>
        <v>347.56964743629885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41.445696971626845</v>
      </c>
      <c r="DG94" s="21">
        <f>EXP(-LN(2)/25)*DG93+(1-EXP(-LN(2)/25))/(LN(2)/25)*Calculateur!DB94*Calculateur!DD94*VLOOKUP('Données projet'!$B$13,Paramètres!$A$1:$I$89,3,0)*0.475*44/12</f>
        <v>16.906586191926166</v>
      </c>
      <c r="DH94" s="21">
        <f>EXP(-LN(2)/2)*DH93+(1-EXP(-LN(2)/2))/(LN(2)/2)*DB94*DE94*VLOOKUP('Données projet'!$B$13,Paramètres!$A$1:$I$89,3,0)*0.475*44/12</f>
        <v>1.6357156363446587E-11</v>
      </c>
      <c r="DI94" s="22">
        <f t="shared" si="69"/>
        <v>58.352283163569368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669.99999999999989</v>
      </c>
      <c r="DP94" s="17">
        <f>DO94*VLOOKUP('Données projet'!$B$14,Paramètres!$A$1:$I$89,3,0)*VLOOKUP('Données projet'!$B$14,Paramètres!$A$1:$I$89,5,0)</f>
        <v>322.26999999999992</v>
      </c>
      <c r="DQ94" s="13">
        <f t="shared" si="97"/>
        <v>75.825476822885776</v>
      </c>
      <c r="DR94" s="20">
        <f t="shared" si="70"/>
        <v>693.34962213319261</v>
      </c>
      <c r="DS94" s="59">
        <f t="shared" si="71"/>
        <v>986.68295546652598</v>
      </c>
      <c r="DT94" s="59">
        <f ca="1">AVERAGE(OFFSET($DS$3,0,0,'Données projet'!$E$14+1,1))-AVERAGE(OFFSET($H$3,0,0,'Données projet'!$E$14+1,1))</f>
        <v>312.64506496298173</v>
      </c>
      <c r="DU94" s="59">
        <f t="shared" si="98"/>
        <v>259.97532509897508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91.101363810676773</v>
      </c>
      <c r="EB94" s="21">
        <f>EXP(-LN(2)/25)*EB93+(1-EXP(-LN(2)/25))/(LN(2)/25)*Calculateur!DW94*Calculateur!DY94*VLOOKUP('Données projet'!$B$14,Paramètres!$A$1:$I$89,3,0)*0.475*44/12</f>
        <v>3.6074274177249017</v>
      </c>
      <c r="EC94" s="21">
        <f>EXP(-LN(2)/2)*EC93+(1-EXP(-LN(2)/2))/(LN(2)/2)*DW94*DZ94*VLOOKUP('Données projet'!$B$14,Paramètres!$A$1:$I$89,3,0)*0.475*44/12</f>
        <v>2.5360087636403277E-9</v>
      </c>
      <c r="ED94" s="22">
        <f t="shared" si="72"/>
        <v>94.708791230937692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5</v>
      </c>
      <c r="EJ94" s="12">
        <f>IF('Données projet'!$A$192&gt;35,EJ93+EI94-ER93,IF(A94&lt;'Données projet'!$A$192,$EG$205^A94,IF(A94='Données projet'!$A$192,'Données projet'!$B$192,EJ93+EI94-ER93)))</f>
        <v>258.99999999999983</v>
      </c>
      <c r="EK94" s="17">
        <f>EJ94*VLOOKUP('Données projet'!$B$15,Paramètres!$A$1:$I$89,3,0)*VLOOKUP('Données projet'!$B$15,Paramètres!$A$1:$I$89,5,0)</f>
        <v>234.34319999999983</v>
      </c>
      <c r="EL94" s="13">
        <f t="shared" si="99"/>
        <v>57.220758006491614</v>
      </c>
      <c r="EM94" s="20">
        <f t="shared" si="73"/>
        <v>507.80722686130588</v>
      </c>
      <c r="EN94" s="59">
        <f t="shared" si="74"/>
        <v>801.14056019463919</v>
      </c>
      <c r="EO94" s="59">
        <f ca="1">AVERAGE(OFFSET($EN$3,0,0,'Données projet'!$E$15+1,1))-AVERAGE(OFFSET($H$3,0,0,'Données projet'!$E$15+1,1))</f>
        <v>269.64423257646359</v>
      </c>
      <c r="EP94" s="59">
        <f t="shared" si="100"/>
        <v>161.0819079811821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65.301441236982441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65.301441236982441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349.00000000000017</v>
      </c>
      <c r="FF94" s="17">
        <f>FE94*VLOOKUP('Données projet'!$B$16,Paramètres!$A$1:$I$89,3,0)*VLOOKUP('Données projet'!$B$16,Paramètres!$A$1:$I$89,5,0)</f>
        <v>272.22000000000014</v>
      </c>
      <c r="FG94" s="13">
        <f t="shared" si="101"/>
        <v>65.320184547527205</v>
      </c>
      <c r="FH94" s="20">
        <f t="shared" si="76"/>
        <v>587.88248808694345</v>
      </c>
      <c r="FI94" s="59">
        <f t="shared" si="77"/>
        <v>881.21582142027682</v>
      </c>
      <c r="FJ94" s="59">
        <f ca="1">AVERAGE(OFFSET($FI$3,0,0,'Données projet'!$E$16+1,1))-AVERAGE(OFFSET($H$3,0,0,'Données projet'!$E$16+1,1))</f>
        <v>283.77864672734273</v>
      </c>
      <c r="FK94" s="59">
        <f t="shared" si="102"/>
        <v>270.94620935643866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57.181613568310993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57.181613568310993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319</v>
      </c>
      <c r="GA94" s="17">
        <f>FZ94*VLOOKUP('Données projet'!$B$17,Paramètres!$A$1:$I$89,3,0)*VLOOKUP('Données projet'!$B$17,Paramètres!$A$1:$I$89,5,0)</f>
        <v>308.53680000000003</v>
      </c>
      <c r="GB94" s="13">
        <f t="shared" si="103"/>
        <v>72.963171684496103</v>
      </c>
      <c r="GC94" s="20">
        <f t="shared" si="79"/>
        <v>664.4457840171641</v>
      </c>
      <c r="GD94" s="59">
        <f t="shared" si="80"/>
        <v>957.77911735049747</v>
      </c>
      <c r="GE94" s="59">
        <f ca="1">AVERAGE(OFFSET($GD$3,0,0,'Données projet'!$E$17+1,1))-AVERAGE(OFFSET($H$3,0,0,'Données projet'!$E$17+1,1))</f>
        <v>347.54503437087288</v>
      </c>
      <c r="GF94" s="59">
        <f t="shared" si="104"/>
        <v>340.05673244455954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42.17517926865083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42.17517926865083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735.00000000000011</v>
      </c>
      <c r="O95" s="13">
        <f>N95*VLOOKUP('Données projet'!$B$9,Paramètres!$A$1:$I$89,3,0)*VLOOKUP('Données projet'!$B$9,Paramètres!$A$1:$I$89,5,0)</f>
        <v>343.98</v>
      </c>
      <c r="P95" s="13">
        <f t="shared" si="87"/>
        <v>80.321681832084693</v>
      </c>
      <c r="Q95" s="20">
        <f t="shared" si="54"/>
        <v>738.9920958575475</v>
      </c>
      <c r="R95" s="59">
        <f t="shared" si="55"/>
        <v>1032.3254291908809</v>
      </c>
      <c r="S95" s="59">
        <f ca="1">AVERAGE(OFFSET($R$3,0,0,'Données projet'!$E$9+1,1))-AVERAGE(OFFSET($H$3,0,0,'Données projet'!$E$9+1,1))</f>
        <v>342.49944586217674</v>
      </c>
      <c r="T95" s="59">
        <f t="shared" si="88"/>
        <v>282.29766600872563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92.995819620207484</v>
      </c>
      <c r="AA95" s="21">
        <f>EXP(-LN(2)/25)*AA94+(1-EXP(-LN(2)/25))/(LN(2)/25)*Calculateur!V95*Calculateur!X95*VLOOKUP('Données projet'!$B$9,Paramètres!$A$1:$I$89,3,0)*0.475*44/12</f>
        <v>7.184212227771952</v>
      </c>
      <c r="AB95" s="21">
        <f>EXP(-LN(2)/2)*AB94+(1-EXP(-LN(2)/2))/(LN(2)/2)*V95*Y95*VLOOKUP('Données projet'!$B$9,Paramètres!$A$1:$I$89,3,0)*0.475*44/12</f>
        <v>3.8554187285072597E-11</v>
      </c>
      <c r="AC95" s="22">
        <f t="shared" si="57"/>
        <v>100.18003184801799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739.99999999999966</v>
      </c>
      <c r="AJ95" s="13">
        <f>AI95*VLOOKUP('Données projet'!$B$10,Paramètres!$A$1:$I$89,3,0)*VLOOKUP('Données projet'!$B$10,Paramètres!$A$1:$I$89,5,0)</f>
        <v>413.65999999999985</v>
      </c>
      <c r="AK95" s="13">
        <f t="shared" si="89"/>
        <v>94.540585122244352</v>
      </c>
      <c r="AL95" s="20">
        <f t="shared" si="58"/>
        <v>885.11601908790863</v>
      </c>
      <c r="AM95" s="59">
        <f t="shared" si="59"/>
        <v>1178.4493524212419</v>
      </c>
      <c r="AN95" s="59">
        <f ca="1">AVERAGE(OFFSET($AM$3,0,0,'Données projet'!$E$10+1,1))-AVERAGE(OFFSET($H$3,0,0,'Données projet'!$E$10+1,1))</f>
        <v>490.96084572840579</v>
      </c>
      <c r="AO95" s="59">
        <f t="shared" si="90"/>
        <v>597.91658789908263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65.527827203052496</v>
      </c>
      <c r="AV95" s="21">
        <f>EXP(-LN(2)/25)*AV94+(1-EXP(-LN(2)/25))/(LN(2)/25)*Calculateur!AQ95*Calculateur!AS95*VLOOKUP('Données projet'!$B$10,Paramètres!$A$1:$I$89,3,0)*0.475*44/12</f>
        <v>10.357038245369282</v>
      </c>
      <c r="AW95" s="21">
        <f>EXP(-LN(2)/2)*AW94+(1-EXP(-LN(2)/2))/(LN(2)/2)*AQ95*AT95*VLOOKUP('Données projet'!$B$10,Paramètres!$A$1:$I$89,3,0)*0.475*44/12</f>
        <v>3.9603717938944006E-10</v>
      </c>
      <c r="AX95" s="21">
        <f t="shared" si="60"/>
        <v>75.88486544881782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213.00000000000003</v>
      </c>
      <c r="BE95" s="13">
        <f>BD95*VLOOKUP('Données projet'!$B$11,Paramètres!$A$1:$I$89,3,0)*VLOOKUP('Données projet'!$B$11,Paramètres!$A$1:$I$89,5,0)</f>
        <v>169.46280000000002</v>
      </c>
      <c r="BF95" s="13">
        <f t="shared" si="91"/>
        <v>42.969686502194378</v>
      </c>
      <c r="BG95" s="20">
        <f t="shared" si="61"/>
        <v>369.98658065798855</v>
      </c>
      <c r="BH95" s="59">
        <f t="shared" si="62"/>
        <v>663.31991399132187</v>
      </c>
      <c r="BI95" s="59">
        <f ca="1">AVERAGE(OFFSET($BH$3,0,0,'Données projet'!$E$11+1,1))-AVERAGE(OFFSET($H$3,0,0,'Données projet'!$E$11+1,1))</f>
        <v>167.80254365106839</v>
      </c>
      <c r="BJ95" s="59">
        <f t="shared" si="92"/>
        <v>167.42302164950172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26.429259861577652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26.429259861577652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669.99999999999989</v>
      </c>
      <c r="BZ95" s="13">
        <f>BY95*VLOOKUP('Données projet'!$B$12,Paramètres!$A$1:$I$89,3,0)*VLOOKUP('Données projet'!$B$12,Paramètres!$A$1:$I$89,5,0)</f>
        <v>330.97999999999996</v>
      </c>
      <c r="CA95" s="13">
        <f t="shared" si="93"/>
        <v>77.633451096966454</v>
      </c>
      <c r="CB95" s="20">
        <f t="shared" si="64"/>
        <v>711.66842732721636</v>
      </c>
      <c r="CC95" s="59">
        <f t="shared" si="65"/>
        <v>1005.0017606605497</v>
      </c>
      <c r="CD95" s="59">
        <f ca="1">AVERAGE(OFFSET($CC$3,0,0,'Données projet'!$E$12+1,1))-AVERAGE(OFFSET($H$3,0,0,'Données projet'!$E$12+1,1))</f>
        <v>322.06606384496587</v>
      </c>
      <c r="CE95" s="59">
        <f t="shared" si="94"/>
        <v>267.71713177624713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91.728838433578275</v>
      </c>
      <c r="CL95" s="21">
        <f>EXP(-LN(2)/25)*CL94+(1-EXP(-LN(2)/25))/(LN(2)/25)*Calculateur!CG95*Calculateur!CI95*VLOOKUP('Données projet'!$B$12,Paramètres!$A$1:$I$89,3,0)*0.475*44/12</f>
        <v>3.6036140746127638</v>
      </c>
      <c r="CM95" s="21">
        <f>EXP(-LN(2)/2)*CM94+(1-EXP(-LN(2)/2))/(LN(2)/2)*CG95*CJ95*VLOOKUP('Données projet'!$B$12,Paramètres!$A$1:$I$89,3,0)*0.475*44/12</f>
        <v>1.8416946424028845E-9</v>
      </c>
      <c r="CN95" s="22">
        <f t="shared" si="66"/>
        <v>95.332452510032738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401</v>
      </c>
      <c r="CU95" s="17">
        <f>CT95*VLOOKUP('Données projet'!$B$13,Paramètres!$A$1:$I$89,3,0)*VLOOKUP('Données projet'!$B$13,Paramètres!$A$1:$I$89,5,0)</f>
        <v>250.22399999999999</v>
      </c>
      <c r="CV95" s="13">
        <f t="shared" si="95"/>
        <v>60.633904580527918</v>
      </c>
      <c r="CW95" s="20">
        <f t="shared" si="67"/>
        <v>541.41085047775289</v>
      </c>
      <c r="CX95" s="59">
        <f t="shared" si="68"/>
        <v>834.74418381108626</v>
      </c>
      <c r="CY95" s="59">
        <f ca="1">AVERAGE(OFFSET($CX$3,0,0,'Données projet'!$E$13+1,1))-AVERAGE(OFFSET($H$3,0,0,'Données projet'!$E$13+1,1))</f>
        <v>269.77739619445515</v>
      </c>
      <c r="CZ95" s="59">
        <f t="shared" si="96"/>
        <v>347.56964743629885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40.632972133392265</v>
      </c>
      <c r="DG95" s="21">
        <f>EXP(-LN(2)/25)*DG94+(1-EXP(-LN(2)/25))/(LN(2)/25)*Calculateur!DB95*Calculateur!DD95*VLOOKUP('Données projet'!$B$13,Paramètres!$A$1:$I$89,3,0)*0.475*44/12</f>
        <v>16.444274703429219</v>
      </c>
      <c r="DH95" s="21">
        <f>EXP(-LN(2)/2)*DH94+(1-EXP(-LN(2)/2))/(LN(2)/2)*DB95*DE95*VLOOKUP('Données projet'!$B$13,Paramètres!$A$1:$I$89,3,0)*0.475*44/12</f>
        <v>1.156625618552177E-11</v>
      </c>
      <c r="DI95" s="22">
        <f t="shared" si="69"/>
        <v>57.077246836833055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669.99999999999989</v>
      </c>
      <c r="DP95" s="17">
        <f>DO95*VLOOKUP('Données projet'!$B$14,Paramètres!$A$1:$I$89,3,0)*VLOOKUP('Données projet'!$B$14,Paramètres!$A$1:$I$89,5,0)</f>
        <v>322.26999999999992</v>
      </c>
      <c r="DQ95" s="13">
        <f t="shared" si="97"/>
        <v>75.825476822885776</v>
      </c>
      <c r="DR95" s="20">
        <f t="shared" si="70"/>
        <v>693.34962213319261</v>
      </c>
      <c r="DS95" s="59">
        <f t="shared" si="71"/>
        <v>986.68295546652598</v>
      </c>
      <c r="DT95" s="59">
        <f ca="1">AVERAGE(OFFSET($DS$3,0,0,'Données projet'!$E$14+1,1))-AVERAGE(OFFSET($H$3,0,0,'Données projet'!$E$14+1,1))</f>
        <v>312.64506496298173</v>
      </c>
      <c r="DU95" s="59">
        <f t="shared" si="98"/>
        <v>259.97532509897508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89.314921632694606</v>
      </c>
      <c r="EB95" s="21">
        <f>EXP(-LN(2)/25)*EB94+(1-EXP(-LN(2)/25))/(LN(2)/25)*Calculateur!DW95*Calculateur!DY95*VLOOKUP('Données projet'!$B$14,Paramètres!$A$1:$I$89,3,0)*0.475*44/12</f>
        <v>3.5087821252808511</v>
      </c>
      <c r="EC95" s="21">
        <f>EXP(-LN(2)/2)*EC94+(1-EXP(-LN(2)/2))/(LN(2)/2)*DW95*DZ95*VLOOKUP('Données projet'!$B$14,Paramètres!$A$1:$I$89,3,0)*0.475*44/12</f>
        <v>1.7932289939185881E-9</v>
      </c>
      <c r="ED95" s="22">
        <f t="shared" si="72"/>
        <v>92.823703759768676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5</v>
      </c>
      <c r="EJ95" s="12">
        <f>IF('Données projet'!$A$192&gt;35,EJ94+EI95-ER94,IF(A95&lt;'Données projet'!$A$192,$EG$205^A95,IF(A95='Données projet'!$A$192,'Données projet'!$B$192,EJ94+EI95-ER94)))</f>
        <v>263.99999999999983</v>
      </c>
      <c r="EK95" s="17">
        <f>EJ95*VLOOKUP('Données projet'!$B$15,Paramètres!$A$1:$I$89,3,0)*VLOOKUP('Données projet'!$B$15,Paramètres!$A$1:$I$89,5,0)</f>
        <v>238.86719999999983</v>
      </c>
      <c r="EL95" s="13">
        <f t="shared" si="99"/>
        <v>58.195735973104156</v>
      </c>
      <c r="EM95" s="20">
        <f t="shared" si="73"/>
        <v>517.38461348648946</v>
      </c>
      <c r="EN95" s="59">
        <f t="shared" si="74"/>
        <v>810.71794681982283</v>
      </c>
      <c r="EO95" s="59">
        <f ca="1">AVERAGE(OFFSET($EN$3,0,0,'Données projet'!$E$15+1,1))-AVERAGE(OFFSET($H$3,0,0,'Données projet'!$E$15+1,1))</f>
        <v>269.64423257646359</v>
      </c>
      <c r="EP95" s="59">
        <f t="shared" si="100"/>
        <v>161.0819079811821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64.020919804271486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64.020919804271486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349.00000000000017</v>
      </c>
      <c r="FF95" s="17">
        <f>FE95*VLOOKUP('Données projet'!$B$16,Paramètres!$A$1:$I$89,3,0)*VLOOKUP('Données projet'!$B$16,Paramètres!$A$1:$I$89,5,0)</f>
        <v>272.22000000000014</v>
      </c>
      <c r="FG95" s="13">
        <f t="shared" si="101"/>
        <v>65.320184547527205</v>
      </c>
      <c r="FH95" s="20">
        <f t="shared" si="76"/>
        <v>587.88248808694345</v>
      </c>
      <c r="FI95" s="59">
        <f t="shared" si="77"/>
        <v>881.21582142027682</v>
      </c>
      <c r="FJ95" s="59">
        <f ca="1">AVERAGE(OFFSET($FI$3,0,0,'Données projet'!$E$16+1,1))-AVERAGE(OFFSET($H$3,0,0,'Données projet'!$E$16+1,1))</f>
        <v>283.77864672734273</v>
      </c>
      <c r="FK95" s="59">
        <f t="shared" si="102"/>
        <v>270.94620935643866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56.060317003576841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56.060317003576841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319</v>
      </c>
      <c r="GA95" s="17">
        <f>FZ95*VLOOKUP('Données projet'!$B$17,Paramètres!$A$1:$I$89,3,0)*VLOOKUP('Données projet'!$B$17,Paramètres!$A$1:$I$89,5,0)</f>
        <v>308.53680000000003</v>
      </c>
      <c r="GB95" s="13">
        <f t="shared" si="103"/>
        <v>72.963171684496103</v>
      </c>
      <c r="GC95" s="20">
        <f t="shared" si="79"/>
        <v>664.4457840171641</v>
      </c>
      <c r="GD95" s="59">
        <f t="shared" si="80"/>
        <v>957.77911735049747</v>
      </c>
      <c r="GE95" s="59">
        <f ca="1">AVERAGE(OFFSET($GD$3,0,0,'Données projet'!$E$17+1,1))-AVERAGE(OFFSET($H$3,0,0,'Données projet'!$E$17+1,1))</f>
        <v>347.54503437087288</v>
      </c>
      <c r="GF95" s="59">
        <f t="shared" si="104"/>
        <v>340.05673244455954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41.348149727511874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41.348149727511874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735.00000000000011</v>
      </c>
      <c r="O96" s="13">
        <f>N96*VLOOKUP('Données projet'!$B$9,Paramètres!$A$1:$I$89,3,0)*VLOOKUP('Données projet'!$B$9,Paramètres!$A$1:$I$89,5,0)</f>
        <v>343.98</v>
      </c>
      <c r="P96" s="13">
        <f t="shared" si="87"/>
        <v>80.321681832084693</v>
      </c>
      <c r="Q96" s="20">
        <f t="shared" si="54"/>
        <v>738.9920958575475</v>
      </c>
      <c r="R96" s="59">
        <f t="shared" si="55"/>
        <v>1032.3254291908809</v>
      </c>
      <c r="S96" s="59">
        <f ca="1">AVERAGE(OFFSET($R$3,0,0,'Données projet'!$E$9+1,1))-AVERAGE(OFFSET($H$3,0,0,'Données projet'!$E$9+1,1))</f>
        <v>342.49944586217674</v>
      </c>
      <c r="T96" s="59">
        <f t="shared" si="88"/>
        <v>282.29766600872563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91.172228319304367</v>
      </c>
      <c r="AA96" s="21">
        <f>EXP(-LN(2)/25)*AA95+(1-EXP(-LN(2)/25))/(LN(2)/25)*Calculateur!V96*Calculateur!X96*VLOOKUP('Données projet'!$B$9,Paramètres!$A$1:$I$89,3,0)*0.475*44/12</f>
        <v>6.987759566602227</v>
      </c>
      <c r="AB96" s="21">
        <f>EXP(-LN(2)/2)*AB95+(1-EXP(-LN(2)/2))/(LN(2)/2)*V96*Y96*VLOOKUP('Données projet'!$B$9,Paramètres!$A$1:$I$89,3,0)*0.475*44/12</f>
        <v>2.7261927272411002E-11</v>
      </c>
      <c r="AC96" s="22">
        <f t="shared" si="57"/>
        <v>98.159987885933845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739.99999999999966</v>
      </c>
      <c r="AJ96" s="13">
        <f>AI96*VLOOKUP('Données projet'!$B$10,Paramètres!$A$1:$I$89,3,0)*VLOOKUP('Données projet'!$B$10,Paramètres!$A$1:$I$89,5,0)</f>
        <v>413.65999999999985</v>
      </c>
      <c r="AK96" s="13">
        <f t="shared" si="89"/>
        <v>94.540585122244352</v>
      </c>
      <c r="AL96" s="20">
        <f t="shared" si="58"/>
        <v>885.11601908790863</v>
      </c>
      <c r="AM96" s="59">
        <f t="shared" si="59"/>
        <v>1178.4493524212419</v>
      </c>
      <c r="AN96" s="59">
        <f ca="1">AVERAGE(OFFSET($AM$3,0,0,'Données projet'!$E$10+1,1))-AVERAGE(OFFSET($H$3,0,0,'Données projet'!$E$10+1,1))</f>
        <v>490.96084572840579</v>
      </c>
      <c r="AO96" s="59">
        <f t="shared" si="90"/>
        <v>597.91658789908263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64.242866479628717</v>
      </c>
      <c r="AV96" s="21">
        <f>EXP(-LN(2)/25)*AV95+(1-EXP(-LN(2)/25))/(LN(2)/25)*Calculateur!AQ96*Calculateur!AS96*VLOOKUP('Données projet'!$B$10,Paramètres!$A$1:$I$89,3,0)*0.475*44/12</f>
        <v>10.073824489896689</v>
      </c>
      <c r="AW96" s="21">
        <f>EXP(-LN(2)/2)*AW95+(1-EXP(-LN(2)/2))/(LN(2)/2)*AQ96*AT96*VLOOKUP('Données projet'!$B$10,Paramètres!$A$1:$I$89,3,0)*0.475*44/12</f>
        <v>2.8004057514826626E-10</v>
      </c>
      <c r="AX96" s="21">
        <f t="shared" si="60"/>
        <v>74.31669096980545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213.00000000000003</v>
      </c>
      <c r="BE96" s="13">
        <f>BD96*VLOOKUP('Données projet'!$B$11,Paramètres!$A$1:$I$89,3,0)*VLOOKUP('Données projet'!$B$11,Paramètres!$A$1:$I$89,5,0)</f>
        <v>169.46280000000002</v>
      </c>
      <c r="BF96" s="13">
        <f t="shared" si="91"/>
        <v>42.969686502194378</v>
      </c>
      <c r="BG96" s="20">
        <f t="shared" si="61"/>
        <v>369.98658065798855</v>
      </c>
      <c r="BH96" s="59">
        <f t="shared" si="62"/>
        <v>663.31991399132187</v>
      </c>
      <c r="BI96" s="59">
        <f ca="1">AVERAGE(OFFSET($BH$3,0,0,'Données projet'!$E$11+1,1))-AVERAGE(OFFSET($H$3,0,0,'Données projet'!$E$11+1,1))</f>
        <v>167.80254365106839</v>
      </c>
      <c r="BJ96" s="59">
        <f t="shared" si="92"/>
        <v>167.42302164950172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25.910998195948885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25.910998195948885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669.99999999999989</v>
      </c>
      <c r="BZ96" s="13">
        <f>BY96*VLOOKUP('Données projet'!$B$12,Paramètres!$A$1:$I$89,3,0)*VLOOKUP('Données projet'!$B$12,Paramètres!$A$1:$I$89,5,0)</f>
        <v>330.97999999999996</v>
      </c>
      <c r="CA96" s="13">
        <f t="shared" si="93"/>
        <v>77.633451096966454</v>
      </c>
      <c r="CB96" s="20">
        <f t="shared" si="64"/>
        <v>711.66842732721636</v>
      </c>
      <c r="CC96" s="59">
        <f t="shared" si="65"/>
        <v>1005.0017606605497</v>
      </c>
      <c r="CD96" s="59">
        <f ca="1">AVERAGE(OFFSET($CC$3,0,0,'Données projet'!$E$12+1,1))-AVERAGE(OFFSET($H$3,0,0,'Données projet'!$E$12+1,1))</f>
        <v>322.06606384496587</v>
      </c>
      <c r="CE96" s="59">
        <f t="shared" si="94"/>
        <v>267.71713177624713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89.930091860962733</v>
      </c>
      <c r="CL96" s="21">
        <f>EXP(-LN(2)/25)*CL95+(1-EXP(-LN(2)/25))/(LN(2)/25)*Calculateur!CG96*Calculateur!CI96*VLOOKUP('Données projet'!$B$12,Paramètres!$A$1:$I$89,3,0)*0.475*44/12</f>
        <v>3.5050730582366496</v>
      </c>
      <c r="CM96" s="21">
        <f>EXP(-LN(2)/2)*CM95+(1-EXP(-LN(2)/2))/(LN(2)/2)*CG96*CJ96*VLOOKUP('Données projet'!$B$12,Paramètres!$A$1:$I$89,3,0)*0.475*44/12</f>
        <v>1.3022747705180134E-9</v>
      </c>
      <c r="CN96" s="22">
        <f t="shared" si="66"/>
        <v>93.435164920501649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401</v>
      </c>
      <c r="CU96" s="17">
        <f>CT96*VLOOKUP('Données projet'!$B$13,Paramètres!$A$1:$I$89,3,0)*VLOOKUP('Données projet'!$B$13,Paramètres!$A$1:$I$89,5,0)</f>
        <v>250.22399999999999</v>
      </c>
      <c r="CV96" s="13">
        <f t="shared" si="95"/>
        <v>60.633904580527918</v>
      </c>
      <c r="CW96" s="20">
        <f t="shared" si="67"/>
        <v>541.41085047775289</v>
      </c>
      <c r="CX96" s="59">
        <f t="shared" si="68"/>
        <v>834.74418381108626</v>
      </c>
      <c r="CY96" s="59">
        <f ca="1">AVERAGE(OFFSET($CX$3,0,0,'Données projet'!$E$13+1,1))-AVERAGE(OFFSET($H$3,0,0,'Données projet'!$E$13+1,1))</f>
        <v>269.77739619445515</v>
      </c>
      <c r="CZ96" s="59">
        <f t="shared" si="96"/>
        <v>347.56964743629885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39.836184333522262</v>
      </c>
      <c r="DG96" s="21">
        <f>EXP(-LN(2)/25)*DG95+(1-EXP(-LN(2)/25))/(LN(2)/25)*Calculateur!DB96*Calculateur!DD96*VLOOKUP('Données projet'!$B$13,Paramètres!$A$1:$I$89,3,0)*0.475*44/12</f>
        <v>15.994605146897124</v>
      </c>
      <c r="DH96" s="21">
        <f>EXP(-LN(2)/2)*DH95+(1-EXP(-LN(2)/2))/(LN(2)/2)*DB96*DE96*VLOOKUP('Données projet'!$B$13,Paramètres!$A$1:$I$89,3,0)*0.475*44/12</f>
        <v>8.1785781817232936E-12</v>
      </c>
      <c r="DI96" s="22">
        <f t="shared" si="69"/>
        <v>55.830789480427562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669.99999999999989</v>
      </c>
      <c r="DP96" s="17">
        <f>DO96*VLOOKUP('Données projet'!$B$14,Paramètres!$A$1:$I$89,3,0)*VLOOKUP('Données projet'!$B$14,Paramètres!$A$1:$I$89,5,0)</f>
        <v>322.26999999999992</v>
      </c>
      <c r="DQ96" s="13">
        <f t="shared" si="97"/>
        <v>75.825476822885776</v>
      </c>
      <c r="DR96" s="20">
        <f t="shared" si="70"/>
        <v>693.34962213319261</v>
      </c>
      <c r="DS96" s="59">
        <f t="shared" si="71"/>
        <v>986.68295546652598</v>
      </c>
      <c r="DT96" s="59">
        <f ca="1">AVERAGE(OFFSET($DS$3,0,0,'Données projet'!$E$14+1,1))-AVERAGE(OFFSET($H$3,0,0,'Données projet'!$E$14+1,1))</f>
        <v>312.64506496298173</v>
      </c>
      <c r="DU96" s="59">
        <f t="shared" si="98"/>
        <v>259.97532509897508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87.563510496200536</v>
      </c>
      <c r="EB96" s="21">
        <f>EXP(-LN(2)/25)*EB95+(1-EXP(-LN(2)/25))/(LN(2)/25)*Calculateur!DW96*Calculateur!DY96*VLOOKUP('Données projet'!$B$14,Paramètres!$A$1:$I$89,3,0)*0.475*44/12</f>
        <v>3.4128342935462137</v>
      </c>
      <c r="EC96" s="21">
        <f>EXP(-LN(2)/2)*EC95+(1-EXP(-LN(2)/2))/(LN(2)/2)*DW96*DZ96*VLOOKUP('Données projet'!$B$14,Paramètres!$A$1:$I$89,3,0)*0.475*44/12</f>
        <v>1.2680043818201638E-9</v>
      </c>
      <c r="ED96" s="22">
        <f t="shared" si="72"/>
        <v>90.976344791014753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5</v>
      </c>
      <c r="EJ96" s="12">
        <f>IF('Données projet'!$A$192&gt;35,EJ95+EI96-ER95,IF(A96&lt;'Données projet'!$A$192,$EG$205^A96,IF(A96='Données projet'!$A$192,'Données projet'!$B$192,EJ95+EI96-ER95)))</f>
        <v>268.99999999999983</v>
      </c>
      <c r="EK96" s="17">
        <f>EJ96*VLOOKUP('Données projet'!$B$15,Paramètres!$A$1:$I$89,3,0)*VLOOKUP('Données projet'!$B$15,Paramètres!$A$1:$I$89,5,0)</f>
        <v>243.39119999999986</v>
      </c>
      <c r="EL96" s="13">
        <f t="shared" si="99"/>
        <v>59.168566788241527</v>
      </c>
      <c r="EM96" s="20">
        <f t="shared" si="73"/>
        <v>526.95826048952051</v>
      </c>
      <c r="EN96" s="59">
        <f t="shared" si="74"/>
        <v>820.29159382285388</v>
      </c>
      <c r="EO96" s="59">
        <f ca="1">AVERAGE(OFFSET($EN$3,0,0,'Données projet'!$E$15+1,1))-AVERAGE(OFFSET($H$3,0,0,'Données projet'!$E$15+1,1))</f>
        <v>269.64423257646359</v>
      </c>
      <c r="EP96" s="59">
        <f t="shared" si="100"/>
        <v>161.0819079811821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62.765508615815044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62.765508615815044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349.00000000000017</v>
      </c>
      <c r="FF96" s="17">
        <f>FE96*VLOOKUP('Données projet'!$B$16,Paramètres!$A$1:$I$89,3,0)*VLOOKUP('Données projet'!$B$16,Paramètres!$A$1:$I$89,5,0)</f>
        <v>272.22000000000014</v>
      </c>
      <c r="FG96" s="13">
        <f t="shared" si="101"/>
        <v>65.320184547527205</v>
      </c>
      <c r="FH96" s="20">
        <f t="shared" si="76"/>
        <v>587.88248808694345</v>
      </c>
      <c r="FI96" s="59">
        <f t="shared" si="77"/>
        <v>881.21582142027682</v>
      </c>
      <c r="FJ96" s="59">
        <f ca="1">AVERAGE(OFFSET($FI$3,0,0,'Données projet'!$E$16+1,1))-AVERAGE(OFFSET($H$3,0,0,'Données projet'!$E$16+1,1))</f>
        <v>283.77864672734273</v>
      </c>
      <c r="FK96" s="59">
        <f t="shared" si="102"/>
        <v>270.94620935643866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54.96100838055375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54.96100838055375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319</v>
      </c>
      <c r="GA96" s="17">
        <f>FZ96*VLOOKUP('Données projet'!$B$17,Paramètres!$A$1:$I$89,3,0)*VLOOKUP('Données projet'!$B$17,Paramètres!$A$1:$I$89,5,0)</f>
        <v>308.53680000000003</v>
      </c>
      <c r="GB96" s="13">
        <f t="shared" si="103"/>
        <v>72.963171684496103</v>
      </c>
      <c r="GC96" s="20">
        <f t="shared" si="79"/>
        <v>664.4457840171641</v>
      </c>
      <c r="GD96" s="59">
        <f t="shared" si="80"/>
        <v>957.77911735049747</v>
      </c>
      <c r="GE96" s="59">
        <f ca="1">AVERAGE(OFFSET($GD$3,0,0,'Données projet'!$E$17+1,1))-AVERAGE(OFFSET($H$3,0,0,'Données projet'!$E$17+1,1))</f>
        <v>347.54503437087288</v>
      </c>
      <c r="GF96" s="59">
        <f t="shared" si="104"/>
        <v>340.05673244455954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40.537337731236441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40.537337731236441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735.00000000000011</v>
      </c>
      <c r="O97" s="13">
        <f>N97*VLOOKUP('Données projet'!$B$9,Paramètres!$A$1:$I$89,3,0)*VLOOKUP('Données projet'!$B$9,Paramètres!$A$1:$I$89,5,0)</f>
        <v>343.98</v>
      </c>
      <c r="P97" s="13">
        <f t="shared" si="87"/>
        <v>80.321681832084693</v>
      </c>
      <c r="Q97" s="20">
        <f t="shared" si="54"/>
        <v>738.9920958575475</v>
      </c>
      <c r="R97" s="59">
        <f t="shared" si="55"/>
        <v>1032.3254291908809</v>
      </c>
      <c r="S97" s="59">
        <f ca="1">AVERAGE(OFFSET($R$3,0,0,'Données projet'!$E$9+1,1))-AVERAGE(OFFSET($H$3,0,0,'Données projet'!$E$9+1,1))</f>
        <v>342.49944586217674</v>
      </c>
      <c r="T97" s="59">
        <f t="shared" si="88"/>
        <v>282.29766600872563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89.384396531531095</v>
      </c>
      <c r="AA97" s="21">
        <f>EXP(-LN(2)/25)*AA96+(1-EXP(-LN(2)/25))/(LN(2)/25)*Calculateur!V97*Calculateur!X97*VLOOKUP('Données projet'!$B$9,Paramètres!$A$1:$I$89,3,0)*0.475*44/12</f>
        <v>6.7966789137831842</v>
      </c>
      <c r="AB97" s="21">
        <f>EXP(-LN(2)/2)*AB96+(1-EXP(-LN(2)/2))/(LN(2)/2)*V97*Y97*VLOOKUP('Données projet'!$B$9,Paramètres!$A$1:$I$89,3,0)*0.475*44/12</f>
        <v>1.9277093642536299E-11</v>
      </c>
      <c r="AC97" s="22">
        <f t="shared" si="57"/>
        <v>96.181075445333562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739.99999999999966</v>
      </c>
      <c r="AJ97" s="13">
        <f>AI97*VLOOKUP('Données projet'!$B$10,Paramètres!$A$1:$I$89,3,0)*VLOOKUP('Données projet'!$B$10,Paramètres!$A$1:$I$89,5,0)</f>
        <v>413.65999999999985</v>
      </c>
      <c r="AK97" s="13">
        <f t="shared" si="89"/>
        <v>94.540585122244352</v>
      </c>
      <c r="AL97" s="20">
        <f t="shared" si="58"/>
        <v>885.11601908790863</v>
      </c>
      <c r="AM97" s="59">
        <f t="shared" si="59"/>
        <v>1178.4493524212419</v>
      </c>
      <c r="AN97" s="59">
        <f ca="1">AVERAGE(OFFSET($AM$3,0,0,'Données projet'!$E$10+1,1))-AVERAGE(OFFSET($H$3,0,0,'Données projet'!$E$10+1,1))</f>
        <v>490.96084572840579</v>
      </c>
      <c r="AO97" s="59">
        <f t="shared" si="90"/>
        <v>597.91658789908263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62.983103052242626</v>
      </c>
      <c r="AV97" s="21">
        <f>EXP(-LN(2)/25)*AV96+(1-EXP(-LN(2)/25))/(LN(2)/25)*Calculateur!AQ97*Calculateur!AS97*VLOOKUP('Données projet'!$B$10,Paramètres!$A$1:$I$89,3,0)*0.475*44/12</f>
        <v>9.7983552294610572</v>
      </c>
      <c r="AW97" s="21">
        <f>EXP(-LN(2)/2)*AW96+(1-EXP(-LN(2)/2))/(LN(2)/2)*AQ97*AT97*VLOOKUP('Données projet'!$B$10,Paramètres!$A$1:$I$89,3,0)*0.475*44/12</f>
        <v>1.9801858969472003E-10</v>
      </c>
      <c r="AX97" s="21">
        <f t="shared" si="60"/>
        <v>72.781458281901692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213.00000000000003</v>
      </c>
      <c r="BE97" s="13">
        <f>BD97*VLOOKUP('Données projet'!$B$11,Paramètres!$A$1:$I$89,3,0)*VLOOKUP('Données projet'!$B$11,Paramètres!$A$1:$I$89,5,0)</f>
        <v>169.46280000000002</v>
      </c>
      <c r="BF97" s="13">
        <f t="shared" si="91"/>
        <v>42.969686502194378</v>
      </c>
      <c r="BG97" s="20">
        <f t="shared" si="61"/>
        <v>369.98658065798855</v>
      </c>
      <c r="BH97" s="59">
        <f t="shared" si="62"/>
        <v>663.31991399132187</v>
      </c>
      <c r="BI97" s="59">
        <f ca="1">AVERAGE(OFFSET($BH$3,0,0,'Données projet'!$E$11+1,1))-AVERAGE(OFFSET($H$3,0,0,'Données projet'!$E$11+1,1))</f>
        <v>167.80254365106839</v>
      </c>
      <c r="BJ97" s="59">
        <f t="shared" si="92"/>
        <v>167.42302164950172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25.402899325474696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25.402899325474696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669.99999999999989</v>
      </c>
      <c r="BZ97" s="13">
        <f>BY97*VLOOKUP('Données projet'!$B$12,Paramètres!$A$1:$I$89,3,0)*VLOOKUP('Données projet'!$B$12,Paramètres!$A$1:$I$89,5,0)</f>
        <v>330.97999999999996</v>
      </c>
      <c r="CA97" s="13">
        <f t="shared" si="93"/>
        <v>77.633451096966454</v>
      </c>
      <c r="CB97" s="20">
        <f t="shared" si="64"/>
        <v>711.66842732721636</v>
      </c>
      <c r="CC97" s="59">
        <f t="shared" si="65"/>
        <v>1005.0017606605497</v>
      </c>
      <c r="CD97" s="59">
        <f ca="1">AVERAGE(OFFSET($CC$3,0,0,'Données projet'!$E$12+1,1))-AVERAGE(OFFSET($H$3,0,0,'Données projet'!$E$12+1,1))</f>
        <v>322.06606384496587</v>
      </c>
      <c r="CE97" s="59">
        <f t="shared" si="94"/>
        <v>267.71713177624713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88.16661761150911</v>
      </c>
      <c r="CL97" s="21">
        <f>EXP(-LN(2)/25)*CL96+(1-EXP(-LN(2)/25))/(LN(2)/25)*Calculateur!CG97*Calculateur!CI97*VLOOKUP('Données projet'!$B$12,Paramètres!$A$1:$I$89,3,0)*0.475*44/12</f>
        <v>3.4092266511353873</v>
      </c>
      <c r="CM97" s="21">
        <f>EXP(-LN(2)/2)*CM96+(1-EXP(-LN(2)/2))/(LN(2)/2)*CG97*CJ97*VLOOKUP('Données projet'!$B$12,Paramètres!$A$1:$I$89,3,0)*0.475*44/12</f>
        <v>9.2084732120144234E-10</v>
      </c>
      <c r="CN97" s="22">
        <f t="shared" si="66"/>
        <v>91.575844263565344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401</v>
      </c>
      <c r="CU97" s="17">
        <f>CT97*VLOOKUP('Données projet'!$B$13,Paramètres!$A$1:$I$89,3,0)*VLOOKUP('Données projet'!$B$13,Paramètres!$A$1:$I$89,5,0)</f>
        <v>250.22399999999999</v>
      </c>
      <c r="CV97" s="13">
        <f t="shared" si="95"/>
        <v>60.633904580527918</v>
      </c>
      <c r="CW97" s="20">
        <f t="shared" si="67"/>
        <v>541.41085047775289</v>
      </c>
      <c r="CX97" s="59">
        <f t="shared" si="68"/>
        <v>834.74418381108626</v>
      </c>
      <c r="CY97" s="59">
        <f ca="1">AVERAGE(OFFSET($CX$3,0,0,'Données projet'!$E$13+1,1))-AVERAGE(OFFSET($H$3,0,0,'Données projet'!$E$13+1,1))</f>
        <v>269.77739619445515</v>
      </c>
      <c r="CZ97" s="59">
        <f t="shared" si="96"/>
        <v>347.56964743629885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39.055021056415136</v>
      </c>
      <c r="DG97" s="21">
        <f>EXP(-LN(2)/25)*DG96+(1-EXP(-LN(2)/25))/(LN(2)/25)*Calculateur!DB97*Calculateur!DD97*VLOOKUP('Données projet'!$B$13,Paramètres!$A$1:$I$89,3,0)*0.475*44/12</f>
        <v>15.557231828035494</v>
      </c>
      <c r="DH97" s="21">
        <f>EXP(-LN(2)/2)*DH96+(1-EXP(-LN(2)/2))/(LN(2)/2)*DB97*DE97*VLOOKUP('Données projet'!$B$13,Paramètres!$A$1:$I$89,3,0)*0.475*44/12</f>
        <v>5.7831280927608848E-12</v>
      </c>
      <c r="DI97" s="22">
        <f t="shared" si="69"/>
        <v>54.61225288445641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669.99999999999989</v>
      </c>
      <c r="DP97" s="17">
        <f>DO97*VLOOKUP('Données projet'!$B$14,Paramètres!$A$1:$I$89,3,0)*VLOOKUP('Données projet'!$B$14,Paramètres!$A$1:$I$89,5,0)</f>
        <v>322.26999999999992</v>
      </c>
      <c r="DQ97" s="13">
        <f t="shared" si="97"/>
        <v>75.825476822885776</v>
      </c>
      <c r="DR97" s="20">
        <f t="shared" si="70"/>
        <v>693.34962213319261</v>
      </c>
      <c r="DS97" s="59">
        <f t="shared" si="71"/>
        <v>986.68295546652598</v>
      </c>
      <c r="DT97" s="59">
        <f ca="1">AVERAGE(OFFSET($DS$3,0,0,'Données projet'!$E$14+1,1))-AVERAGE(OFFSET($H$3,0,0,'Données projet'!$E$14+1,1))</f>
        <v>312.64506496298173</v>
      </c>
      <c r="DU97" s="59">
        <f t="shared" si="98"/>
        <v>259.97532509897508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85.846443463837801</v>
      </c>
      <c r="EB97" s="21">
        <f>EXP(-LN(2)/25)*EB96+(1-EXP(-LN(2)/25))/(LN(2)/25)*Calculateur!DW97*Calculateur!DY97*VLOOKUP('Données projet'!$B$14,Paramètres!$A$1:$I$89,3,0)*0.475*44/12</f>
        <v>3.3195101603160371</v>
      </c>
      <c r="EC97" s="21">
        <f>EXP(-LN(2)/2)*EC96+(1-EXP(-LN(2)/2))/(LN(2)/2)*DW97*DZ97*VLOOKUP('Données projet'!$B$14,Paramètres!$A$1:$I$89,3,0)*0.475*44/12</f>
        <v>8.9661449695929405E-10</v>
      </c>
      <c r="ED97" s="22">
        <f t="shared" si="72"/>
        <v>89.165953625050463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5</v>
      </c>
      <c r="EJ97" s="12">
        <f>IF('Données projet'!$A$192&gt;35,EJ96+EI97-ER96,IF(A97&lt;'Données projet'!$A$192,$EG$205^A97,IF(A97='Données projet'!$A$192,'Données projet'!$B$192,EJ96+EI97-ER96)))</f>
        <v>273.99999999999983</v>
      </c>
      <c r="EK97" s="17">
        <f>EJ97*VLOOKUP('Données projet'!$B$15,Paramètres!$A$1:$I$89,3,0)*VLOOKUP('Données projet'!$B$15,Paramètres!$A$1:$I$89,5,0)</f>
        <v>247.91519999999986</v>
      </c>
      <c r="EL97" s="13">
        <f t="shared" si="99"/>
        <v>60.139294964297406</v>
      </c>
      <c r="EM97" s="20">
        <f t="shared" si="73"/>
        <v>536.52824539615096</v>
      </c>
      <c r="EN97" s="59">
        <f t="shared" si="74"/>
        <v>829.86157872948434</v>
      </c>
      <c r="EO97" s="59">
        <f ca="1">AVERAGE(OFFSET($EN$3,0,0,'Données projet'!$E$15+1,1))-AVERAGE(OFFSET($H$3,0,0,'Données projet'!$E$15+1,1))</f>
        <v>269.64423257646359</v>
      </c>
      <c r="EP97" s="59">
        <f t="shared" si="100"/>
        <v>161.0819079811821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61.534715275039019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61.534715275039019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349.00000000000017</v>
      </c>
      <c r="FF97" s="17">
        <f>FE97*VLOOKUP('Données projet'!$B$16,Paramètres!$A$1:$I$89,3,0)*VLOOKUP('Données projet'!$B$16,Paramètres!$A$1:$I$89,5,0)</f>
        <v>272.22000000000014</v>
      </c>
      <c r="FG97" s="13">
        <f t="shared" si="101"/>
        <v>65.320184547527205</v>
      </c>
      <c r="FH97" s="20">
        <f t="shared" si="76"/>
        <v>587.88248808694345</v>
      </c>
      <c r="FI97" s="59">
        <f t="shared" si="77"/>
        <v>881.21582142027682</v>
      </c>
      <c r="FJ97" s="59">
        <f ca="1">AVERAGE(OFFSET($FI$3,0,0,'Données projet'!$E$16+1,1))-AVERAGE(OFFSET($H$3,0,0,'Données projet'!$E$16+1,1))</f>
        <v>283.77864672734273</v>
      </c>
      <c r="FK97" s="59">
        <f t="shared" si="102"/>
        <v>270.94620935643866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53.883256529116089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53.883256529116089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319</v>
      </c>
      <c r="GA97" s="17">
        <f>FZ97*VLOOKUP('Données projet'!$B$17,Paramètres!$A$1:$I$89,3,0)*VLOOKUP('Données projet'!$B$17,Paramètres!$A$1:$I$89,5,0)</f>
        <v>308.53680000000003</v>
      </c>
      <c r="GB97" s="13">
        <f t="shared" si="103"/>
        <v>72.963171684496103</v>
      </c>
      <c r="GC97" s="20">
        <f t="shared" si="79"/>
        <v>664.4457840171641</v>
      </c>
      <c r="GD97" s="59">
        <f t="shared" si="80"/>
        <v>957.77911735049747</v>
      </c>
      <c r="GE97" s="59">
        <f ca="1">AVERAGE(OFFSET($GD$3,0,0,'Données projet'!$E$17+1,1))-AVERAGE(OFFSET($H$3,0,0,'Données projet'!$E$17+1,1))</f>
        <v>347.54503437087288</v>
      </c>
      <c r="GF97" s="59">
        <f t="shared" si="104"/>
        <v>340.05673244455954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39.742425263661488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39.742425263661488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735.00000000000011</v>
      </c>
      <c r="O98" s="13">
        <f>N98*VLOOKUP('Données projet'!$B$9,Paramètres!$A$1:$I$89,3,0)*VLOOKUP('Données projet'!$B$9,Paramètres!$A$1:$I$89,5,0)</f>
        <v>343.98</v>
      </c>
      <c r="P98" s="13">
        <f t="shared" si="87"/>
        <v>80.321681832084693</v>
      </c>
      <c r="Q98" s="20">
        <f t="shared" si="54"/>
        <v>738.9920958575475</v>
      </c>
      <c r="R98" s="59">
        <f t="shared" si="55"/>
        <v>1032.3254291908809</v>
      </c>
      <c r="S98" s="59">
        <f ca="1">AVERAGE(OFFSET($R$3,0,0,'Données projet'!$E$9+1,1))-AVERAGE(OFFSET($H$3,0,0,'Données projet'!$E$9+1,1))</f>
        <v>342.49944586217674</v>
      </c>
      <c r="T98" s="59">
        <f t="shared" si="88"/>
        <v>282.29766600872563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87.631623034646339</v>
      </c>
      <c r="AA98" s="21">
        <f>EXP(-LN(2)/25)*AA97+(1-EXP(-LN(2)/25))/(LN(2)/25)*Calculateur!V98*Calculateur!X98*VLOOKUP('Données projet'!$B$9,Paramètres!$A$1:$I$89,3,0)*0.475*44/12</f>
        <v>6.6108233714639733</v>
      </c>
      <c r="AB98" s="21">
        <f>EXP(-LN(2)/2)*AB97+(1-EXP(-LN(2)/2))/(LN(2)/2)*V98*Y98*VLOOKUP('Données projet'!$B$9,Paramètres!$A$1:$I$89,3,0)*0.475*44/12</f>
        <v>1.3630963636205501E-11</v>
      </c>
      <c r="AC98" s="22">
        <f t="shared" si="57"/>
        <v>94.242446406123946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739.99999999999966</v>
      </c>
      <c r="AJ98" s="13">
        <f>AI98*VLOOKUP('Données projet'!$B$10,Paramètres!$A$1:$I$89,3,0)*VLOOKUP('Données projet'!$B$10,Paramètres!$A$1:$I$89,5,0)</f>
        <v>413.65999999999985</v>
      </c>
      <c r="AK98" s="13">
        <f t="shared" si="89"/>
        <v>94.540585122244352</v>
      </c>
      <c r="AL98" s="20">
        <f t="shared" si="58"/>
        <v>885.11601908790863</v>
      </c>
      <c r="AM98" s="59">
        <f t="shared" si="59"/>
        <v>1178.4493524212419</v>
      </c>
      <c r="AN98" s="59">
        <f ca="1">AVERAGE(OFFSET($AM$3,0,0,'Données projet'!$E$10+1,1))-AVERAGE(OFFSET($H$3,0,0,'Données projet'!$E$10+1,1))</f>
        <v>490.96084572840579</v>
      </c>
      <c r="AO98" s="59">
        <f t="shared" si="90"/>
        <v>597.91658789908263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61.748042817287754</v>
      </c>
      <c r="AV98" s="21">
        <f>EXP(-LN(2)/25)*AV97+(1-EXP(-LN(2)/25))/(LN(2)/25)*Calculateur!AQ98*Calculateur!AS98*VLOOKUP('Données projet'!$B$10,Paramètres!$A$1:$I$89,3,0)*0.475*44/12</f>
        <v>9.5304186904383368</v>
      </c>
      <c r="AW98" s="21">
        <f>EXP(-LN(2)/2)*AW97+(1-EXP(-LN(2)/2))/(LN(2)/2)*AQ98*AT98*VLOOKUP('Données projet'!$B$10,Paramètres!$A$1:$I$89,3,0)*0.475*44/12</f>
        <v>1.4002028757413313E-10</v>
      </c>
      <c r="AX98" s="21">
        <f t="shared" si="60"/>
        <v>71.278461507866112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213.00000000000003</v>
      </c>
      <c r="BE98" s="13">
        <f>BD98*VLOOKUP('Données projet'!$B$11,Paramètres!$A$1:$I$89,3,0)*VLOOKUP('Données projet'!$B$11,Paramètres!$A$1:$I$89,5,0)</f>
        <v>169.46280000000002</v>
      </c>
      <c r="BF98" s="13">
        <f t="shared" si="91"/>
        <v>42.969686502194378</v>
      </c>
      <c r="BG98" s="20">
        <f t="shared" si="61"/>
        <v>369.98658065798855</v>
      </c>
      <c r="BH98" s="59">
        <f t="shared" si="62"/>
        <v>663.31991399132187</v>
      </c>
      <c r="BI98" s="59">
        <f ca="1">AVERAGE(OFFSET($BH$3,0,0,'Données projet'!$E$11+1,1))-AVERAGE(OFFSET($H$3,0,0,'Données projet'!$E$11+1,1))</f>
        <v>167.80254365106839</v>
      </c>
      <c r="BJ98" s="59">
        <f t="shared" si="92"/>
        <v>167.42302164950172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24.904763963940798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24.904763963940798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669.99999999999989</v>
      </c>
      <c r="BZ98" s="13">
        <f>BY98*VLOOKUP('Données projet'!$B$12,Paramètres!$A$1:$I$89,3,0)*VLOOKUP('Données projet'!$B$12,Paramètres!$A$1:$I$89,5,0)</f>
        <v>330.97999999999996</v>
      </c>
      <c r="CA98" s="13">
        <f t="shared" si="93"/>
        <v>77.633451096966454</v>
      </c>
      <c r="CB98" s="20">
        <f t="shared" si="64"/>
        <v>711.66842732721636</v>
      </c>
      <c r="CC98" s="59">
        <f t="shared" si="65"/>
        <v>1005.0017606605497</v>
      </c>
      <c r="CD98" s="59">
        <f ca="1">AVERAGE(OFFSET($CC$3,0,0,'Données projet'!$E$12+1,1))-AVERAGE(OFFSET($H$3,0,0,'Données projet'!$E$12+1,1))</f>
        <v>322.06606384496587</v>
      </c>
      <c r="CE98" s="59">
        <f t="shared" si="94"/>
        <v>267.71713177624713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86.437724016474192</v>
      </c>
      <c r="CL98" s="21">
        <f>EXP(-LN(2)/25)*CL97+(1-EXP(-LN(2)/25))/(LN(2)/25)*Calculateur!CG98*Calculateur!CI98*VLOOKUP('Données projet'!$B$12,Paramètres!$A$1:$I$89,3,0)*0.475*44/12</f>
        <v>3.3160011690766522</v>
      </c>
      <c r="CM98" s="21">
        <f>EXP(-LN(2)/2)*CM97+(1-EXP(-LN(2)/2))/(LN(2)/2)*CG98*CJ98*VLOOKUP('Données projet'!$B$12,Paramètres!$A$1:$I$89,3,0)*0.475*44/12</f>
        <v>6.5113738525900682E-10</v>
      </c>
      <c r="CN98" s="22">
        <f t="shared" si="66"/>
        <v>89.75372518620199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401</v>
      </c>
      <c r="CU98" s="17">
        <f>CT98*VLOOKUP('Données projet'!$B$13,Paramètres!$A$1:$I$89,3,0)*VLOOKUP('Données projet'!$B$13,Paramètres!$A$1:$I$89,5,0)</f>
        <v>250.22399999999999</v>
      </c>
      <c r="CV98" s="13">
        <f t="shared" si="95"/>
        <v>60.633904580527918</v>
      </c>
      <c r="CW98" s="20">
        <f t="shared" si="67"/>
        <v>541.41085047775289</v>
      </c>
      <c r="CX98" s="59">
        <f t="shared" si="68"/>
        <v>834.74418381108626</v>
      </c>
      <c r="CY98" s="59">
        <f ca="1">AVERAGE(OFFSET($CX$3,0,0,'Données projet'!$E$13+1,1))-AVERAGE(OFFSET($H$3,0,0,'Données projet'!$E$13+1,1))</f>
        <v>269.77739619445515</v>
      </c>
      <c r="CZ98" s="59">
        <f t="shared" si="96"/>
        <v>347.56964743629885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38.289175914709531</v>
      </c>
      <c r="DG98" s="21">
        <f>EXP(-LN(2)/25)*DG97+(1-EXP(-LN(2)/25))/(LN(2)/25)*Calculateur!DB98*Calculateur!DD98*VLOOKUP('Données projet'!$B$13,Paramètres!$A$1:$I$89,3,0)*0.475*44/12</f>
        <v>15.131818505578599</v>
      </c>
      <c r="DH98" s="21">
        <f>EXP(-LN(2)/2)*DH97+(1-EXP(-LN(2)/2))/(LN(2)/2)*DB98*DE98*VLOOKUP('Données projet'!$B$13,Paramètres!$A$1:$I$89,3,0)*0.475*44/12</f>
        <v>4.0892890908616468E-12</v>
      </c>
      <c r="DI98" s="22">
        <f t="shared" si="69"/>
        <v>53.420994420292224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669.99999999999989</v>
      </c>
      <c r="DP98" s="17">
        <f>DO98*VLOOKUP('Données projet'!$B$14,Paramètres!$A$1:$I$89,3,0)*VLOOKUP('Données projet'!$B$14,Paramètres!$A$1:$I$89,5,0)</f>
        <v>322.26999999999992</v>
      </c>
      <c r="DQ98" s="13">
        <f t="shared" si="97"/>
        <v>75.825476822885776</v>
      </c>
      <c r="DR98" s="20">
        <f t="shared" si="70"/>
        <v>693.34962213319261</v>
      </c>
      <c r="DS98" s="59">
        <f t="shared" si="71"/>
        <v>986.68295546652598</v>
      </c>
      <c r="DT98" s="59">
        <f ca="1">AVERAGE(OFFSET($DS$3,0,0,'Données projet'!$E$14+1,1))-AVERAGE(OFFSET($H$3,0,0,'Données projet'!$E$14+1,1))</f>
        <v>312.64506496298173</v>
      </c>
      <c r="DU98" s="59">
        <f t="shared" si="98"/>
        <v>259.97532509897508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84.163047068672213</v>
      </c>
      <c r="EB98" s="21">
        <f>EXP(-LN(2)/25)*EB97+(1-EXP(-LN(2)/25))/(LN(2)/25)*Calculateur!DW98*Calculateur!DY98*VLOOKUP('Données projet'!$B$14,Paramètres!$A$1:$I$89,3,0)*0.475*44/12</f>
        <v>3.2287379804167426</v>
      </c>
      <c r="EC98" s="21">
        <f>EXP(-LN(2)/2)*EC97+(1-EXP(-LN(2)/2))/(LN(2)/2)*DW98*DZ98*VLOOKUP('Données projet'!$B$14,Paramètres!$A$1:$I$89,3,0)*0.475*44/12</f>
        <v>6.3400219091008191E-10</v>
      </c>
      <c r="ED98" s="22">
        <f t="shared" si="72"/>
        <v>87.391785049722955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279</v>
      </c>
      <c r="EH98" s="12">
        <f>VLOOKUP(A98,'Données projet'!$A$191:$I$211,9,0)</f>
        <v>5</v>
      </c>
      <c r="EI98" s="12">
        <f t="array" ref="EI98">INDEX(EH:EH,MIN(IF(ISNUMBER(EH98:EH294),ROW(EH98:EH294),"")))</f>
        <v>5</v>
      </c>
      <c r="EJ98" s="12">
        <f>IF('Données projet'!$A$192&gt;35,EJ97+EI98-ER97,IF(A98&lt;'Données projet'!$A$192,$EG$205^A98,IF(A98='Données projet'!$A$192,'Données projet'!$B$192,EJ97+EI98-ER97)))</f>
        <v>278.99999999999983</v>
      </c>
      <c r="EK98" s="17">
        <f>EJ98*VLOOKUP('Données projet'!$B$15,Paramètres!$A$1:$I$89,3,0)*VLOOKUP('Données projet'!$B$15,Paramètres!$A$1:$I$89,5,0)</f>
        <v>252.43919999999983</v>
      </c>
      <c r="EL98" s="13">
        <f t="shared" si="99"/>
        <v>61.107963296116218</v>
      </c>
      <c r="EM98" s="20">
        <f t="shared" si="73"/>
        <v>546.09464274073537</v>
      </c>
      <c r="EN98" s="59">
        <f t="shared" si="74"/>
        <v>839.42797607406874</v>
      </c>
      <c r="EO98" s="59">
        <f ca="1">AVERAGE(OFFSET($EN$3,0,0,'Données projet'!$E$15+1,1))-AVERAGE(OFFSET($H$3,0,0,'Données projet'!$E$15+1,1))</f>
        <v>269.64423257646359</v>
      </c>
      <c r="EP98" s="59">
        <f t="shared" si="100"/>
        <v>161.0819079811821</v>
      </c>
      <c r="EQ98" s="15">
        <f>IF(ISNA(VLOOKUP(A98,'Données projet'!$A$191:$I$211,3,0)),0,VLOOKUP(A98,'Données projet'!$A$191:$I$211,3,0))</f>
        <v>15</v>
      </c>
      <c r="ER98" s="15">
        <f>IF(ISNA(VLOOKUP(A98,'Données projet'!$A$191:$I$211,4,0)),0,VLOOKUP(A98,'Données projet'!$A$191:$I$211,4,0))</f>
        <v>21</v>
      </c>
      <c r="ES98" s="16">
        <f>IF(ISNA(VLOOKUP(A98,'Données projet'!$A$191:$I$211,5,0)),0%,VLOOKUP(A98,'Données projet'!$A$191:$I$211,5,0)*VLOOKUP('Données projet'!$B$15,Paramètres!$A$1:$I$89,7,0))</f>
        <v>0.43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69.360130323560554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69.360130323560554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349.00000000000017</v>
      </c>
      <c r="FF98" s="17">
        <f>FE98*VLOOKUP('Données projet'!$B$16,Paramètres!$A$1:$I$89,3,0)*VLOOKUP('Données projet'!$B$16,Paramètres!$A$1:$I$89,5,0)</f>
        <v>272.22000000000014</v>
      </c>
      <c r="FG98" s="13">
        <f t="shared" si="101"/>
        <v>65.320184547527205</v>
      </c>
      <c r="FH98" s="20">
        <f t="shared" si="76"/>
        <v>587.88248808694345</v>
      </c>
      <c r="FI98" s="59">
        <f t="shared" si="77"/>
        <v>881.21582142027682</v>
      </c>
      <c r="FJ98" s="59">
        <f ca="1">AVERAGE(OFFSET($FI$3,0,0,'Données projet'!$E$16+1,1))-AVERAGE(OFFSET($H$3,0,0,'Données projet'!$E$16+1,1))</f>
        <v>283.77864672734273</v>
      </c>
      <c r="FK98" s="59">
        <f t="shared" si="102"/>
        <v>270.94620935643866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52.826638734121403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52.826638734121403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319</v>
      </c>
      <c r="GA98" s="17">
        <f>FZ98*VLOOKUP('Données projet'!$B$17,Paramètres!$A$1:$I$89,3,0)*VLOOKUP('Données projet'!$B$17,Paramètres!$A$1:$I$89,5,0)</f>
        <v>308.53680000000003</v>
      </c>
      <c r="GB98" s="13">
        <f t="shared" si="103"/>
        <v>72.963171684496103</v>
      </c>
      <c r="GC98" s="20">
        <f t="shared" si="79"/>
        <v>664.4457840171641</v>
      </c>
      <c r="GD98" s="59">
        <f t="shared" si="80"/>
        <v>957.77911735049747</v>
      </c>
      <c r="GE98" s="59">
        <f ca="1">AVERAGE(OFFSET($GD$3,0,0,'Données projet'!$E$17+1,1))-AVERAGE(OFFSET($H$3,0,0,'Données projet'!$E$17+1,1))</f>
        <v>347.54503437087288</v>
      </c>
      <c r="GF98" s="59">
        <f t="shared" si="104"/>
        <v>340.05673244455954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38.963100544726949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38.963100544726949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735.00000000000011</v>
      </c>
      <c r="O99" s="13">
        <f>N99*VLOOKUP('Données projet'!$B$9,Paramètres!$A$1:$I$89,3,0)*VLOOKUP('Données projet'!$B$9,Paramètres!$A$1:$I$89,5,0)</f>
        <v>343.98</v>
      </c>
      <c r="P99" s="13">
        <f t="shared" si="87"/>
        <v>80.321681832084693</v>
      </c>
      <c r="Q99" s="20">
        <f t="shared" ref="Q99:Q130" si="107">(O99+P99)*0.475*44/12</f>
        <v>738.9920958575475</v>
      </c>
      <c r="R99" s="59">
        <f t="shared" si="55"/>
        <v>1032.3254291908809</v>
      </c>
      <c r="S99" s="59">
        <f ca="1">AVERAGE(OFFSET($R$3,0,0,'Données projet'!$E$9+1,1))-AVERAGE(OFFSET($H$3,0,0,'Données projet'!$E$9+1,1))</f>
        <v>342.49944586217674</v>
      </c>
      <c r="T99" s="59">
        <f t="shared" si="88"/>
        <v>282.29766600872563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85.913220356949225</v>
      </c>
      <c r="AA99" s="21">
        <f>EXP(-LN(2)/25)*AA98+(1-EXP(-LN(2)/25))/(LN(2)/25)*Calculateur!V99*Calculateur!X99*VLOOKUP('Données projet'!$B$9,Paramètres!$A$1:$I$89,3,0)*0.475*44/12</f>
        <v>6.4300500587231992</v>
      </c>
      <c r="AB99" s="21">
        <f>EXP(-LN(2)/2)*AB98+(1-EXP(-LN(2)/2))/(LN(2)/2)*V99*Y99*VLOOKUP('Données projet'!$B$9,Paramètres!$A$1:$I$89,3,0)*0.475*44/12</f>
        <v>9.6385468212681494E-12</v>
      </c>
      <c r="AC99" s="22">
        <f t="shared" si="57"/>
        <v>92.343270415682056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739.99999999999966</v>
      </c>
      <c r="AJ99" s="13">
        <f>AI99*VLOOKUP('Données projet'!$B$10,Paramètres!$A$1:$I$89,3,0)*VLOOKUP('Données projet'!$B$10,Paramètres!$A$1:$I$89,5,0)</f>
        <v>413.65999999999985</v>
      </c>
      <c r="AK99" s="13">
        <f t="shared" si="89"/>
        <v>94.540585122244352</v>
      </c>
      <c r="AL99" s="20">
        <f t="shared" si="58"/>
        <v>885.11601908790863</v>
      </c>
      <c r="AM99" s="59">
        <f t="shared" si="59"/>
        <v>1178.4493524212419</v>
      </c>
      <c r="AN99" s="59">
        <f ca="1">AVERAGE(OFFSET($AM$3,0,0,'Données projet'!$E$10+1,1))-AVERAGE(OFFSET($H$3,0,0,'Données projet'!$E$10+1,1))</f>
        <v>490.96084572840579</v>
      </c>
      <c r="AO99" s="59">
        <f t="shared" si="90"/>
        <v>597.91658789908263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60.537201360227989</v>
      </c>
      <c r="AV99" s="21">
        <f>EXP(-LN(2)/25)*AV98+(1-EXP(-LN(2)/25))/(LN(2)/25)*Calculateur!AQ99*Calculateur!AS99*VLOOKUP('Données projet'!$B$10,Paramètres!$A$1:$I$89,3,0)*0.475*44/12</f>
        <v>9.269808890165363</v>
      </c>
      <c r="AW99" s="21">
        <f>EXP(-LN(2)/2)*AW98+(1-EXP(-LN(2)/2))/(LN(2)/2)*AQ99*AT99*VLOOKUP('Données projet'!$B$10,Paramètres!$A$1:$I$89,3,0)*0.475*44/12</f>
        <v>9.9009294847360015E-11</v>
      </c>
      <c r="AX99" s="21">
        <f t="shared" si="60"/>
        <v>69.807010250492354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213.00000000000003</v>
      </c>
      <c r="BE99" s="13">
        <f>BD99*VLOOKUP('Données projet'!$B$11,Paramètres!$A$1:$I$89,3,0)*VLOOKUP('Données projet'!$B$11,Paramètres!$A$1:$I$89,5,0)</f>
        <v>169.46280000000002</v>
      </c>
      <c r="BF99" s="13">
        <f t="shared" si="91"/>
        <v>42.969686502194378</v>
      </c>
      <c r="BG99" s="20">
        <f t="shared" si="61"/>
        <v>369.98658065798855</v>
      </c>
      <c r="BH99" s="59">
        <f t="shared" si="62"/>
        <v>663.31991399132187</v>
      </c>
      <c r="BI99" s="59">
        <f ca="1">AVERAGE(OFFSET($BH$3,0,0,'Données projet'!$E$11+1,1))-AVERAGE(OFFSET($H$3,0,0,'Données projet'!$E$11+1,1))</f>
        <v>167.80254365106839</v>
      </c>
      <c r="BJ99" s="59">
        <f t="shared" si="92"/>
        <v>167.42302164950172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24.416396733014007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24.416396733014007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669.99999999999989</v>
      </c>
      <c r="BZ99" s="13">
        <f>BY99*VLOOKUP('Données projet'!$B$12,Paramètres!$A$1:$I$89,3,0)*VLOOKUP('Données projet'!$B$12,Paramètres!$A$1:$I$89,5,0)</f>
        <v>330.97999999999996</v>
      </c>
      <c r="CA99" s="13">
        <f t="shared" si="93"/>
        <v>77.633451096966454</v>
      </c>
      <c r="CB99" s="20">
        <f t="shared" si="64"/>
        <v>711.66842732721636</v>
      </c>
      <c r="CC99" s="59">
        <f t="shared" si="65"/>
        <v>1005.0017606605497</v>
      </c>
      <c r="CD99" s="59">
        <f ca="1">AVERAGE(OFFSET($CC$3,0,0,'Données projet'!$E$12+1,1))-AVERAGE(OFFSET($H$3,0,0,'Données projet'!$E$12+1,1))</f>
        <v>322.06606384496587</v>
      </c>
      <c r="CE99" s="59">
        <f t="shared" si="94"/>
        <v>267.71713177624713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84.742732970316936</v>
      </c>
      <c r="CL99" s="21">
        <f>EXP(-LN(2)/25)*CL98+(1-EXP(-LN(2)/25))/(LN(2)/25)*Calculateur!CG99*Calculateur!CI99*VLOOKUP('Données projet'!$B$12,Paramètres!$A$1:$I$89,3,0)*0.475*44/12</f>
        <v>3.2253249427273283</v>
      </c>
      <c r="CM99" s="21">
        <f>EXP(-LN(2)/2)*CM98+(1-EXP(-LN(2)/2))/(LN(2)/2)*CG99*CJ99*VLOOKUP('Données projet'!$B$12,Paramètres!$A$1:$I$89,3,0)*0.475*44/12</f>
        <v>4.6042366060072127E-10</v>
      </c>
      <c r="CN99" s="22">
        <f t="shared" si="66"/>
        <v>87.96805791350468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401</v>
      </c>
      <c r="CU99" s="17">
        <f>CT99*VLOOKUP('Données projet'!$B$13,Paramètres!$A$1:$I$89,3,0)*VLOOKUP('Données projet'!$B$13,Paramètres!$A$1:$I$89,5,0)</f>
        <v>250.22399999999999</v>
      </c>
      <c r="CV99" s="13">
        <f t="shared" si="95"/>
        <v>60.633904580527918</v>
      </c>
      <c r="CW99" s="20">
        <f t="shared" si="67"/>
        <v>541.41085047775289</v>
      </c>
      <c r="CX99" s="59">
        <f t="shared" si="68"/>
        <v>834.74418381108626</v>
      </c>
      <c r="CY99" s="59">
        <f ca="1">AVERAGE(OFFSET($CX$3,0,0,'Données projet'!$E$13+1,1))-AVERAGE(OFFSET($H$3,0,0,'Données projet'!$E$13+1,1))</f>
        <v>269.77739619445515</v>
      </c>
      <c r="CZ99" s="59">
        <f t="shared" si="96"/>
        <v>347.56964743629885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37.538348529113364</v>
      </c>
      <c r="DG99" s="21">
        <f>EXP(-LN(2)/25)*DG98+(1-EXP(-LN(2)/25))/(LN(2)/25)*Calculateur!DB99*Calculateur!DD99*VLOOKUP('Données projet'!$B$13,Paramètres!$A$1:$I$89,3,0)*0.475*44/12</f>
        <v>14.718038132795801</v>
      </c>
      <c r="DH99" s="21">
        <f>EXP(-LN(2)/2)*DH98+(1-EXP(-LN(2)/2))/(LN(2)/2)*DB99*DE99*VLOOKUP('Données projet'!$B$13,Paramètres!$A$1:$I$89,3,0)*0.475*44/12</f>
        <v>2.8915640463804424E-12</v>
      </c>
      <c r="DI99" s="22">
        <f t="shared" si="69"/>
        <v>52.256386661912053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669.99999999999989</v>
      </c>
      <c r="DP99" s="17">
        <f>DO99*VLOOKUP('Données projet'!$B$14,Paramètres!$A$1:$I$89,3,0)*VLOOKUP('Données projet'!$B$14,Paramètres!$A$1:$I$89,5,0)</f>
        <v>322.26999999999992</v>
      </c>
      <c r="DQ99" s="13">
        <f t="shared" si="97"/>
        <v>75.825476822885776</v>
      </c>
      <c r="DR99" s="20">
        <f t="shared" si="70"/>
        <v>693.34962213319261</v>
      </c>
      <c r="DS99" s="59">
        <f t="shared" si="71"/>
        <v>986.68295546652598</v>
      </c>
      <c r="DT99" s="59">
        <f ca="1">AVERAGE(OFFSET($DS$3,0,0,'Données projet'!$E$14+1,1))-AVERAGE(OFFSET($H$3,0,0,'Données projet'!$E$14+1,1))</f>
        <v>312.64506496298173</v>
      </c>
      <c r="DU99" s="59">
        <f t="shared" si="98"/>
        <v>259.97532509897508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82.512661050045409</v>
      </c>
      <c r="EB99" s="21">
        <f>EXP(-LN(2)/25)*EB98+(1-EXP(-LN(2)/25))/(LN(2)/25)*Calculateur!DW99*Calculateur!DY99*VLOOKUP('Données projet'!$B$14,Paramètres!$A$1:$I$89,3,0)*0.475*44/12</f>
        <v>3.1404479705502957</v>
      </c>
      <c r="EC99" s="21">
        <f>EXP(-LN(2)/2)*EC98+(1-EXP(-LN(2)/2))/(LN(2)/2)*DW99*DZ99*VLOOKUP('Données projet'!$B$14,Paramètres!$A$1:$I$89,3,0)*0.475*44/12</f>
        <v>4.4830724847964703E-10</v>
      </c>
      <c r="ED99" s="22">
        <f t="shared" si="72"/>
        <v>85.653109021044017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4.8</v>
      </c>
      <c r="EJ99" s="12">
        <f>IF('Données projet'!$A$192&gt;35,EJ98+EI99-ER98,IF(A99&lt;'Données projet'!$A$192,$EG$205^A99,IF(A99='Données projet'!$A$192,'Données projet'!$B$192,EJ98+EI99-ER98)))</f>
        <v>262.79999999999984</v>
      </c>
      <c r="EK99" s="17">
        <f>EJ99*VLOOKUP('Données projet'!$B$15,Paramètres!$A$1:$I$89,3,0)*VLOOKUP('Données projet'!$B$15,Paramètres!$A$1:$I$89,5,0)</f>
        <v>237.78143999999983</v>
      </c>
      <c r="EL99" s="13">
        <f t="shared" si="99"/>
        <v>57.9619387969109</v>
      </c>
      <c r="EM99" s="20">
        <f t="shared" si="73"/>
        <v>515.08638473795281</v>
      </c>
      <c r="EN99" s="59">
        <f t="shared" si="74"/>
        <v>808.41971807128607</v>
      </c>
      <c r="EO99" s="59">
        <f ca="1">AVERAGE(OFFSET($EN$3,0,0,'Données projet'!$E$15+1,1))-AVERAGE(OFFSET($H$3,0,0,'Données projet'!$E$15+1,1))</f>
        <v>269.64423257646359</v>
      </c>
      <c r="EP99" s="59">
        <f t="shared" si="100"/>
        <v>161.0819079811821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68.000020473417706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68.000020473417706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349.00000000000017</v>
      </c>
      <c r="FF99" s="17">
        <f>FE99*VLOOKUP('Données projet'!$B$16,Paramètres!$A$1:$I$89,3,0)*VLOOKUP('Données projet'!$B$16,Paramètres!$A$1:$I$89,5,0)</f>
        <v>272.22000000000014</v>
      </c>
      <c r="FG99" s="13">
        <f t="shared" si="101"/>
        <v>65.320184547527205</v>
      </c>
      <c r="FH99" s="20">
        <f t="shared" si="76"/>
        <v>587.88248808694345</v>
      </c>
      <c r="FI99" s="59">
        <f t="shared" si="77"/>
        <v>881.21582142027682</v>
      </c>
      <c r="FJ99" s="59">
        <f ca="1">AVERAGE(OFFSET($FI$3,0,0,'Données projet'!$E$16+1,1))-AVERAGE(OFFSET($H$3,0,0,'Données projet'!$E$16+1,1))</f>
        <v>283.77864672734273</v>
      </c>
      <c r="FK99" s="59">
        <f t="shared" si="102"/>
        <v>270.94620935643866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51.790740569613341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51.790740569613341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319</v>
      </c>
      <c r="GA99" s="17">
        <f>FZ99*VLOOKUP('Données projet'!$B$17,Paramètres!$A$1:$I$89,3,0)*VLOOKUP('Données projet'!$B$17,Paramètres!$A$1:$I$89,5,0)</f>
        <v>308.53680000000003</v>
      </c>
      <c r="GB99" s="13">
        <f t="shared" si="103"/>
        <v>72.963171684496103</v>
      </c>
      <c r="GC99" s="20">
        <f t="shared" si="79"/>
        <v>664.4457840171641</v>
      </c>
      <c r="GD99" s="59">
        <f t="shared" si="80"/>
        <v>957.77911735049747</v>
      </c>
      <c r="GE99" s="59">
        <f ca="1">AVERAGE(OFFSET($GD$3,0,0,'Données projet'!$E$17+1,1))-AVERAGE(OFFSET($H$3,0,0,'Données projet'!$E$17+1,1))</f>
        <v>347.54503437087288</v>
      </c>
      <c r="GF99" s="59">
        <f t="shared" si="104"/>
        <v>340.05673244455954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38.199057908189573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38.199057908189573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735.00000000000011</v>
      </c>
      <c r="O100" s="13">
        <f>N100*VLOOKUP('Données projet'!$B$9,Paramètres!$A$1:$I$89,3,0)*VLOOKUP('Données projet'!$B$9,Paramètres!$A$1:$I$89,5,0)</f>
        <v>343.98</v>
      </c>
      <c r="P100" s="13">
        <f t="shared" si="87"/>
        <v>80.321681832084693</v>
      </c>
      <c r="Q100" s="20">
        <f t="shared" si="107"/>
        <v>738.9920958575475</v>
      </c>
      <c r="R100" s="59">
        <f t="shared" si="55"/>
        <v>1032.3254291908809</v>
      </c>
      <c r="S100" s="59">
        <f ca="1">AVERAGE(OFFSET($R$3,0,0,'Données projet'!$E$9+1,1))-AVERAGE(OFFSET($H$3,0,0,'Données projet'!$E$9+1,1))</f>
        <v>342.49944586217674</v>
      </c>
      <c r="T100" s="59">
        <f t="shared" si="88"/>
        <v>282.29766600872563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84.228514507639616</v>
      </c>
      <c r="AA100" s="21">
        <f>EXP(-LN(2)/25)*AA99+(1-EXP(-LN(2)/25))/(LN(2)/25)*Calculateur!V100*Calculateur!X100*VLOOKUP('Données projet'!$B$9,Paramètres!$A$1:$I$89,3,0)*0.475*44/12</f>
        <v>6.254220001725777</v>
      </c>
      <c r="AB100" s="21">
        <f>EXP(-LN(2)/2)*AB99+(1-EXP(-LN(2)/2))/(LN(2)/2)*V100*Y100*VLOOKUP('Données projet'!$B$9,Paramètres!$A$1:$I$89,3,0)*0.475*44/12</f>
        <v>6.8154818181027506E-12</v>
      </c>
      <c r="AC100" s="22">
        <f t="shared" si="57"/>
        <v>90.482734509372222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739.99999999999966</v>
      </c>
      <c r="AJ100" s="13">
        <f>AI100*VLOOKUP('Données projet'!$B$10,Paramètres!$A$1:$I$89,3,0)*VLOOKUP('Données projet'!$B$10,Paramètres!$A$1:$I$89,5,0)</f>
        <v>413.65999999999985</v>
      </c>
      <c r="AK100" s="13">
        <f t="shared" si="89"/>
        <v>94.540585122244352</v>
      </c>
      <c r="AL100" s="20">
        <f t="shared" si="58"/>
        <v>885.11601908790863</v>
      </c>
      <c r="AM100" s="59">
        <f t="shared" si="59"/>
        <v>1178.4493524212419</v>
      </c>
      <c r="AN100" s="59">
        <f ca="1">AVERAGE(OFFSET($AM$3,0,0,'Données projet'!$E$10+1,1))-AVERAGE(OFFSET($H$3,0,0,'Données projet'!$E$10+1,1))</f>
        <v>490.96084572840579</v>
      </c>
      <c r="AO100" s="59">
        <f t="shared" si="90"/>
        <v>597.91658789908263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59.350103765600799</v>
      </c>
      <c r="AV100" s="21">
        <f>EXP(-LN(2)/25)*AV99+(1-EXP(-LN(2)/25))/(LN(2)/25)*Calculateur!AQ100*Calculateur!AS100*VLOOKUP('Données projet'!$B$10,Paramètres!$A$1:$I$89,3,0)*0.475*44/12</f>
        <v>9.0163254785857276</v>
      </c>
      <c r="AW100" s="21">
        <f>EXP(-LN(2)/2)*AW99+(1-EXP(-LN(2)/2))/(LN(2)/2)*AQ100*AT100*VLOOKUP('Données projet'!$B$10,Paramètres!$A$1:$I$89,3,0)*0.475*44/12</f>
        <v>7.0010143787066564E-11</v>
      </c>
      <c r="AX100" s="21">
        <f t="shared" si="60"/>
        <v>68.366429244256537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213.00000000000003</v>
      </c>
      <c r="BE100" s="13">
        <f>BD100*VLOOKUP('Données projet'!$B$11,Paramètres!$A$1:$I$89,3,0)*VLOOKUP('Données projet'!$B$11,Paramètres!$A$1:$I$89,5,0)</f>
        <v>169.46280000000002</v>
      </c>
      <c r="BF100" s="13">
        <f t="shared" si="91"/>
        <v>42.969686502194378</v>
      </c>
      <c r="BG100" s="20">
        <f t="shared" si="61"/>
        <v>369.98658065798855</v>
      </c>
      <c r="BH100" s="59">
        <f t="shared" si="62"/>
        <v>663.31991399132187</v>
      </c>
      <c r="BI100" s="59">
        <f ca="1">AVERAGE(OFFSET($BH$3,0,0,'Données projet'!$E$11+1,1))-AVERAGE(OFFSET($H$3,0,0,'Données projet'!$E$11+1,1))</f>
        <v>167.80254365106839</v>
      </c>
      <c r="BJ100" s="59">
        <f t="shared" si="92"/>
        <v>167.42302164950172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23.937606085611094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23.937606085611094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669.99999999999989</v>
      </c>
      <c r="BZ100" s="13">
        <f>BY100*VLOOKUP('Données projet'!$B$12,Paramètres!$A$1:$I$89,3,0)*VLOOKUP('Données projet'!$B$12,Paramètres!$A$1:$I$89,5,0)</f>
        <v>330.97999999999996</v>
      </c>
      <c r="CA100" s="13">
        <f t="shared" si="93"/>
        <v>77.633451096966454</v>
      </c>
      <c r="CB100" s="20">
        <f t="shared" si="64"/>
        <v>711.66842732721636</v>
      </c>
      <c r="CC100" s="59">
        <f t="shared" si="65"/>
        <v>1005.0017606605497</v>
      </c>
      <c r="CD100" s="59">
        <f ca="1">AVERAGE(OFFSET($CC$3,0,0,'Données projet'!$E$12+1,1))-AVERAGE(OFFSET($H$3,0,0,'Données projet'!$E$12+1,1))</f>
        <v>322.06606384496587</v>
      </c>
      <c r="CE100" s="59">
        <f t="shared" si="94"/>
        <v>267.71713177624713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83.080979664732368</v>
      </c>
      <c r="CL100" s="21">
        <f>EXP(-LN(2)/25)*CL99+(1-EXP(-LN(2)/25))/(LN(2)/25)*Calculateur!CG100*Calculateur!CI100*VLOOKUP('Données projet'!$B$12,Paramètres!$A$1:$I$89,3,0)*0.475*44/12</f>
        <v>3.1371282625559824</v>
      </c>
      <c r="CM100" s="21">
        <f>EXP(-LN(2)/2)*CM99+(1-EXP(-LN(2)/2))/(LN(2)/2)*CG100*CJ100*VLOOKUP('Données projet'!$B$12,Paramètres!$A$1:$I$89,3,0)*0.475*44/12</f>
        <v>3.2556869262950346E-10</v>
      </c>
      <c r="CN100" s="22">
        <f t="shared" si="66"/>
        <v>86.218107927613914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401</v>
      </c>
      <c r="CU100" s="17">
        <f>CT100*VLOOKUP('Données projet'!$B$13,Paramètres!$A$1:$I$89,3,0)*VLOOKUP('Données projet'!$B$13,Paramètres!$A$1:$I$89,5,0)</f>
        <v>250.22399999999999</v>
      </c>
      <c r="CV100" s="13">
        <f t="shared" si="95"/>
        <v>60.633904580527918</v>
      </c>
      <c r="CW100" s="20">
        <f t="shared" si="67"/>
        <v>541.41085047775289</v>
      </c>
      <c r="CX100" s="59">
        <f t="shared" si="68"/>
        <v>834.74418381108626</v>
      </c>
      <c r="CY100" s="59">
        <f ca="1">AVERAGE(OFFSET($CX$3,0,0,'Données projet'!$E$13+1,1))-AVERAGE(OFFSET($H$3,0,0,'Données projet'!$E$13+1,1))</f>
        <v>269.77739619445515</v>
      </c>
      <c r="CZ100" s="59">
        <f t="shared" si="96"/>
        <v>347.56964743629885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36.802244410589246</v>
      </c>
      <c r="DG100" s="21">
        <f>EXP(-LN(2)/25)*DG99+(1-EXP(-LN(2)/25))/(LN(2)/25)*Calculateur!DB100*Calculateur!DD100*VLOOKUP('Données projet'!$B$13,Paramètres!$A$1:$I$89,3,0)*0.475*44/12</f>
        <v>14.315572606066512</v>
      </c>
      <c r="DH100" s="21">
        <f>EXP(-LN(2)/2)*DH99+(1-EXP(-LN(2)/2))/(LN(2)/2)*DB100*DE100*VLOOKUP('Données projet'!$B$13,Paramètres!$A$1:$I$89,3,0)*0.475*44/12</f>
        <v>2.0446445454308234E-12</v>
      </c>
      <c r="DI100" s="22">
        <f t="shared" si="69"/>
        <v>51.117817016657803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669.99999999999989</v>
      </c>
      <c r="DP100" s="17">
        <f>DO100*VLOOKUP('Données projet'!$B$14,Paramètres!$A$1:$I$89,3,0)*VLOOKUP('Données projet'!$B$14,Paramètres!$A$1:$I$89,5,0)</f>
        <v>322.26999999999992</v>
      </c>
      <c r="DQ100" s="13">
        <f t="shared" si="97"/>
        <v>75.825476822885776</v>
      </c>
      <c r="DR100" s="20">
        <f t="shared" si="70"/>
        <v>693.34962213319261</v>
      </c>
      <c r="DS100" s="59">
        <f t="shared" si="71"/>
        <v>986.68295546652598</v>
      </c>
      <c r="DT100" s="59">
        <f ca="1">AVERAGE(OFFSET($DS$3,0,0,'Données projet'!$E$14+1,1))-AVERAGE(OFFSET($H$3,0,0,'Données projet'!$E$14+1,1))</f>
        <v>312.64506496298173</v>
      </c>
      <c r="DU100" s="59">
        <f t="shared" si="98"/>
        <v>259.97532509897508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80.894638094607799</v>
      </c>
      <c r="EB100" s="21">
        <f>EXP(-LN(2)/25)*EB99+(1-EXP(-LN(2)/25))/(LN(2)/25)*Calculateur!DW100*Calculateur!DY100*VLOOKUP('Données projet'!$B$14,Paramètres!$A$1:$I$89,3,0)*0.475*44/12</f>
        <v>3.0545722556466166</v>
      </c>
      <c r="EC100" s="21">
        <f>EXP(-LN(2)/2)*EC99+(1-EXP(-LN(2)/2))/(LN(2)/2)*DW100*DZ100*VLOOKUP('Données projet'!$B$14,Paramètres!$A$1:$I$89,3,0)*0.475*44/12</f>
        <v>3.1700109545504096E-10</v>
      </c>
      <c r="ED100" s="22">
        <f t="shared" si="72"/>
        <v>83.94921035057142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4.8</v>
      </c>
      <c r="EJ100" s="12">
        <f>IF('Données projet'!$A$192&gt;35,EJ99+EI100-ER99,IF(A100&lt;'Données projet'!$A$192,$EG$205^A100,IF(A100='Données projet'!$A$192,'Données projet'!$B$192,EJ99+EI100-ER99)))</f>
        <v>267.59999999999985</v>
      </c>
      <c r="EK100" s="17">
        <f>EJ100*VLOOKUP('Données projet'!$B$15,Paramètres!$A$1:$I$89,3,0)*VLOOKUP('Données projet'!$B$15,Paramètres!$A$1:$I$89,5,0)</f>
        <v>242.12447999999986</v>
      </c>
      <c r="EL100" s="13">
        <f t="shared" si="99"/>
        <v>58.896387987806008</v>
      </c>
      <c r="EM100" s="20">
        <f t="shared" si="73"/>
        <v>524.27801174542856</v>
      </c>
      <c r="EN100" s="59">
        <f t="shared" si="74"/>
        <v>817.61134507876181</v>
      </c>
      <c r="EO100" s="59">
        <f ca="1">AVERAGE(OFFSET($EN$3,0,0,'Données projet'!$E$15+1,1))-AVERAGE(OFFSET($H$3,0,0,'Données projet'!$E$15+1,1))</f>
        <v>269.64423257646359</v>
      </c>
      <c r="EP100" s="59">
        <f t="shared" si="100"/>
        <v>161.0819079811821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66.666581547851067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66.666581547851067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349.00000000000017</v>
      </c>
      <c r="FF100" s="17">
        <f>FE100*VLOOKUP('Données projet'!$B$16,Paramètres!$A$1:$I$89,3,0)*VLOOKUP('Données projet'!$B$16,Paramètres!$A$1:$I$89,5,0)</f>
        <v>272.22000000000014</v>
      </c>
      <c r="FG100" s="13">
        <f t="shared" si="101"/>
        <v>65.320184547527205</v>
      </c>
      <c r="FH100" s="20">
        <f t="shared" si="76"/>
        <v>587.88248808694345</v>
      </c>
      <c r="FI100" s="59">
        <f t="shared" si="77"/>
        <v>881.21582142027682</v>
      </c>
      <c r="FJ100" s="59">
        <f ca="1">AVERAGE(OFFSET($FI$3,0,0,'Données projet'!$E$16+1,1))-AVERAGE(OFFSET($H$3,0,0,'Données projet'!$E$16+1,1))</f>
        <v>283.77864672734273</v>
      </c>
      <c r="FK100" s="59">
        <f t="shared" si="102"/>
        <v>270.94620935643866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50.775155736275792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50.775155736275792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319</v>
      </c>
      <c r="GA100" s="17">
        <f>FZ100*VLOOKUP('Données projet'!$B$17,Paramètres!$A$1:$I$89,3,0)*VLOOKUP('Données projet'!$B$17,Paramètres!$A$1:$I$89,5,0)</f>
        <v>308.53680000000003</v>
      </c>
      <c r="GB100" s="13">
        <f t="shared" si="103"/>
        <v>72.963171684496103</v>
      </c>
      <c r="GC100" s="20">
        <f t="shared" si="79"/>
        <v>664.4457840171641</v>
      </c>
      <c r="GD100" s="59">
        <f t="shared" si="80"/>
        <v>957.77911735049747</v>
      </c>
      <c r="GE100" s="59">
        <f ca="1">AVERAGE(OFFSET($GD$3,0,0,'Données projet'!$E$17+1,1))-AVERAGE(OFFSET($H$3,0,0,'Données projet'!$E$17+1,1))</f>
        <v>347.54503437087288</v>
      </c>
      <c r="GF100" s="59">
        <f t="shared" si="104"/>
        <v>340.05673244455954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37.4499976817347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37.4499976817347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735.00000000000011</v>
      </c>
      <c r="O101" s="13">
        <f>N101*VLOOKUP('Données projet'!$B$9,Paramètres!$A$1:$I$89,3,0)*VLOOKUP('Données projet'!$B$9,Paramètres!$A$1:$I$89,5,0)</f>
        <v>343.98</v>
      </c>
      <c r="P101" s="13">
        <f t="shared" si="87"/>
        <v>80.321681832084693</v>
      </c>
      <c r="Q101" s="20">
        <f t="shared" si="107"/>
        <v>738.9920958575475</v>
      </c>
      <c r="R101" s="59">
        <f t="shared" si="55"/>
        <v>1032.3254291908809</v>
      </c>
      <c r="S101" s="59">
        <f ca="1">AVERAGE(OFFSET($R$3,0,0,'Données projet'!$E$9+1,1))-AVERAGE(OFFSET($H$3,0,0,'Données projet'!$E$9+1,1))</f>
        <v>342.49944586217674</v>
      </c>
      <c r="T101" s="59">
        <f t="shared" si="88"/>
        <v>282.29766600872563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82.576844712465856</v>
      </c>
      <c r="AA101" s="21">
        <f>EXP(-LN(2)/25)*AA100+(1-EXP(-LN(2)/25))/(LN(2)/25)*Calculateur!V101*Calculateur!X101*VLOOKUP('Données projet'!$B$9,Paramètres!$A$1:$I$89,3,0)*0.475*44/12</f>
        <v>6.0831980268834496</v>
      </c>
      <c r="AB101" s="21">
        <f>EXP(-LN(2)/2)*AB100+(1-EXP(-LN(2)/2))/(LN(2)/2)*V101*Y101*VLOOKUP('Données projet'!$B$9,Paramètres!$A$1:$I$89,3,0)*0.475*44/12</f>
        <v>4.8192734106340747E-12</v>
      </c>
      <c r="AC101" s="22">
        <f t="shared" si="57"/>
        <v>88.660042739354125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739.99999999999966</v>
      </c>
      <c r="AJ101" s="13">
        <f>AI101*VLOOKUP('Données projet'!$B$10,Paramètres!$A$1:$I$89,3,0)*VLOOKUP('Données projet'!$B$10,Paramètres!$A$1:$I$89,5,0)</f>
        <v>413.65999999999985</v>
      </c>
      <c r="AK101" s="13">
        <f t="shared" si="89"/>
        <v>94.540585122244352</v>
      </c>
      <c r="AL101" s="20">
        <f t="shared" si="58"/>
        <v>885.11601908790863</v>
      </c>
      <c r="AM101" s="59">
        <f t="shared" si="59"/>
        <v>1178.4493524212419</v>
      </c>
      <c r="AN101" s="59">
        <f ca="1">AVERAGE(OFFSET($AM$3,0,0,'Données projet'!$E$10+1,1))-AVERAGE(OFFSET($H$3,0,0,'Données projet'!$E$10+1,1))</f>
        <v>490.96084572840579</v>
      </c>
      <c r="AO101" s="59">
        <f t="shared" si="90"/>
        <v>597.91658789908263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58.186284430746213</v>
      </c>
      <c r="AV101" s="21">
        <f>EXP(-LN(2)/25)*AV100+(1-EXP(-LN(2)/25))/(LN(2)/25)*Calculateur!AQ101*Calculateur!AS101*VLOOKUP('Données projet'!$B$10,Paramètres!$A$1:$I$89,3,0)*0.475*44/12</f>
        <v>8.7697735842258506</v>
      </c>
      <c r="AW101" s="21">
        <f>EXP(-LN(2)/2)*AW100+(1-EXP(-LN(2)/2))/(LN(2)/2)*AQ101*AT101*VLOOKUP('Données projet'!$B$10,Paramètres!$A$1:$I$89,3,0)*0.475*44/12</f>
        <v>4.9504647423680008E-11</v>
      </c>
      <c r="AX101" s="21">
        <f t="shared" si="60"/>
        <v>66.956058015021569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213.00000000000003</v>
      </c>
      <c r="BE101" s="13">
        <f>BD101*VLOOKUP('Données projet'!$B$11,Paramètres!$A$1:$I$89,3,0)*VLOOKUP('Données projet'!$B$11,Paramètres!$A$1:$I$89,5,0)</f>
        <v>169.46280000000002</v>
      </c>
      <c r="BF101" s="13">
        <f t="shared" si="91"/>
        <v>42.969686502194378</v>
      </c>
      <c r="BG101" s="20">
        <f t="shared" si="61"/>
        <v>369.98658065798855</v>
      </c>
      <c r="BH101" s="59">
        <f t="shared" si="62"/>
        <v>663.31991399132187</v>
      </c>
      <c r="BI101" s="59">
        <f ca="1">AVERAGE(OFFSET($BH$3,0,0,'Données projet'!$E$11+1,1))-AVERAGE(OFFSET($H$3,0,0,'Données projet'!$E$11+1,1))</f>
        <v>167.80254365106839</v>
      </c>
      <c r="BJ101" s="59">
        <f t="shared" si="92"/>
        <v>167.42302164950172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23.468204230770294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23.468204230770294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669.99999999999989</v>
      </c>
      <c r="BZ101" s="13">
        <f>BY101*VLOOKUP('Données projet'!$B$12,Paramètres!$A$1:$I$89,3,0)*VLOOKUP('Données projet'!$B$12,Paramètres!$A$1:$I$89,5,0)</f>
        <v>330.97999999999996</v>
      </c>
      <c r="CA101" s="13">
        <f t="shared" si="93"/>
        <v>77.633451096966454</v>
      </c>
      <c r="CB101" s="20">
        <f t="shared" si="64"/>
        <v>711.66842732721636</v>
      </c>
      <c r="CC101" s="59">
        <f t="shared" si="65"/>
        <v>1005.0017606605497</v>
      </c>
      <c r="CD101" s="59">
        <f ca="1">AVERAGE(OFFSET($CC$3,0,0,'Données projet'!$E$12+1,1))-AVERAGE(OFFSET($H$3,0,0,'Données projet'!$E$12+1,1))</f>
        <v>322.06606384496587</v>
      </c>
      <c r="CE101" s="59">
        <f t="shared" si="94"/>
        <v>267.71713177624713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81.451812327900882</v>
      </c>
      <c r="CL101" s="21">
        <f>EXP(-LN(2)/25)*CL100+(1-EXP(-LN(2)/25))/(LN(2)/25)*Calculateur!CG101*Calculateur!CI101*VLOOKUP('Données projet'!$B$12,Paramètres!$A$1:$I$89,3,0)*0.475*44/12</f>
        <v>3.0513433252419837</v>
      </c>
      <c r="CM101" s="21">
        <f>EXP(-LN(2)/2)*CM100+(1-EXP(-LN(2)/2))/(LN(2)/2)*CG101*CJ101*VLOOKUP('Données projet'!$B$12,Paramètres!$A$1:$I$89,3,0)*0.475*44/12</f>
        <v>2.3021183030036066E-10</v>
      </c>
      <c r="CN101" s="22">
        <f t="shared" si="66"/>
        <v>84.503155653373085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401</v>
      </c>
      <c r="CU101" s="17">
        <f>CT101*VLOOKUP('Données projet'!$B$13,Paramètres!$A$1:$I$89,3,0)*VLOOKUP('Données projet'!$B$13,Paramètres!$A$1:$I$89,5,0)</f>
        <v>250.22399999999999</v>
      </c>
      <c r="CV101" s="13">
        <f t="shared" si="95"/>
        <v>60.633904580527918</v>
      </c>
      <c r="CW101" s="20">
        <f t="shared" si="67"/>
        <v>541.41085047775289</v>
      </c>
      <c r="CX101" s="59">
        <f t="shared" si="68"/>
        <v>834.74418381108626</v>
      </c>
      <c r="CY101" s="59">
        <f ca="1">AVERAGE(OFFSET($CX$3,0,0,'Données projet'!$E$13+1,1))-AVERAGE(OFFSET($H$3,0,0,'Données projet'!$E$13+1,1))</f>
        <v>269.77739619445515</v>
      </c>
      <c r="CZ101" s="59">
        <f t="shared" si="96"/>
        <v>347.56964743629885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36.080574844850211</v>
      </c>
      <c r="DG101" s="21">
        <f>EXP(-LN(2)/25)*DG100+(1-EXP(-LN(2)/25))/(LN(2)/25)*Calculateur!DB101*Calculateur!DD101*VLOOKUP('Données projet'!$B$13,Paramètres!$A$1:$I$89,3,0)*0.475*44/12</f>
        <v>13.924112520330379</v>
      </c>
      <c r="DH101" s="21">
        <f>EXP(-LN(2)/2)*DH100+(1-EXP(-LN(2)/2))/(LN(2)/2)*DB101*DE101*VLOOKUP('Données projet'!$B$13,Paramètres!$A$1:$I$89,3,0)*0.475*44/12</f>
        <v>1.4457820231902212E-12</v>
      </c>
      <c r="DI101" s="22">
        <f t="shared" si="69"/>
        <v>50.004687365182029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669.99999999999989</v>
      </c>
      <c r="DP101" s="17">
        <f>DO101*VLOOKUP('Données projet'!$B$14,Paramètres!$A$1:$I$89,3,0)*VLOOKUP('Données projet'!$B$14,Paramètres!$A$1:$I$89,5,0)</f>
        <v>322.26999999999992</v>
      </c>
      <c r="DQ101" s="13">
        <f t="shared" si="97"/>
        <v>75.825476822885776</v>
      </c>
      <c r="DR101" s="20">
        <f t="shared" si="70"/>
        <v>693.34962213319261</v>
      </c>
      <c r="DS101" s="59">
        <f t="shared" si="71"/>
        <v>986.68295546652598</v>
      </c>
      <c r="DT101" s="59">
        <f ca="1">AVERAGE(OFFSET($DS$3,0,0,'Données projet'!$E$14+1,1))-AVERAGE(OFFSET($H$3,0,0,'Données projet'!$E$14+1,1))</f>
        <v>312.64506496298173</v>
      </c>
      <c r="DU101" s="59">
        <f t="shared" si="98"/>
        <v>259.97532509897508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79.308343582429771</v>
      </c>
      <c r="EB101" s="21">
        <f>EXP(-LN(2)/25)*EB100+(1-EXP(-LN(2)/25))/(LN(2)/25)*Calculateur!DW101*Calculateur!DY101*VLOOKUP('Données projet'!$B$14,Paramètres!$A$1:$I$89,3,0)*0.475*44/12</f>
        <v>2.9710448166829861</v>
      </c>
      <c r="EC101" s="21">
        <f>EXP(-LN(2)/2)*EC100+(1-EXP(-LN(2)/2))/(LN(2)/2)*DW101*DZ101*VLOOKUP('Données projet'!$B$14,Paramètres!$A$1:$I$89,3,0)*0.475*44/12</f>
        <v>2.2415362423982351E-10</v>
      </c>
      <c r="ED101" s="22">
        <f t="shared" si="72"/>
        <v>82.279388399336909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4.8</v>
      </c>
      <c r="EJ101" s="12">
        <f>IF('Données projet'!$A$192&gt;35,EJ100+EI101-ER100,IF(A101&lt;'Données projet'!$A$192,$EG$205^A101,IF(A101='Données projet'!$A$192,'Données projet'!$B$192,EJ100+EI101-ER100)))</f>
        <v>272.39999999999986</v>
      </c>
      <c r="EK101" s="17">
        <f>EJ101*VLOOKUP('Données projet'!$B$15,Paramètres!$A$1:$I$89,3,0)*VLOOKUP('Données projet'!$B$15,Paramètres!$A$1:$I$89,5,0)</f>
        <v>246.46751999999987</v>
      </c>
      <c r="EL101" s="13">
        <f t="shared" si="99"/>
        <v>59.828888074216977</v>
      </c>
      <c r="EM101" s="20">
        <f t="shared" si="73"/>
        <v>533.46624406259423</v>
      </c>
      <c r="EN101" s="59">
        <f t="shared" si="74"/>
        <v>826.7995773959276</v>
      </c>
      <c r="EO101" s="59">
        <f ca="1">AVERAGE(OFFSET($EN$3,0,0,'Données projet'!$E$15+1,1))-AVERAGE(OFFSET($H$3,0,0,'Données projet'!$E$15+1,1))</f>
        <v>269.64423257646359</v>
      </c>
      <c r="EP101" s="59">
        <f t="shared" si="100"/>
        <v>161.0819079811821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65.359290546297359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65.359290546297359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349.00000000000017</v>
      </c>
      <c r="FF101" s="17">
        <f>FE101*VLOOKUP('Données projet'!$B$16,Paramètres!$A$1:$I$89,3,0)*VLOOKUP('Données projet'!$B$16,Paramètres!$A$1:$I$89,5,0)</f>
        <v>272.22000000000014</v>
      </c>
      <c r="FG101" s="13">
        <f t="shared" si="101"/>
        <v>65.320184547527205</v>
      </c>
      <c r="FH101" s="20">
        <f t="shared" si="76"/>
        <v>587.88248808694345</v>
      </c>
      <c r="FI101" s="59">
        <f t="shared" si="77"/>
        <v>881.21582142027682</v>
      </c>
      <c r="FJ101" s="59">
        <f ca="1">AVERAGE(OFFSET($FI$3,0,0,'Données projet'!$E$16+1,1))-AVERAGE(OFFSET($H$3,0,0,'Données projet'!$E$16+1,1))</f>
        <v>283.77864672734273</v>
      </c>
      <c r="FK101" s="59">
        <f t="shared" si="102"/>
        <v>270.94620935643866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49.779485902074413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49.779485902074413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319</v>
      </c>
      <c r="GA101" s="17">
        <f>FZ101*VLOOKUP('Données projet'!$B$17,Paramètres!$A$1:$I$89,3,0)*VLOOKUP('Données projet'!$B$17,Paramètres!$A$1:$I$89,5,0)</f>
        <v>308.53680000000003</v>
      </c>
      <c r="GB101" s="13">
        <f t="shared" si="103"/>
        <v>72.963171684496103</v>
      </c>
      <c r="GC101" s="20">
        <f t="shared" si="79"/>
        <v>664.4457840171641</v>
      </c>
      <c r="GD101" s="59">
        <f t="shared" si="80"/>
        <v>957.77911735049747</v>
      </c>
      <c r="GE101" s="59">
        <f ca="1">AVERAGE(OFFSET($GD$3,0,0,'Données projet'!$E$17+1,1))-AVERAGE(OFFSET($H$3,0,0,'Données projet'!$E$17+1,1))</f>
        <v>347.54503437087288</v>
      </c>
      <c r="GF101" s="59">
        <f t="shared" si="104"/>
        <v>340.05673244455954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36.715626069438983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36.715626069438983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735.00000000000011</v>
      </c>
      <c r="O102" s="13">
        <f>N102*VLOOKUP('Données projet'!$B$9,Paramètres!$A$1:$I$89,3,0)*VLOOKUP('Données projet'!$B$9,Paramètres!$A$1:$I$89,5,0)</f>
        <v>343.98</v>
      </c>
      <c r="P102" s="13">
        <f t="shared" si="87"/>
        <v>80.321681832084693</v>
      </c>
      <c r="Q102" s="20">
        <f t="shared" si="107"/>
        <v>738.9920958575475</v>
      </c>
      <c r="R102" s="59">
        <f t="shared" si="55"/>
        <v>1032.3254291908809</v>
      </c>
      <c r="S102" s="59">
        <f ca="1">AVERAGE(OFFSET($R$3,0,0,'Données projet'!$E$9+1,1))-AVERAGE(OFFSET($H$3,0,0,'Données projet'!$E$9+1,1))</f>
        <v>342.49944586217674</v>
      </c>
      <c r="T102" s="59">
        <f t="shared" si="88"/>
        <v>282.29766600872563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80.957563154556354</v>
      </c>
      <c r="AA102" s="21">
        <f>EXP(-LN(2)/25)*AA101+(1-EXP(-LN(2)/25))/(LN(2)/25)*Calculateur!V102*Calculateur!X102*VLOOKUP('Données projet'!$B$9,Paramètres!$A$1:$I$89,3,0)*0.475*44/12</f>
        <v>5.9168526569368405</v>
      </c>
      <c r="AB102" s="21">
        <f>EXP(-LN(2)/2)*AB101+(1-EXP(-LN(2)/2))/(LN(2)/2)*V102*Y102*VLOOKUP('Données projet'!$B$9,Paramètres!$A$1:$I$89,3,0)*0.475*44/12</f>
        <v>3.4077409090513753E-12</v>
      </c>
      <c r="AC102" s="22">
        <f t="shared" si="57"/>
        <v>86.874415811496604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739.99999999999966</v>
      </c>
      <c r="AJ102" s="13">
        <f>AI102*VLOOKUP('Données projet'!$B$10,Paramètres!$A$1:$I$89,3,0)*VLOOKUP('Données projet'!$B$10,Paramètres!$A$1:$I$89,5,0)</f>
        <v>413.65999999999985</v>
      </c>
      <c r="AK102" s="13">
        <f t="shared" si="89"/>
        <v>94.540585122244352</v>
      </c>
      <c r="AL102" s="20">
        <f t="shared" si="58"/>
        <v>885.11601908790863</v>
      </c>
      <c r="AM102" s="59">
        <f t="shared" si="59"/>
        <v>1178.4493524212419</v>
      </c>
      <c r="AN102" s="59">
        <f ca="1">AVERAGE(OFFSET($AM$3,0,0,'Données projet'!$E$10+1,1))-AVERAGE(OFFSET($H$3,0,0,'Données projet'!$E$10+1,1))</f>
        <v>490.96084572840579</v>
      </c>
      <c r="AO102" s="59">
        <f t="shared" si="90"/>
        <v>597.91658789908263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57.045286883188425</v>
      </c>
      <c r="AV102" s="21">
        <f>EXP(-LN(2)/25)*AV101+(1-EXP(-LN(2)/25))/(LN(2)/25)*Calculateur!AQ102*Calculateur!AS102*VLOOKUP('Données projet'!$B$10,Paramètres!$A$1:$I$89,3,0)*0.475*44/12</f>
        <v>8.529963664382846</v>
      </c>
      <c r="AW102" s="21">
        <f>EXP(-LN(2)/2)*AW101+(1-EXP(-LN(2)/2))/(LN(2)/2)*AQ102*AT102*VLOOKUP('Données projet'!$B$10,Paramètres!$A$1:$I$89,3,0)*0.475*44/12</f>
        <v>3.5005071893533282E-11</v>
      </c>
      <c r="AX102" s="21">
        <f t="shared" si="60"/>
        <v>65.575250547606274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213.00000000000003</v>
      </c>
      <c r="BE102" s="13">
        <f>BD102*VLOOKUP('Données projet'!$B$11,Paramètres!$A$1:$I$89,3,0)*VLOOKUP('Données projet'!$B$11,Paramètres!$A$1:$I$89,5,0)</f>
        <v>169.46280000000002</v>
      </c>
      <c r="BF102" s="13">
        <f t="shared" si="91"/>
        <v>42.969686502194378</v>
      </c>
      <c r="BG102" s="20">
        <f t="shared" si="61"/>
        <v>369.98658065798855</v>
      </c>
      <c r="BH102" s="59">
        <f t="shared" si="62"/>
        <v>663.31991399132187</v>
      </c>
      <c r="BI102" s="59">
        <f ca="1">AVERAGE(OFFSET($BH$3,0,0,'Données projet'!$E$11+1,1))-AVERAGE(OFFSET($H$3,0,0,'Données projet'!$E$11+1,1))</f>
        <v>167.80254365106839</v>
      </c>
      <c r="BJ102" s="59">
        <f t="shared" si="92"/>
        <v>167.42302164950172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23.008007059996061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23.008007059996061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669.99999999999989</v>
      </c>
      <c r="BZ102" s="13">
        <f>BY102*VLOOKUP('Données projet'!$B$12,Paramètres!$A$1:$I$89,3,0)*VLOOKUP('Données projet'!$B$12,Paramètres!$A$1:$I$89,5,0)</f>
        <v>330.97999999999996</v>
      </c>
      <c r="CA102" s="13">
        <f t="shared" si="93"/>
        <v>77.633451096966454</v>
      </c>
      <c r="CB102" s="20">
        <f t="shared" si="64"/>
        <v>711.66842732721636</v>
      </c>
      <c r="CC102" s="59">
        <f t="shared" si="65"/>
        <v>1005.0017606605497</v>
      </c>
      <c r="CD102" s="59">
        <f ca="1">AVERAGE(OFFSET($CC$3,0,0,'Données projet'!$E$12+1,1))-AVERAGE(OFFSET($H$3,0,0,'Données projet'!$E$12+1,1))</f>
        <v>322.06606384496587</v>
      </c>
      <c r="CE102" s="59">
        <f t="shared" si="94"/>
        <v>267.71713177624713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79.854591968850698</v>
      </c>
      <c r="CL102" s="21">
        <f>EXP(-LN(2)/25)*CL101+(1-EXP(-LN(2)/25))/(LN(2)/25)*Calculateur!CG102*Calculateur!CI102*VLOOKUP('Données projet'!$B$12,Paramètres!$A$1:$I$89,3,0)*0.475*44/12</f>
        <v>2.96790418155007</v>
      </c>
      <c r="CM102" s="21">
        <f>EXP(-LN(2)/2)*CM101+(1-EXP(-LN(2)/2))/(LN(2)/2)*CG102*CJ102*VLOOKUP('Données projet'!$B$12,Paramètres!$A$1:$I$89,3,0)*0.475*44/12</f>
        <v>1.6278434631475176E-10</v>
      </c>
      <c r="CN102" s="22">
        <f t="shared" si="66"/>
        <v>82.822496150563552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401</v>
      </c>
      <c r="CU102" s="17">
        <f>CT102*VLOOKUP('Données projet'!$B$13,Paramètres!$A$1:$I$89,3,0)*VLOOKUP('Données projet'!$B$13,Paramètres!$A$1:$I$89,5,0)</f>
        <v>250.22399999999999</v>
      </c>
      <c r="CV102" s="13">
        <f t="shared" si="95"/>
        <v>60.633904580527918</v>
      </c>
      <c r="CW102" s="20">
        <f t="shared" si="67"/>
        <v>541.41085047775289</v>
      </c>
      <c r="CX102" s="59">
        <f t="shared" si="68"/>
        <v>834.74418381108626</v>
      </c>
      <c r="CY102" s="59">
        <f ca="1">AVERAGE(OFFSET($CX$3,0,0,'Données projet'!$E$13+1,1))-AVERAGE(OFFSET($H$3,0,0,'Données projet'!$E$13+1,1))</f>
        <v>269.77739619445515</v>
      </c>
      <c r="CZ102" s="59">
        <f t="shared" si="96"/>
        <v>347.56964743629885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35.373056779120347</v>
      </c>
      <c r="DG102" s="21">
        <f>EXP(-LN(2)/25)*DG101+(1-EXP(-LN(2)/25))/(LN(2)/25)*Calculateur!DB102*Calculateur!DD102*VLOOKUP('Données projet'!$B$13,Paramètres!$A$1:$I$89,3,0)*0.475*44/12</f>
        <v>13.543356931224691</v>
      </c>
      <c r="DH102" s="21">
        <f>EXP(-LN(2)/2)*DH101+(1-EXP(-LN(2)/2))/(LN(2)/2)*DB102*DE102*VLOOKUP('Données projet'!$B$13,Paramètres!$A$1:$I$89,3,0)*0.475*44/12</f>
        <v>1.0223222727154117E-12</v>
      </c>
      <c r="DI102" s="22">
        <f t="shared" si="69"/>
        <v>48.916413710346063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669.99999999999989</v>
      </c>
      <c r="DP102" s="17">
        <f>DO102*VLOOKUP('Données projet'!$B$14,Paramètres!$A$1:$I$89,3,0)*VLOOKUP('Données projet'!$B$14,Paramètres!$A$1:$I$89,5,0)</f>
        <v>322.26999999999992</v>
      </c>
      <c r="DQ102" s="13">
        <f t="shared" si="97"/>
        <v>75.825476822885776</v>
      </c>
      <c r="DR102" s="20">
        <f t="shared" si="70"/>
        <v>693.34962213319261</v>
      </c>
      <c r="DS102" s="59">
        <f t="shared" si="71"/>
        <v>986.68295546652598</v>
      </c>
      <c r="DT102" s="59">
        <f ca="1">AVERAGE(OFFSET($DS$3,0,0,'Données projet'!$E$14+1,1))-AVERAGE(OFFSET($H$3,0,0,'Données projet'!$E$14+1,1))</f>
        <v>312.64506496298173</v>
      </c>
      <c r="DU102" s="59">
        <f t="shared" si="98"/>
        <v>259.97532509897508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77.753155338091446</v>
      </c>
      <c r="EB102" s="21">
        <f>EXP(-LN(2)/25)*EB101+(1-EXP(-LN(2)/25))/(LN(2)/25)*Calculateur!DW102*Calculateur!DY102*VLOOKUP('Données projet'!$B$14,Paramètres!$A$1:$I$89,3,0)*0.475*44/12</f>
        <v>2.8898014399303333</v>
      </c>
      <c r="EC102" s="21">
        <f>EXP(-LN(2)/2)*EC101+(1-EXP(-LN(2)/2))/(LN(2)/2)*DW102*DZ102*VLOOKUP('Données projet'!$B$14,Paramètres!$A$1:$I$89,3,0)*0.475*44/12</f>
        <v>1.5850054772752048E-10</v>
      </c>
      <c r="ED102" s="22">
        <f t="shared" si="72"/>
        <v>80.642956778180277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4.8</v>
      </c>
      <c r="EJ102" s="12">
        <f>IF('Données projet'!$A$192&gt;35,EJ101+EI102-ER101,IF(A102&lt;'Données projet'!$A$192,$EG$205^A102,IF(A102='Données projet'!$A$192,'Données projet'!$B$192,EJ101+EI102-ER101)))</f>
        <v>277.19999999999987</v>
      </c>
      <c r="EK102" s="17">
        <f>EJ102*VLOOKUP('Données projet'!$B$15,Paramètres!$A$1:$I$89,3,0)*VLOOKUP('Données projet'!$B$15,Paramètres!$A$1:$I$89,5,0)</f>
        <v>250.8105599999999</v>
      </c>
      <c r="EL102" s="13">
        <f t="shared" si="99"/>
        <v>60.75947736410869</v>
      </c>
      <c r="EM102" s="20">
        <f t="shared" si="73"/>
        <v>542.65114840915578</v>
      </c>
      <c r="EN102" s="59">
        <f t="shared" si="74"/>
        <v>835.98448174248915</v>
      </c>
      <c r="EO102" s="59">
        <f ca="1">AVERAGE(OFFSET($EN$3,0,0,'Données projet'!$E$15+1,1))-AVERAGE(OFFSET($H$3,0,0,'Données projet'!$E$15+1,1))</f>
        <v>269.64423257646359</v>
      </c>
      <c r="EP102" s="59">
        <f t="shared" si="100"/>
        <v>161.0819079811821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64.077634723915338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64.077634723915338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349.00000000000017</v>
      </c>
      <c r="FF102" s="17">
        <f>FE102*VLOOKUP('Données projet'!$B$16,Paramètres!$A$1:$I$89,3,0)*VLOOKUP('Données projet'!$B$16,Paramètres!$A$1:$I$89,5,0)</f>
        <v>272.22000000000014</v>
      </c>
      <c r="FG102" s="13">
        <f t="shared" si="101"/>
        <v>65.320184547527205</v>
      </c>
      <c r="FH102" s="20">
        <f t="shared" si="76"/>
        <v>587.88248808694345</v>
      </c>
      <c r="FI102" s="59">
        <f t="shared" si="77"/>
        <v>881.21582142027682</v>
      </c>
      <c r="FJ102" s="59">
        <f ca="1">AVERAGE(OFFSET($FI$3,0,0,'Données projet'!$E$16+1,1))-AVERAGE(OFFSET($H$3,0,0,'Données projet'!$E$16+1,1))</f>
        <v>283.77864672734273</v>
      </c>
      <c r="FK102" s="59">
        <f t="shared" si="102"/>
        <v>270.94620935643866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48.803340546023087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48.803340546023087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319</v>
      </c>
      <c r="GA102" s="17">
        <f>FZ102*VLOOKUP('Données projet'!$B$17,Paramètres!$A$1:$I$89,3,0)*VLOOKUP('Données projet'!$B$17,Paramètres!$A$1:$I$89,5,0)</f>
        <v>308.53680000000003</v>
      </c>
      <c r="GB102" s="13">
        <f t="shared" si="103"/>
        <v>72.963171684496103</v>
      </c>
      <c r="GC102" s="20">
        <f t="shared" si="79"/>
        <v>664.4457840171641</v>
      </c>
      <c r="GD102" s="59">
        <f t="shared" si="80"/>
        <v>957.77911735049747</v>
      </c>
      <c r="GE102" s="59">
        <f ca="1">AVERAGE(OFFSET($GD$3,0,0,'Données projet'!$E$17+1,1))-AVERAGE(OFFSET($H$3,0,0,'Données projet'!$E$17+1,1))</f>
        <v>347.54503437087288</v>
      </c>
      <c r="GF102" s="59">
        <f t="shared" si="104"/>
        <v>340.05673244455954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35.995655036537933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35.995655036537933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735.00000000000011</v>
      </c>
      <c r="O103" s="13">
        <f>N103*VLOOKUP('Données projet'!$B$9,Paramètres!$A$1:$I$89,3,0)*VLOOKUP('Données projet'!$B$9,Paramètres!$A$1:$I$89,5,0)</f>
        <v>343.98</v>
      </c>
      <c r="P103" s="13">
        <f t="shared" si="87"/>
        <v>80.321681832084693</v>
      </c>
      <c r="Q103" s="20">
        <f t="shared" si="107"/>
        <v>738.9920958575475</v>
      </c>
      <c r="R103" s="59">
        <f t="shared" si="55"/>
        <v>1032.3254291908809</v>
      </c>
      <c r="S103" s="59">
        <f ca="1">AVERAGE(OFFSET($R$3,0,0,'Données projet'!$E$9+1,1))-AVERAGE(OFFSET($H$3,0,0,'Données projet'!$E$9+1,1))</f>
        <v>342.49944586217674</v>
      </c>
      <c r="T103" s="59">
        <f t="shared" si="88"/>
        <v>282.29766600872563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79.370034720333237</v>
      </c>
      <c r="AA103" s="21">
        <f>EXP(-LN(2)/25)*AA102+(1-EXP(-LN(2)/25))/(LN(2)/25)*Calculateur!V103*Calculateur!X103*VLOOKUP('Données projet'!$B$9,Paramètres!$A$1:$I$89,3,0)*0.475*44/12</f>
        <v>5.7550560098791443</v>
      </c>
      <c r="AB103" s="21">
        <f>EXP(-LN(2)/2)*AB102+(1-EXP(-LN(2)/2))/(LN(2)/2)*V103*Y103*VLOOKUP('Données projet'!$B$9,Paramètres!$A$1:$I$89,3,0)*0.475*44/12</f>
        <v>2.4096367053170373E-12</v>
      </c>
      <c r="AC103" s="22">
        <f t="shared" si="57"/>
        <v>85.125090730214794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739.99999999999966</v>
      </c>
      <c r="AJ103" s="13">
        <f>AI103*VLOOKUP('Données projet'!$B$10,Paramètres!$A$1:$I$89,3,0)*VLOOKUP('Données projet'!$B$10,Paramètres!$A$1:$I$89,5,0)</f>
        <v>413.65999999999985</v>
      </c>
      <c r="AK103" s="13">
        <f t="shared" si="89"/>
        <v>94.540585122244352</v>
      </c>
      <c r="AL103" s="20">
        <f t="shared" si="58"/>
        <v>885.11601908790863</v>
      </c>
      <c r="AM103" s="59">
        <f t="shared" si="59"/>
        <v>1178.4493524212419</v>
      </c>
      <c r="AN103" s="59">
        <f ca="1">AVERAGE(OFFSET($AM$3,0,0,'Données projet'!$E$10+1,1))-AVERAGE(OFFSET($H$3,0,0,'Données projet'!$E$10+1,1))</f>
        <v>490.96084572840579</v>
      </c>
      <c r="AO103" s="59">
        <f t="shared" si="90"/>
        <v>597.91658789908263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55.926663601598456</v>
      </c>
      <c r="AV103" s="21">
        <f>EXP(-LN(2)/25)*AV102+(1-EXP(-LN(2)/25))/(LN(2)/25)*Calculateur!AQ103*Calculateur!AS103*VLOOKUP('Données projet'!$B$10,Paramètres!$A$1:$I$89,3,0)*0.475*44/12</f>
        <v>8.2967113594090041</v>
      </c>
      <c r="AW103" s="21">
        <f>EXP(-LN(2)/2)*AW102+(1-EXP(-LN(2)/2))/(LN(2)/2)*AQ103*AT103*VLOOKUP('Données projet'!$B$10,Paramètres!$A$1:$I$89,3,0)*0.475*44/12</f>
        <v>2.4752323711840004E-11</v>
      </c>
      <c r="AX103" s="21">
        <f t="shared" si="60"/>
        <v>64.223374961032221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213.00000000000003</v>
      </c>
      <c r="BE103" s="13">
        <f>BD103*VLOOKUP('Données projet'!$B$11,Paramètres!$A$1:$I$89,3,0)*VLOOKUP('Données projet'!$B$11,Paramètres!$A$1:$I$89,5,0)</f>
        <v>169.46280000000002</v>
      </c>
      <c r="BF103" s="13">
        <f t="shared" si="91"/>
        <v>42.969686502194378</v>
      </c>
      <c r="BG103" s="20">
        <f t="shared" si="61"/>
        <v>369.98658065798855</v>
      </c>
      <c r="BH103" s="59">
        <f t="shared" si="62"/>
        <v>663.31991399132187</v>
      </c>
      <c r="BI103" s="59">
        <f ca="1">AVERAGE(OFFSET($BH$3,0,0,'Données projet'!$E$11+1,1))-AVERAGE(OFFSET($H$3,0,0,'Données projet'!$E$11+1,1))</f>
        <v>167.80254365106839</v>
      </c>
      <c r="BJ103" s="59">
        <f t="shared" si="92"/>
        <v>167.42302164950172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22.556834075048151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22.556834075048151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669.99999999999989</v>
      </c>
      <c r="BZ103" s="13">
        <f>BY103*VLOOKUP('Données projet'!$B$12,Paramètres!$A$1:$I$89,3,0)*VLOOKUP('Données projet'!$B$12,Paramètres!$A$1:$I$89,5,0)</f>
        <v>330.97999999999996</v>
      </c>
      <c r="CA103" s="13">
        <f t="shared" si="93"/>
        <v>77.633451096966454</v>
      </c>
      <c r="CB103" s="20">
        <f t="shared" si="64"/>
        <v>711.66842732721636</v>
      </c>
      <c r="CC103" s="59">
        <f t="shared" si="65"/>
        <v>1005.0017606605497</v>
      </c>
      <c r="CD103" s="59">
        <f ca="1">AVERAGE(OFFSET($CC$3,0,0,'Données projet'!$E$12+1,1))-AVERAGE(OFFSET($H$3,0,0,'Données projet'!$E$12+1,1))</f>
        <v>322.06606384496587</v>
      </c>
      <c r="CE103" s="59">
        <f t="shared" si="94"/>
        <v>267.71713177624713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78.288692126833269</v>
      </c>
      <c r="CL103" s="21">
        <f>EXP(-LN(2)/25)*CL102+(1-EXP(-LN(2)/25))/(LN(2)/25)*Calculateur!CG103*Calculateur!CI103*VLOOKUP('Données projet'!$B$12,Paramètres!$A$1:$I$89,3,0)*0.475*44/12</f>
        <v>2.8867466856302855</v>
      </c>
      <c r="CM103" s="21">
        <f>EXP(-LN(2)/2)*CM102+(1-EXP(-LN(2)/2))/(LN(2)/2)*CG103*CJ103*VLOOKUP('Données projet'!$B$12,Paramètres!$A$1:$I$89,3,0)*0.475*44/12</f>
        <v>1.1510591515018036E-10</v>
      </c>
      <c r="CN103" s="22">
        <f t="shared" si="66"/>
        <v>81.175438812578662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401</v>
      </c>
      <c r="CU103" s="17">
        <f>CT103*VLOOKUP('Données projet'!$B$13,Paramètres!$A$1:$I$89,3,0)*VLOOKUP('Données projet'!$B$13,Paramètres!$A$1:$I$89,5,0)</f>
        <v>250.22399999999999</v>
      </c>
      <c r="CV103" s="13">
        <f t="shared" si="95"/>
        <v>60.633904580527918</v>
      </c>
      <c r="CW103" s="20">
        <f t="shared" si="67"/>
        <v>541.41085047775289</v>
      </c>
      <c r="CX103" s="59">
        <f t="shared" si="68"/>
        <v>834.74418381108626</v>
      </c>
      <c r="CY103" s="59">
        <f ca="1">AVERAGE(OFFSET($CX$3,0,0,'Données projet'!$E$13+1,1))-AVERAGE(OFFSET($H$3,0,0,'Données projet'!$E$13+1,1))</f>
        <v>269.77739619445515</v>
      </c>
      <c r="CZ103" s="59">
        <f t="shared" si="96"/>
        <v>347.56964743629885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34.679412711116036</v>
      </c>
      <c r="DG103" s="21">
        <f>EXP(-LN(2)/25)*DG102+(1-EXP(-LN(2)/25))/(LN(2)/25)*Calculateur!DB103*Calculateur!DD103*VLOOKUP('Données projet'!$B$13,Paramètres!$A$1:$I$89,3,0)*0.475*44/12</f>
        <v>13.173013123726165</v>
      </c>
      <c r="DH103" s="21">
        <f>EXP(-LN(2)/2)*DH102+(1-EXP(-LN(2)/2))/(LN(2)/2)*DB103*DE103*VLOOKUP('Données projet'!$B$13,Paramètres!$A$1:$I$89,3,0)*0.475*44/12</f>
        <v>7.228910115951106E-13</v>
      </c>
      <c r="DI103" s="22">
        <f t="shared" si="69"/>
        <v>47.852425834842926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669.99999999999989</v>
      </c>
      <c r="DP103" s="17">
        <f>DO103*VLOOKUP('Données projet'!$B$14,Paramètres!$A$1:$I$89,3,0)*VLOOKUP('Données projet'!$B$14,Paramètres!$A$1:$I$89,5,0)</f>
        <v>322.26999999999992</v>
      </c>
      <c r="DQ103" s="13">
        <f t="shared" si="97"/>
        <v>75.825476822885776</v>
      </c>
      <c r="DR103" s="20">
        <f t="shared" si="70"/>
        <v>693.34962213319261</v>
      </c>
      <c r="DS103" s="59">
        <f t="shared" si="71"/>
        <v>986.68295546652598</v>
      </c>
      <c r="DT103" s="59">
        <f ca="1">AVERAGE(OFFSET($DS$3,0,0,'Données projet'!$E$14+1,1))-AVERAGE(OFFSET($H$3,0,0,'Données projet'!$E$14+1,1))</f>
        <v>312.64506496298173</v>
      </c>
      <c r="DU103" s="59">
        <f t="shared" si="98"/>
        <v>259.97532509897508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76.228463386653431</v>
      </c>
      <c r="EB103" s="21">
        <f>EXP(-LN(2)/25)*EB102+(1-EXP(-LN(2)/25))/(LN(2)/25)*Calculateur!DW103*Calculateur!DY103*VLOOKUP('Données projet'!$B$14,Paramètres!$A$1:$I$89,3,0)*0.475*44/12</f>
        <v>2.8107796675873855</v>
      </c>
      <c r="EC103" s="21">
        <f>EXP(-LN(2)/2)*EC102+(1-EXP(-LN(2)/2))/(LN(2)/2)*DW103*DZ103*VLOOKUP('Données projet'!$B$14,Paramètres!$A$1:$I$89,3,0)*0.475*44/12</f>
        <v>1.1207681211991176E-10</v>
      </c>
      <c r="ED103" s="22">
        <f t="shared" si="72"/>
        <v>79.039243054352895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282</v>
      </c>
      <c r="EH103" s="12">
        <f>VLOOKUP(A103,'Données projet'!$A$191:$I$211,9,0)</f>
        <v>4.8</v>
      </c>
      <c r="EI103" s="12">
        <f t="array" ref="EI103">INDEX(EH:EH,MIN(IF(ISNUMBER(EH103:EH299),ROW(EH103:EH299),"")))</f>
        <v>4.8</v>
      </c>
      <c r="EJ103" s="12">
        <f>IF('Données projet'!$A$192&gt;35,EJ102+EI103-ER102,IF(A103&lt;'Données projet'!$A$192,$EG$205^A103,IF(A103='Données projet'!$A$192,'Données projet'!$B$192,EJ102+EI103-ER102)))</f>
        <v>281.99999999999989</v>
      </c>
      <c r="EK103" s="17">
        <f>EJ103*VLOOKUP('Données projet'!$B$15,Paramètres!$A$1:$I$89,3,0)*VLOOKUP('Données projet'!$B$15,Paramètres!$A$1:$I$89,5,0)</f>
        <v>255.15359999999987</v>
      </c>
      <c r="EL103" s="13">
        <f t="shared" si="99"/>
        <v>61.688192762754376</v>
      </c>
      <c r="EM103" s="20">
        <f t="shared" si="73"/>
        <v>551.83278906179692</v>
      </c>
      <c r="EN103" s="59">
        <f t="shared" si="74"/>
        <v>845.16612239513029</v>
      </c>
      <c r="EO103" s="59">
        <f ca="1">AVERAGE(OFFSET($EN$3,0,0,'Données projet'!$E$15+1,1))-AVERAGE(OFFSET($H$3,0,0,'Données projet'!$E$15+1,1))</f>
        <v>269.64423257646359</v>
      </c>
      <c r="EP103" s="59">
        <f t="shared" si="100"/>
        <v>161.0819079811821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21</v>
      </c>
      <c r="ES103" s="16">
        <f>IF(ISNA(VLOOKUP(A103,'Données projet'!$A$191:$I$211,5,0)),0%,VLOOKUP(A103,'Données projet'!$A$191:$I$211,5,0)*VLOOKUP('Données projet'!$B$15,Paramètres!$A$1:$I$89,7,0))</f>
        <v>0.43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71.853184673072121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71.853184673072121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349.00000000000017</v>
      </c>
      <c r="FF103" s="17">
        <f>FE103*VLOOKUP('Données projet'!$B$16,Paramètres!$A$1:$I$89,3,0)*VLOOKUP('Données projet'!$B$16,Paramètres!$A$1:$I$89,5,0)</f>
        <v>272.22000000000014</v>
      </c>
      <c r="FG103" s="13">
        <f t="shared" si="101"/>
        <v>65.320184547527205</v>
      </c>
      <c r="FH103" s="20">
        <f t="shared" si="76"/>
        <v>587.88248808694345</v>
      </c>
      <c r="FI103" s="59">
        <f t="shared" si="77"/>
        <v>881.21582142027682</v>
      </c>
      <c r="FJ103" s="59">
        <f ca="1">AVERAGE(OFFSET($FI$3,0,0,'Données projet'!$E$16+1,1))-AVERAGE(OFFSET($H$3,0,0,'Données projet'!$E$16+1,1))</f>
        <v>283.77864672734273</v>
      </c>
      <c r="FK103" s="59">
        <f t="shared" si="102"/>
        <v>270.94620935643866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47.846336805014047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47.846336805014047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319</v>
      </c>
      <c r="GA103" s="17">
        <f>FZ103*VLOOKUP('Données projet'!$B$17,Paramètres!$A$1:$I$89,3,0)*VLOOKUP('Données projet'!$B$17,Paramètres!$A$1:$I$89,5,0)</f>
        <v>308.53680000000003</v>
      </c>
      <c r="GB103" s="13">
        <f t="shared" si="103"/>
        <v>72.963171684496103</v>
      </c>
      <c r="GC103" s="20">
        <f t="shared" si="79"/>
        <v>664.4457840171641</v>
      </c>
      <c r="GD103" s="59">
        <f t="shared" si="80"/>
        <v>957.77911735049747</v>
      </c>
      <c r="GE103" s="59">
        <f ca="1">AVERAGE(OFFSET($GD$3,0,0,'Données projet'!$E$17+1,1))-AVERAGE(OFFSET($H$3,0,0,'Données projet'!$E$17+1,1))</f>
        <v>347.54503437087288</v>
      </c>
      <c r="GF103" s="59">
        <f t="shared" si="104"/>
        <v>340.05673244455954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35.289802196453103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35.289802196453103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735.00000000000011</v>
      </c>
      <c r="O104" s="13">
        <f>N104*VLOOKUP('Données projet'!$B$9,Paramètres!$A$1:$I$89,3,0)*VLOOKUP('Données projet'!$B$9,Paramètres!$A$1:$I$89,5,0)</f>
        <v>343.98</v>
      </c>
      <c r="P104" s="13">
        <f t="shared" si="87"/>
        <v>80.321681832084693</v>
      </c>
      <c r="Q104" s="20">
        <f t="shared" si="107"/>
        <v>738.9920958575475</v>
      </c>
      <c r="R104" s="59">
        <f t="shared" si="55"/>
        <v>1032.3254291908809</v>
      </c>
      <c r="S104" s="59">
        <f ca="1">AVERAGE(OFFSET($R$3,0,0,'Données projet'!$E$9+1,1))-AVERAGE(OFFSET($H$3,0,0,'Données projet'!$E$9+1,1))</f>
        <v>342.49944586217674</v>
      </c>
      <c r="T104" s="59">
        <f t="shared" si="88"/>
        <v>282.29766600872563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77.813636750408492</v>
      </c>
      <c r="AA104" s="21">
        <f>EXP(-LN(2)/25)*AA103+(1-EXP(-LN(2)/25))/(LN(2)/25)*Calculateur!V104*Calculateur!X104*VLOOKUP('Données projet'!$B$9,Paramètres!$A$1:$I$89,3,0)*0.475*44/12</f>
        <v>5.5976837006437572</v>
      </c>
      <c r="AB104" s="21">
        <f>EXP(-LN(2)/2)*AB103+(1-EXP(-LN(2)/2))/(LN(2)/2)*V104*Y104*VLOOKUP('Données projet'!$B$9,Paramètres!$A$1:$I$89,3,0)*0.475*44/12</f>
        <v>1.7038704545256876E-12</v>
      </c>
      <c r="AC104" s="22">
        <f t="shared" si="57"/>
        <v>83.411320451053953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739.99999999999966</v>
      </c>
      <c r="AJ104" s="13">
        <f>AI104*VLOOKUP('Données projet'!$B$10,Paramètres!$A$1:$I$89,3,0)*VLOOKUP('Données projet'!$B$10,Paramètres!$A$1:$I$89,5,0)</f>
        <v>413.65999999999985</v>
      </c>
      <c r="AK104" s="13">
        <f t="shared" si="89"/>
        <v>94.540585122244352</v>
      </c>
      <c r="AL104" s="20">
        <f t="shared" si="58"/>
        <v>885.11601908790863</v>
      </c>
      <c r="AM104" s="59">
        <f t="shared" si="59"/>
        <v>1178.4493524212419</v>
      </c>
      <c r="AN104" s="59">
        <f ca="1">AVERAGE(OFFSET($AM$3,0,0,'Données projet'!$E$10+1,1))-AVERAGE(OFFSET($H$3,0,0,'Données projet'!$E$10+1,1))</f>
        <v>490.96084572840579</v>
      </c>
      <c r="AO104" s="59">
        <f t="shared" si="90"/>
        <v>597.91658789908263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54.829975840267636</v>
      </c>
      <c r="AV104" s="21">
        <f>EXP(-LN(2)/25)*AV103+(1-EXP(-LN(2)/25))/(LN(2)/25)*Calculateur!AQ104*Calculateur!AS104*VLOOKUP('Données projet'!$B$10,Paramètres!$A$1:$I$89,3,0)*0.475*44/12</f>
        <v>8.0698373509808761</v>
      </c>
      <c r="AW104" s="21">
        <f>EXP(-LN(2)/2)*AW103+(1-EXP(-LN(2)/2))/(LN(2)/2)*AQ104*AT104*VLOOKUP('Données projet'!$B$10,Paramètres!$A$1:$I$89,3,0)*0.475*44/12</f>
        <v>1.7502535946766641E-11</v>
      </c>
      <c r="AX104" s="21">
        <f t="shared" si="60"/>
        <v>62.899813191266013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213.00000000000003</v>
      </c>
      <c r="BE104" s="13">
        <f>BD104*VLOOKUP('Données projet'!$B$11,Paramètres!$A$1:$I$89,3,0)*VLOOKUP('Données projet'!$B$11,Paramètres!$A$1:$I$89,5,0)</f>
        <v>169.46280000000002</v>
      </c>
      <c r="BF104" s="13">
        <f t="shared" si="91"/>
        <v>42.969686502194378</v>
      </c>
      <c r="BG104" s="20">
        <f t="shared" si="61"/>
        <v>369.98658065798855</v>
      </c>
      <c r="BH104" s="59">
        <f t="shared" si="62"/>
        <v>663.31991399132187</v>
      </c>
      <c r="BI104" s="59">
        <f ca="1">AVERAGE(OFFSET($BH$3,0,0,'Données projet'!$E$11+1,1))-AVERAGE(OFFSET($H$3,0,0,'Données projet'!$E$11+1,1))</f>
        <v>167.80254365106839</v>
      </c>
      <c r="BJ104" s="59">
        <f t="shared" si="92"/>
        <v>167.42302164950172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22.114508317146722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22.114508317146722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669.99999999999989</v>
      </c>
      <c r="BZ104" s="13">
        <f>BY104*VLOOKUP('Données projet'!$B$12,Paramètres!$A$1:$I$89,3,0)*VLOOKUP('Données projet'!$B$12,Paramètres!$A$1:$I$89,5,0)</f>
        <v>330.97999999999996</v>
      </c>
      <c r="CA104" s="13">
        <f t="shared" si="93"/>
        <v>77.633451096966454</v>
      </c>
      <c r="CB104" s="20">
        <f t="shared" si="64"/>
        <v>711.66842732721636</v>
      </c>
      <c r="CC104" s="59">
        <f t="shared" si="65"/>
        <v>1005.0017606605497</v>
      </c>
      <c r="CD104" s="59">
        <f ca="1">AVERAGE(OFFSET($CC$3,0,0,'Données projet'!$E$12+1,1))-AVERAGE(OFFSET($H$3,0,0,'Données projet'!$E$12+1,1))</f>
        <v>322.06606384496587</v>
      </c>
      <c r="CE104" s="59">
        <f t="shared" si="94"/>
        <v>267.71713177624713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76.753498625613204</v>
      </c>
      <c r="CL104" s="21">
        <f>EXP(-LN(2)/25)*CL103+(1-EXP(-LN(2)/25))/(LN(2)/25)*Calculateur!CG104*Calculateur!CI104*VLOOKUP('Données projet'!$B$12,Paramètres!$A$1:$I$89,3,0)*0.475*44/12</f>
        <v>2.8078084457043149</v>
      </c>
      <c r="CM104" s="21">
        <f>EXP(-LN(2)/2)*CM103+(1-EXP(-LN(2)/2))/(LN(2)/2)*CG104*CJ104*VLOOKUP('Données projet'!$B$12,Paramètres!$A$1:$I$89,3,0)*0.475*44/12</f>
        <v>8.1392173157375891E-11</v>
      </c>
      <c r="CN104" s="22">
        <f t="shared" si="66"/>
        <v>79.5613070713989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401</v>
      </c>
      <c r="CU104" s="17">
        <f>CT104*VLOOKUP('Données projet'!$B$13,Paramètres!$A$1:$I$89,3,0)*VLOOKUP('Données projet'!$B$13,Paramètres!$A$1:$I$89,5,0)</f>
        <v>250.22399999999999</v>
      </c>
      <c r="CV104" s="13">
        <f t="shared" si="95"/>
        <v>60.633904580527918</v>
      </c>
      <c r="CW104" s="20">
        <f t="shared" si="67"/>
        <v>541.41085047775289</v>
      </c>
      <c r="CX104" s="59">
        <f t="shared" si="68"/>
        <v>834.74418381108626</v>
      </c>
      <c r="CY104" s="59">
        <f ca="1">AVERAGE(OFFSET($CX$3,0,0,'Données projet'!$E$13+1,1))-AVERAGE(OFFSET($H$3,0,0,'Données projet'!$E$13+1,1))</f>
        <v>269.77739619445515</v>
      </c>
      <c r="CZ104" s="59">
        <f t="shared" si="96"/>
        <v>347.56964743629885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33.999370580204186</v>
      </c>
      <c r="DG104" s="21">
        <f>EXP(-LN(2)/25)*DG103+(1-EXP(-LN(2)/25))/(LN(2)/25)*Calculateur!DB104*Calculateur!DD104*VLOOKUP('Données projet'!$B$13,Paramètres!$A$1:$I$89,3,0)*0.475*44/12</f>
        <v>12.812796387119219</v>
      </c>
      <c r="DH104" s="21">
        <f>EXP(-LN(2)/2)*DH103+(1-EXP(-LN(2)/2))/(LN(2)/2)*DB104*DE104*VLOOKUP('Données projet'!$B$13,Paramètres!$A$1:$I$89,3,0)*0.475*44/12</f>
        <v>5.1116113635770585E-13</v>
      </c>
      <c r="DI104" s="22">
        <f t="shared" si="69"/>
        <v>46.812166967323918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669.99999999999989</v>
      </c>
      <c r="DP104" s="17">
        <f>DO104*VLOOKUP('Données projet'!$B$14,Paramètres!$A$1:$I$89,3,0)*VLOOKUP('Données projet'!$B$14,Paramètres!$A$1:$I$89,5,0)</f>
        <v>322.26999999999992</v>
      </c>
      <c r="DQ104" s="13">
        <f t="shared" si="97"/>
        <v>75.825476822885776</v>
      </c>
      <c r="DR104" s="20">
        <f t="shared" si="70"/>
        <v>693.34962213319261</v>
      </c>
      <c r="DS104" s="59">
        <f t="shared" si="71"/>
        <v>986.68295546652598</v>
      </c>
      <c r="DT104" s="59">
        <f ca="1">AVERAGE(OFFSET($DS$3,0,0,'Données projet'!$E$14+1,1))-AVERAGE(OFFSET($H$3,0,0,'Données projet'!$E$14+1,1))</f>
        <v>312.64506496298173</v>
      </c>
      <c r="DU104" s="59">
        <f t="shared" si="98"/>
        <v>259.97532509897508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74.733669714412841</v>
      </c>
      <c r="EB104" s="21">
        <f>EXP(-LN(2)/25)*EB103+(1-EXP(-LN(2)/25))/(LN(2)/25)*Calculateur!DW104*Calculateur!DY104*VLOOKUP('Données projet'!$B$14,Paramètres!$A$1:$I$89,3,0)*0.475*44/12</f>
        <v>2.7339187497647299</v>
      </c>
      <c r="EC104" s="21">
        <f>EXP(-LN(2)/2)*EC103+(1-EXP(-LN(2)/2))/(LN(2)/2)*DW104*DZ104*VLOOKUP('Données projet'!$B$14,Paramètres!$A$1:$I$89,3,0)*0.475*44/12</f>
        <v>7.9250273863760239E-11</v>
      </c>
      <c r="ED104" s="22">
        <f t="shared" si="72"/>
        <v>77.467588464256821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4.5999999999999996</v>
      </c>
      <c r="EJ104" s="12">
        <f>IF('Données projet'!$A$192&gt;35,EJ103+EI104-ER103,IF(A104&lt;'Données projet'!$A$192,$EG$205^A104,IF(A104='Données projet'!$A$192,'Données projet'!$B$192,EJ103+EI104-ER103)))</f>
        <v>265.59999999999991</v>
      </c>
      <c r="EK104" s="17">
        <f>EJ104*VLOOKUP('Données projet'!$B$15,Paramètres!$A$1:$I$89,3,0)*VLOOKUP('Données projet'!$B$15,Paramètres!$A$1:$I$89,5,0)</f>
        <v>240.31487999999993</v>
      </c>
      <c r="EL104" s="13">
        <f t="shared" si="99"/>
        <v>58.50727327751612</v>
      </c>
      <c r="EM104" s="20">
        <f t="shared" si="73"/>
        <v>520.44858362500713</v>
      </c>
      <c r="EN104" s="59">
        <f t="shared" si="74"/>
        <v>813.78191695834039</v>
      </c>
      <c r="EO104" s="59">
        <f ca="1">AVERAGE(OFFSET($EN$3,0,0,'Données projet'!$E$15+1,1))-AVERAGE(OFFSET($H$3,0,0,'Données projet'!$E$15+1,1))</f>
        <v>269.64423257646359</v>
      </c>
      <c r="EP104" s="59">
        <f t="shared" si="100"/>
        <v>161.0819079811821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70.444187547748356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70.444187547748356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349.00000000000017</v>
      </c>
      <c r="FF104" s="17">
        <f>FE104*VLOOKUP('Données projet'!$B$16,Paramètres!$A$1:$I$89,3,0)*VLOOKUP('Données projet'!$B$16,Paramètres!$A$1:$I$89,5,0)</f>
        <v>272.22000000000014</v>
      </c>
      <c r="FG104" s="13">
        <f t="shared" si="101"/>
        <v>65.320184547527205</v>
      </c>
      <c r="FH104" s="20">
        <f t="shared" si="76"/>
        <v>587.88248808694345</v>
      </c>
      <c r="FI104" s="59">
        <f t="shared" si="77"/>
        <v>881.21582142027682</v>
      </c>
      <c r="FJ104" s="59">
        <f ca="1">AVERAGE(OFFSET($FI$3,0,0,'Données projet'!$E$16+1,1))-AVERAGE(OFFSET($H$3,0,0,'Données projet'!$E$16+1,1))</f>
        <v>283.77864672734273</v>
      </c>
      <c r="FK104" s="59">
        <f t="shared" si="102"/>
        <v>270.94620935643866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46.908099323651555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46.908099323651555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319</v>
      </c>
      <c r="GA104" s="17">
        <f>FZ104*VLOOKUP('Données projet'!$B$17,Paramètres!$A$1:$I$89,3,0)*VLOOKUP('Données projet'!$B$17,Paramètres!$A$1:$I$89,5,0)</f>
        <v>308.53680000000003</v>
      </c>
      <c r="GB104" s="13">
        <f t="shared" si="103"/>
        <v>72.963171684496103</v>
      </c>
      <c r="GC104" s="20">
        <f t="shared" si="79"/>
        <v>664.4457840171641</v>
      </c>
      <c r="GD104" s="59">
        <f t="shared" si="80"/>
        <v>957.77911735049747</v>
      </c>
      <c r="GE104" s="59">
        <f ca="1">AVERAGE(OFFSET($GD$3,0,0,'Données projet'!$E$17+1,1))-AVERAGE(OFFSET($H$3,0,0,'Données projet'!$E$17+1,1))</f>
        <v>347.54503437087288</v>
      </c>
      <c r="GF104" s="59">
        <f t="shared" si="104"/>
        <v>340.05673244455954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34.597790700034615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34.597790700034615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735.00000000000011</v>
      </c>
      <c r="O105" s="13">
        <f>N105*VLOOKUP('Données projet'!$B$9,Paramètres!$A$1:$I$89,3,0)*VLOOKUP('Données projet'!$B$9,Paramètres!$A$1:$I$89,5,0)</f>
        <v>343.98</v>
      </c>
      <c r="P105" s="13">
        <f t="shared" si="87"/>
        <v>80.321681832084693</v>
      </c>
      <c r="Q105" s="20">
        <f t="shared" si="107"/>
        <v>738.9920958575475</v>
      </c>
      <c r="R105" s="59">
        <f t="shared" si="55"/>
        <v>1032.3254291908809</v>
      </c>
      <c r="S105" s="59">
        <f ca="1">AVERAGE(OFFSET($R$3,0,0,'Données projet'!$E$9+1,1))-AVERAGE(OFFSET($H$3,0,0,'Données projet'!$E$9+1,1))</f>
        <v>342.49944586217674</v>
      </c>
      <c r="T105" s="59">
        <f t="shared" si="88"/>
        <v>282.29766600872563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76.287758795364951</v>
      </c>
      <c r="AA105" s="21">
        <f>EXP(-LN(2)/25)*AA104+(1-EXP(-LN(2)/25))/(LN(2)/25)*Calculateur!V105*Calculateur!X105*VLOOKUP('Données projet'!$B$9,Paramètres!$A$1:$I$89,3,0)*0.475*44/12</f>
        <v>5.4446147454802611</v>
      </c>
      <c r="AB105" s="21">
        <f>EXP(-LN(2)/2)*AB104+(1-EXP(-LN(2)/2))/(LN(2)/2)*V105*Y105*VLOOKUP('Données projet'!$B$9,Paramètres!$A$1:$I$89,3,0)*0.475*44/12</f>
        <v>1.2048183526585187E-12</v>
      </c>
      <c r="AC105" s="22">
        <f t="shared" si="57"/>
        <v>81.732373540846424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739.99999999999966</v>
      </c>
      <c r="AJ105" s="13">
        <f>AI105*VLOOKUP('Données projet'!$B$10,Paramètres!$A$1:$I$89,3,0)*VLOOKUP('Données projet'!$B$10,Paramètres!$A$1:$I$89,5,0)</f>
        <v>413.65999999999985</v>
      </c>
      <c r="AK105" s="13">
        <f t="shared" si="89"/>
        <v>94.540585122244352</v>
      </c>
      <c r="AL105" s="20">
        <f t="shared" si="58"/>
        <v>885.11601908790863</v>
      </c>
      <c r="AM105" s="59">
        <f t="shared" si="59"/>
        <v>1178.4493524212419</v>
      </c>
      <c r="AN105" s="59">
        <f ca="1">AVERAGE(OFFSET($AM$3,0,0,'Données projet'!$E$10+1,1))-AVERAGE(OFFSET($H$3,0,0,'Données projet'!$E$10+1,1))</f>
        <v>490.96084572840579</v>
      </c>
      <c r="AO105" s="59">
        <f t="shared" si="90"/>
        <v>597.91658789908263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53.754793457023027</v>
      </c>
      <c r="AV105" s="21">
        <f>EXP(-LN(2)/25)*AV104+(1-EXP(-LN(2)/25))/(LN(2)/25)*Calculateur!AQ105*Calculateur!AS105*VLOOKUP('Données projet'!$B$10,Paramètres!$A$1:$I$89,3,0)*0.475*44/12</f>
        <v>7.8491672242440016</v>
      </c>
      <c r="AW105" s="21">
        <f>EXP(-LN(2)/2)*AW104+(1-EXP(-LN(2)/2))/(LN(2)/2)*AQ105*AT105*VLOOKUP('Données projet'!$B$10,Paramètres!$A$1:$I$89,3,0)*0.475*44/12</f>
        <v>1.2376161855920002E-11</v>
      </c>
      <c r="AX105" s="21">
        <f t="shared" si="60"/>
        <v>61.603960681279403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213.00000000000003</v>
      </c>
      <c r="BE105" s="13">
        <f>BD105*VLOOKUP('Données projet'!$B$11,Paramètres!$A$1:$I$89,3,0)*VLOOKUP('Données projet'!$B$11,Paramètres!$A$1:$I$89,5,0)</f>
        <v>169.46280000000002</v>
      </c>
      <c r="BF105" s="13">
        <f t="shared" si="91"/>
        <v>42.969686502194378</v>
      </c>
      <c r="BG105" s="20">
        <f t="shared" si="61"/>
        <v>369.98658065798855</v>
      </c>
      <c r="BH105" s="59">
        <f t="shared" si="62"/>
        <v>663.31991399132187</v>
      </c>
      <c r="BI105" s="59">
        <f ca="1">AVERAGE(OFFSET($BH$3,0,0,'Données projet'!$E$11+1,1))-AVERAGE(OFFSET($H$3,0,0,'Données projet'!$E$11+1,1))</f>
        <v>167.80254365106839</v>
      </c>
      <c r="BJ105" s="59">
        <f t="shared" si="92"/>
        <v>167.42302164950172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21.680856297565668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21.680856297565668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669.99999999999989</v>
      </c>
      <c r="BZ105" s="13">
        <f>BY105*VLOOKUP('Données projet'!$B$12,Paramètres!$A$1:$I$89,3,0)*VLOOKUP('Données projet'!$B$12,Paramètres!$A$1:$I$89,5,0)</f>
        <v>330.97999999999996</v>
      </c>
      <c r="CA105" s="13">
        <f t="shared" si="93"/>
        <v>77.633451096966454</v>
      </c>
      <c r="CB105" s="20">
        <f t="shared" si="64"/>
        <v>711.66842732721636</v>
      </c>
      <c r="CC105" s="59">
        <f t="shared" si="65"/>
        <v>1005.0017606605497</v>
      </c>
      <c r="CD105" s="59">
        <f ca="1">AVERAGE(OFFSET($CC$3,0,0,'Données projet'!$E$12+1,1))-AVERAGE(OFFSET($H$3,0,0,'Données projet'!$E$12+1,1))</f>
        <v>322.06606384496587</v>
      </c>
      <c r="CE105" s="59">
        <f t="shared" si="94"/>
        <v>267.71713177624713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75.248409332576486</v>
      </c>
      <c r="CL105" s="21">
        <f>EXP(-LN(2)/25)*CL104+(1-EXP(-LN(2)/25))/(LN(2)/25)*Calculateur!CG105*Calculateur!CI105*VLOOKUP('Données projet'!$B$12,Paramètres!$A$1:$I$89,3,0)*0.475*44/12</f>
        <v>2.7310287761003016</v>
      </c>
      <c r="CM105" s="21">
        <f>EXP(-LN(2)/2)*CM104+(1-EXP(-LN(2)/2))/(LN(2)/2)*CG105*CJ105*VLOOKUP('Données projet'!$B$12,Paramètres!$A$1:$I$89,3,0)*0.475*44/12</f>
        <v>5.7552957575090185E-11</v>
      </c>
      <c r="CN105" s="22">
        <f t="shared" si="66"/>
        <v>77.979438108734342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401</v>
      </c>
      <c r="CU105" s="17">
        <f>CT105*VLOOKUP('Données projet'!$B$13,Paramètres!$A$1:$I$89,3,0)*VLOOKUP('Données projet'!$B$13,Paramètres!$A$1:$I$89,5,0)</f>
        <v>250.22399999999999</v>
      </c>
      <c r="CV105" s="13">
        <f t="shared" si="95"/>
        <v>60.633904580527918</v>
      </c>
      <c r="CW105" s="20">
        <f t="shared" si="67"/>
        <v>541.41085047775289</v>
      </c>
      <c r="CX105" s="59">
        <f t="shared" si="68"/>
        <v>834.74418381108626</v>
      </c>
      <c r="CY105" s="59">
        <f ca="1">AVERAGE(OFFSET($CX$3,0,0,'Données projet'!$E$13+1,1))-AVERAGE(OFFSET($H$3,0,0,'Données projet'!$E$13+1,1))</f>
        <v>269.77739619445515</v>
      </c>
      <c r="CZ105" s="59">
        <f t="shared" si="96"/>
        <v>347.56964743629885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33.33266366069477</v>
      </c>
      <c r="DG105" s="21">
        <f>EXP(-LN(2)/25)*DG104+(1-EXP(-LN(2)/25))/(LN(2)/25)*Calculateur!DB105*Calculateur!DD105*VLOOKUP('Données projet'!$B$13,Paramètres!$A$1:$I$89,3,0)*0.475*44/12</f>
        <v>12.462429796117766</v>
      </c>
      <c r="DH105" s="21">
        <f>EXP(-LN(2)/2)*DH104+(1-EXP(-LN(2)/2))/(LN(2)/2)*DB105*DE105*VLOOKUP('Données projet'!$B$13,Paramètres!$A$1:$I$89,3,0)*0.475*44/12</f>
        <v>3.614455057975553E-13</v>
      </c>
      <c r="DI105" s="22">
        <f t="shared" si="69"/>
        <v>45.7950934568129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669.99999999999989</v>
      </c>
      <c r="DP105" s="17">
        <f>DO105*VLOOKUP('Données projet'!$B$14,Paramètres!$A$1:$I$89,3,0)*VLOOKUP('Données projet'!$B$14,Paramètres!$A$1:$I$89,5,0)</f>
        <v>322.26999999999992</v>
      </c>
      <c r="DQ105" s="13">
        <f t="shared" si="97"/>
        <v>75.825476822885776</v>
      </c>
      <c r="DR105" s="20">
        <f t="shared" si="70"/>
        <v>693.34962213319261</v>
      </c>
      <c r="DS105" s="59">
        <f t="shared" si="71"/>
        <v>986.68295546652598</v>
      </c>
      <c r="DT105" s="59">
        <f ca="1">AVERAGE(OFFSET($DS$3,0,0,'Données projet'!$E$14+1,1))-AVERAGE(OFFSET($H$3,0,0,'Données projet'!$E$14+1,1))</f>
        <v>312.64506496298173</v>
      </c>
      <c r="DU105" s="59">
        <f t="shared" si="98"/>
        <v>259.97532509897508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73.268188034350786</v>
      </c>
      <c r="EB105" s="21">
        <f>EXP(-LN(2)/25)*EB104+(1-EXP(-LN(2)/25))/(LN(2)/25)*Calculateur!DW105*Calculateur!DY105*VLOOKUP('Données projet'!$B$14,Paramètres!$A$1:$I$89,3,0)*0.475*44/12</f>
        <v>2.6591595977818749</v>
      </c>
      <c r="EC105" s="21">
        <f>EXP(-LN(2)/2)*EC104+(1-EXP(-LN(2)/2))/(LN(2)/2)*DW105*DZ105*VLOOKUP('Données projet'!$B$14,Paramètres!$A$1:$I$89,3,0)*0.475*44/12</f>
        <v>5.6038406059955878E-11</v>
      </c>
      <c r="ED105" s="22">
        <f t="shared" si="72"/>
        <v>75.927347632188699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4.5999999999999996</v>
      </c>
      <c r="EJ105" s="12">
        <f>IF('Données projet'!$A$192&gt;35,EJ104+EI105-ER104,IF(A105&lt;'Données projet'!$A$192,$EG$205^A105,IF(A105='Données projet'!$A$192,'Données projet'!$B$192,EJ104+EI105-ER104)))</f>
        <v>270.19999999999993</v>
      </c>
      <c r="EK105" s="17">
        <f>EJ105*VLOOKUP('Données projet'!$B$15,Paramètres!$A$1:$I$89,3,0)*VLOOKUP('Données projet'!$B$15,Paramètres!$A$1:$I$89,5,0)</f>
        <v>244.47695999999993</v>
      </c>
      <c r="EL105" s="13">
        <f t="shared" si="99"/>
        <v>59.401731670234192</v>
      </c>
      <c r="EM105" s="20">
        <f t="shared" si="73"/>
        <v>529.25538799232447</v>
      </c>
      <c r="EN105" s="59">
        <f t="shared" si="74"/>
        <v>822.58872132565784</v>
      </c>
      <c r="EO105" s="59">
        <f ca="1">AVERAGE(OFFSET($EN$3,0,0,'Données projet'!$E$15+1,1))-AVERAGE(OFFSET($H$3,0,0,'Données projet'!$E$15+1,1))</f>
        <v>269.64423257646359</v>
      </c>
      <c r="EP105" s="59">
        <f t="shared" si="100"/>
        <v>161.0819079811821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69.062819996648798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69.062819996648798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349.00000000000017</v>
      </c>
      <c r="FF105" s="17">
        <f>FE105*VLOOKUP('Données projet'!$B$16,Paramètres!$A$1:$I$89,3,0)*VLOOKUP('Données projet'!$B$16,Paramètres!$A$1:$I$89,5,0)</f>
        <v>272.22000000000014</v>
      </c>
      <c r="FG105" s="13">
        <f t="shared" si="101"/>
        <v>65.320184547527205</v>
      </c>
      <c r="FH105" s="20">
        <f t="shared" si="76"/>
        <v>587.88248808694345</v>
      </c>
      <c r="FI105" s="59">
        <f t="shared" si="77"/>
        <v>881.21582142027682</v>
      </c>
      <c r="FJ105" s="59">
        <f ca="1">AVERAGE(OFFSET($FI$3,0,0,'Données projet'!$E$16+1,1))-AVERAGE(OFFSET($H$3,0,0,'Données projet'!$E$16+1,1))</f>
        <v>283.77864672734273</v>
      </c>
      <c r="FK105" s="59">
        <f t="shared" si="102"/>
        <v>270.94620935643866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45.988260107030221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45.988260107030221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319</v>
      </c>
      <c r="GA105" s="17">
        <f>FZ105*VLOOKUP('Données projet'!$B$17,Paramètres!$A$1:$I$89,3,0)*VLOOKUP('Données projet'!$B$17,Paramètres!$A$1:$I$89,5,0)</f>
        <v>308.53680000000003</v>
      </c>
      <c r="GB105" s="13">
        <f t="shared" si="103"/>
        <v>72.963171684496103</v>
      </c>
      <c r="GC105" s="20">
        <f t="shared" si="79"/>
        <v>664.4457840171641</v>
      </c>
      <c r="GD105" s="59">
        <f t="shared" si="80"/>
        <v>957.77911735049747</v>
      </c>
      <c r="GE105" s="59">
        <f ca="1">AVERAGE(OFFSET($GD$3,0,0,'Données projet'!$E$17+1,1))-AVERAGE(OFFSET($H$3,0,0,'Données projet'!$E$17+1,1))</f>
        <v>347.54503437087288</v>
      </c>
      <c r="GF105" s="59">
        <f t="shared" si="104"/>
        <v>340.05673244455954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33.919349126975561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33.919349126975561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735.00000000000011</v>
      </c>
      <c r="O106" s="13">
        <f>N106*VLOOKUP('Données projet'!$B$9,Paramètres!$A$1:$I$89,3,0)*VLOOKUP('Données projet'!$B$9,Paramètres!$A$1:$I$89,5,0)</f>
        <v>343.98</v>
      </c>
      <c r="P106" s="13">
        <f t="shared" si="87"/>
        <v>80.321681832084693</v>
      </c>
      <c r="Q106" s="20">
        <f t="shared" si="107"/>
        <v>738.9920958575475</v>
      </c>
      <c r="R106" s="59">
        <f t="shared" si="55"/>
        <v>1032.3254291908809</v>
      </c>
      <c r="S106" s="59">
        <f ca="1">AVERAGE(OFFSET($R$3,0,0,'Données projet'!$E$9+1,1))-AVERAGE(OFFSET($H$3,0,0,'Données projet'!$E$9+1,1))</f>
        <v>342.49944586217674</v>
      </c>
      <c r="T106" s="59">
        <f t="shared" si="88"/>
        <v>282.29766600872563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74.79180237632616</v>
      </c>
      <c r="AA106" s="21">
        <f>EXP(-LN(2)/25)*AA105+(1-EXP(-LN(2)/25))/(LN(2)/25)*Calculateur!V106*Calculateur!X106*VLOOKUP('Données projet'!$B$9,Paramètres!$A$1:$I$89,3,0)*0.475*44/12</f>
        <v>5.2957314689452577</v>
      </c>
      <c r="AB106" s="21">
        <f>EXP(-LN(2)/2)*AB105+(1-EXP(-LN(2)/2))/(LN(2)/2)*V106*Y106*VLOOKUP('Données projet'!$B$9,Paramètres!$A$1:$I$89,3,0)*0.475*44/12</f>
        <v>8.5193522726284382E-13</v>
      </c>
      <c r="AC106" s="22">
        <f t="shared" si="57"/>
        <v>80.087533845272276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739.99999999999966</v>
      </c>
      <c r="AJ106" s="13">
        <f>AI106*VLOOKUP('Données projet'!$B$10,Paramètres!$A$1:$I$89,3,0)*VLOOKUP('Données projet'!$B$10,Paramètres!$A$1:$I$89,5,0)</f>
        <v>413.65999999999985</v>
      </c>
      <c r="AK106" s="13">
        <f t="shared" si="89"/>
        <v>94.540585122244352</v>
      </c>
      <c r="AL106" s="20">
        <f t="shared" si="58"/>
        <v>885.11601908790863</v>
      </c>
      <c r="AM106" s="59">
        <f t="shared" si="59"/>
        <v>1178.4493524212419</v>
      </c>
      <c r="AN106" s="59">
        <f ca="1">AVERAGE(OFFSET($AM$3,0,0,'Données projet'!$E$10+1,1))-AVERAGE(OFFSET($H$3,0,0,'Données projet'!$E$10+1,1))</f>
        <v>490.96084572840579</v>
      </c>
      <c r="AO106" s="59">
        <f t="shared" si="90"/>
        <v>597.91658789908263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52.700694744517349</v>
      </c>
      <c r="AV106" s="21">
        <f>EXP(-LN(2)/25)*AV105+(1-EXP(-LN(2)/25))/(LN(2)/25)*Calculateur!AQ106*Calculateur!AS106*VLOOKUP('Données projet'!$B$10,Paramètres!$A$1:$I$89,3,0)*0.475*44/12</f>
        <v>7.6345313337272849</v>
      </c>
      <c r="AW106" s="21">
        <f>EXP(-LN(2)/2)*AW105+(1-EXP(-LN(2)/2))/(LN(2)/2)*AQ106*AT106*VLOOKUP('Données projet'!$B$10,Paramètres!$A$1:$I$89,3,0)*0.475*44/12</f>
        <v>8.7512679733833205E-12</v>
      </c>
      <c r="AX106" s="21">
        <f t="shared" si="60"/>
        <v>60.335226078253385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213.00000000000003</v>
      </c>
      <c r="BE106" s="13">
        <f>BD106*VLOOKUP('Données projet'!$B$11,Paramètres!$A$1:$I$89,3,0)*VLOOKUP('Données projet'!$B$11,Paramètres!$A$1:$I$89,5,0)</f>
        <v>169.46280000000002</v>
      </c>
      <c r="BF106" s="13">
        <f t="shared" si="91"/>
        <v>42.969686502194378</v>
      </c>
      <c r="BG106" s="20">
        <f t="shared" si="61"/>
        <v>369.98658065798855</v>
      </c>
      <c r="BH106" s="59">
        <f t="shared" si="62"/>
        <v>663.31991399132187</v>
      </c>
      <c r="BI106" s="59">
        <f ca="1">AVERAGE(OFFSET($BH$3,0,0,'Données projet'!$E$11+1,1))-AVERAGE(OFFSET($H$3,0,0,'Données projet'!$E$11+1,1))</f>
        <v>167.80254365106839</v>
      </c>
      <c r="BJ106" s="59">
        <f t="shared" si="92"/>
        <v>167.42302164950172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21.255707929586983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21.255707929586983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669.99999999999989</v>
      </c>
      <c r="BZ106" s="13">
        <f>BY106*VLOOKUP('Données projet'!$B$12,Paramètres!$A$1:$I$89,3,0)*VLOOKUP('Données projet'!$B$12,Paramètres!$A$1:$I$89,5,0)</f>
        <v>330.97999999999996</v>
      </c>
      <c r="CA106" s="13">
        <f t="shared" si="93"/>
        <v>77.633451096966454</v>
      </c>
      <c r="CB106" s="20">
        <f t="shared" si="64"/>
        <v>711.66842732721636</v>
      </c>
      <c r="CC106" s="59">
        <f t="shared" si="65"/>
        <v>1005.0017606605497</v>
      </c>
      <c r="CD106" s="59">
        <f ca="1">AVERAGE(OFFSET($CC$3,0,0,'Données projet'!$E$12+1,1))-AVERAGE(OFFSET($H$3,0,0,'Données projet'!$E$12+1,1))</f>
        <v>322.06606384496587</v>
      </c>
      <c r="CE106" s="59">
        <f t="shared" si="94"/>
        <v>267.71713177624713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73.772833922562398</v>
      </c>
      <c r="CL106" s="21">
        <f>EXP(-LN(2)/25)*CL105+(1-EXP(-LN(2)/25))/(LN(2)/25)*Calculateur!CG106*Calculateur!CI106*VLOOKUP('Données projet'!$B$12,Paramètres!$A$1:$I$89,3,0)*0.475*44/12</f>
        <v>2.6563486505992775</v>
      </c>
      <c r="CM106" s="21">
        <f>EXP(-LN(2)/2)*CM105+(1-EXP(-LN(2)/2))/(LN(2)/2)*CG106*CJ106*VLOOKUP('Données projet'!$B$12,Paramètres!$A$1:$I$89,3,0)*0.475*44/12</f>
        <v>4.0696086578687952E-11</v>
      </c>
      <c r="CN106" s="22">
        <f t="shared" si="66"/>
        <v>76.429182573202382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401</v>
      </c>
      <c r="CU106" s="17">
        <f>CT106*VLOOKUP('Données projet'!$B$13,Paramètres!$A$1:$I$89,3,0)*VLOOKUP('Données projet'!$B$13,Paramètres!$A$1:$I$89,5,0)</f>
        <v>250.22399999999999</v>
      </c>
      <c r="CV106" s="13">
        <f t="shared" si="95"/>
        <v>60.633904580527918</v>
      </c>
      <c r="CW106" s="20">
        <f t="shared" si="67"/>
        <v>541.41085047775289</v>
      </c>
      <c r="CX106" s="59">
        <f t="shared" si="68"/>
        <v>834.74418381108626</v>
      </c>
      <c r="CY106" s="59">
        <f ca="1">AVERAGE(OFFSET($CX$3,0,0,'Données projet'!$E$13+1,1))-AVERAGE(OFFSET($H$3,0,0,'Données projet'!$E$13+1,1))</f>
        <v>269.77739619445515</v>
      </c>
      <c r="CZ106" s="59">
        <f t="shared" si="96"/>
        <v>347.56964743629885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32.679030457225871</v>
      </c>
      <c r="DG106" s="21">
        <f>EXP(-LN(2)/25)*DG105+(1-EXP(-LN(2)/25))/(LN(2)/25)*Calculateur!DB106*Calculateur!DD106*VLOOKUP('Données projet'!$B$13,Paramètres!$A$1:$I$89,3,0)*0.475*44/12</f>
        <v>12.121643997972226</v>
      </c>
      <c r="DH106" s="21">
        <f>EXP(-LN(2)/2)*DH105+(1-EXP(-LN(2)/2))/(LN(2)/2)*DB106*DE106*VLOOKUP('Données projet'!$B$13,Paramètres!$A$1:$I$89,3,0)*0.475*44/12</f>
        <v>2.5558056817885292E-13</v>
      </c>
      <c r="DI106" s="22">
        <f t="shared" si="69"/>
        <v>44.800674455198354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669.99999999999989</v>
      </c>
      <c r="DP106" s="17">
        <f>DO106*VLOOKUP('Données projet'!$B$14,Paramètres!$A$1:$I$89,3,0)*VLOOKUP('Données projet'!$B$14,Paramètres!$A$1:$I$89,5,0)</f>
        <v>322.26999999999992</v>
      </c>
      <c r="DQ106" s="13">
        <f t="shared" si="97"/>
        <v>75.825476822885776</v>
      </c>
      <c r="DR106" s="20">
        <f t="shared" si="70"/>
        <v>693.34962213319261</v>
      </c>
      <c r="DS106" s="59">
        <f t="shared" si="71"/>
        <v>986.68295546652598</v>
      </c>
      <c r="DT106" s="59">
        <f ca="1">AVERAGE(OFFSET($DS$3,0,0,'Données projet'!$E$14+1,1))-AVERAGE(OFFSET($H$3,0,0,'Données projet'!$E$14+1,1))</f>
        <v>312.64506496298173</v>
      </c>
      <c r="DU106" s="59">
        <f t="shared" si="98"/>
        <v>259.97532509897508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71.831443556179181</v>
      </c>
      <c r="EB106" s="21">
        <f>EXP(-LN(2)/25)*EB105+(1-EXP(-LN(2)/25))/(LN(2)/25)*Calculateur!DW106*Calculateur!DY106*VLOOKUP('Données projet'!$B$14,Paramètres!$A$1:$I$89,3,0)*0.475*44/12</f>
        <v>2.5864447387414038</v>
      </c>
      <c r="EC106" s="21">
        <f>EXP(-LN(2)/2)*EC105+(1-EXP(-LN(2)/2))/(LN(2)/2)*DW106*DZ106*VLOOKUP('Données projet'!$B$14,Paramètres!$A$1:$I$89,3,0)*0.475*44/12</f>
        <v>3.962513693188012E-11</v>
      </c>
      <c r="ED106" s="22">
        <f t="shared" si="72"/>
        <v>74.417888294960207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4.5999999999999996</v>
      </c>
      <c r="EJ106" s="12">
        <f>IF('Données projet'!$A$192&gt;35,EJ105+EI106-ER105,IF(A106&lt;'Données projet'!$A$192,$EG$205^A106,IF(A106='Données projet'!$A$192,'Données projet'!$B$192,EJ105+EI106-ER105)))</f>
        <v>274.79999999999995</v>
      </c>
      <c r="EK106" s="17">
        <f>EJ106*VLOOKUP('Données projet'!$B$15,Paramètres!$A$1:$I$89,3,0)*VLOOKUP('Données projet'!$B$15,Paramètres!$A$1:$I$89,5,0)</f>
        <v>248.63903999999994</v>
      </c>
      <c r="EL106" s="13">
        <f t="shared" si="99"/>
        <v>60.294419230169922</v>
      </c>
      <c r="EM106" s="20">
        <f t="shared" si="73"/>
        <v>538.05910815921254</v>
      </c>
      <c r="EN106" s="59">
        <f t="shared" si="74"/>
        <v>831.39244149254591</v>
      </c>
      <c r="EO106" s="59">
        <f ca="1">AVERAGE(OFFSET($EN$3,0,0,'Données projet'!$E$15+1,1))-AVERAGE(OFFSET($H$3,0,0,'Données projet'!$E$15+1,1))</f>
        <v>269.64423257646359</v>
      </c>
      <c r="EP106" s="59">
        <f t="shared" si="100"/>
        <v>161.0819079811821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67.708540220675303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67.708540220675303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349.00000000000017</v>
      </c>
      <c r="FF106" s="17">
        <f>FE106*VLOOKUP('Données projet'!$B$16,Paramètres!$A$1:$I$89,3,0)*VLOOKUP('Données projet'!$B$16,Paramètres!$A$1:$I$89,5,0)</f>
        <v>272.22000000000014</v>
      </c>
      <c r="FG106" s="13">
        <f t="shared" si="101"/>
        <v>65.320184547527205</v>
      </c>
      <c r="FH106" s="20">
        <f t="shared" si="76"/>
        <v>587.88248808694345</v>
      </c>
      <c r="FI106" s="59">
        <f t="shared" si="77"/>
        <v>881.21582142027682</v>
      </c>
      <c r="FJ106" s="59">
        <f ca="1">AVERAGE(OFFSET($FI$3,0,0,'Données projet'!$E$16+1,1))-AVERAGE(OFFSET($H$3,0,0,'Données projet'!$E$16+1,1))</f>
        <v>283.77864672734273</v>
      </c>
      <c r="FK106" s="59">
        <f t="shared" si="102"/>
        <v>270.94620935643866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45.086458376400309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45.086458376400309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319</v>
      </c>
      <c r="GA106" s="17">
        <f>FZ106*VLOOKUP('Données projet'!$B$17,Paramètres!$A$1:$I$89,3,0)*VLOOKUP('Données projet'!$B$17,Paramètres!$A$1:$I$89,5,0)</f>
        <v>308.53680000000003</v>
      </c>
      <c r="GB106" s="13">
        <f t="shared" si="103"/>
        <v>72.963171684496103</v>
      </c>
      <c r="GC106" s="20">
        <f t="shared" si="79"/>
        <v>664.4457840171641</v>
      </c>
      <c r="GD106" s="59">
        <f t="shared" si="80"/>
        <v>957.77911735049747</v>
      </c>
      <c r="GE106" s="59">
        <f ca="1">AVERAGE(OFFSET($GD$3,0,0,'Données projet'!$E$17+1,1))-AVERAGE(OFFSET($H$3,0,0,'Données projet'!$E$17+1,1))</f>
        <v>347.54503437087288</v>
      </c>
      <c r="GF106" s="59">
        <f t="shared" si="104"/>
        <v>340.05673244455954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33.254211379355695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33.254211379355695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735.00000000000011</v>
      </c>
      <c r="O107" s="13">
        <f>N107*VLOOKUP('Données projet'!$B$9,Paramètres!$A$1:$I$89,3,0)*VLOOKUP('Données projet'!$B$9,Paramètres!$A$1:$I$89,5,0)</f>
        <v>343.98</v>
      </c>
      <c r="P107" s="13">
        <f t="shared" si="87"/>
        <v>80.321681832084693</v>
      </c>
      <c r="Q107" s="20">
        <f t="shared" si="107"/>
        <v>738.9920958575475</v>
      </c>
      <c r="R107" s="59">
        <f t="shared" si="55"/>
        <v>1032.3254291908809</v>
      </c>
      <c r="S107" s="59">
        <f ca="1">AVERAGE(OFFSET($R$3,0,0,'Données projet'!$E$9+1,1))-AVERAGE(OFFSET($H$3,0,0,'Données projet'!$E$9+1,1))</f>
        <v>342.49944586217674</v>
      </c>
      <c r="T107" s="59">
        <f t="shared" si="88"/>
        <v>282.29766600872563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73.325180750221406</v>
      </c>
      <c r="AA107" s="21">
        <f>EXP(-LN(2)/25)*AA106+(1-EXP(-LN(2)/25))/(LN(2)/25)*Calculateur!V107*Calculateur!X107*VLOOKUP('Données projet'!$B$9,Paramètres!$A$1:$I$89,3,0)*0.475*44/12</f>
        <v>5.1509194134365348</v>
      </c>
      <c r="AB107" s="21">
        <f>EXP(-LN(2)/2)*AB106+(1-EXP(-LN(2)/2))/(LN(2)/2)*V107*Y107*VLOOKUP('Données projet'!$B$9,Paramètres!$A$1:$I$89,3,0)*0.475*44/12</f>
        <v>6.0240917632925934E-13</v>
      </c>
      <c r="AC107" s="22">
        <f t="shared" si="57"/>
        <v>78.476100163658543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739.99999999999966</v>
      </c>
      <c r="AJ107" s="13">
        <f>AI107*VLOOKUP('Données projet'!$B$10,Paramètres!$A$1:$I$89,3,0)*VLOOKUP('Données projet'!$B$10,Paramètres!$A$1:$I$89,5,0)</f>
        <v>413.65999999999985</v>
      </c>
      <c r="AK107" s="13">
        <f t="shared" si="89"/>
        <v>94.540585122244352</v>
      </c>
      <c r="AL107" s="20">
        <f t="shared" si="58"/>
        <v>885.11601908790863</v>
      </c>
      <c r="AM107" s="59">
        <f t="shared" si="59"/>
        <v>1178.4493524212419</v>
      </c>
      <c r="AN107" s="59">
        <f ca="1">AVERAGE(OFFSET($AM$3,0,0,'Données projet'!$E$10+1,1))-AVERAGE(OFFSET($H$3,0,0,'Données projet'!$E$10+1,1))</f>
        <v>490.96084572840579</v>
      </c>
      <c r="AO107" s="59">
        <f t="shared" si="90"/>
        <v>597.91658789908263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51.667266264827177</v>
      </c>
      <c r="AV107" s="21">
        <f>EXP(-LN(2)/25)*AV106+(1-EXP(-LN(2)/25))/(LN(2)/25)*Calculateur!AQ107*Calculateur!AS107*VLOOKUP('Données projet'!$B$10,Paramètres!$A$1:$I$89,3,0)*0.475*44/12</f>
        <v>7.4257646729239584</v>
      </c>
      <c r="AW107" s="21">
        <f>EXP(-LN(2)/2)*AW106+(1-EXP(-LN(2)/2))/(LN(2)/2)*AQ107*AT107*VLOOKUP('Données projet'!$B$10,Paramètres!$A$1:$I$89,3,0)*0.475*44/12</f>
        <v>6.1880809279600009E-12</v>
      </c>
      <c r="AX107" s="21">
        <f t="shared" si="60"/>
        <v>59.093030937757327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213.00000000000003</v>
      </c>
      <c r="BE107" s="13">
        <f>BD107*VLOOKUP('Données projet'!$B$11,Paramètres!$A$1:$I$89,3,0)*VLOOKUP('Données projet'!$B$11,Paramètres!$A$1:$I$89,5,0)</f>
        <v>169.46280000000002</v>
      </c>
      <c r="BF107" s="13">
        <f t="shared" si="91"/>
        <v>42.969686502194378</v>
      </c>
      <c r="BG107" s="20">
        <f t="shared" si="61"/>
        <v>369.98658065798855</v>
      </c>
      <c r="BH107" s="59">
        <f t="shared" si="62"/>
        <v>663.31991399132187</v>
      </c>
      <c r="BI107" s="59">
        <f ca="1">AVERAGE(OFFSET($BH$3,0,0,'Données projet'!$E$11+1,1))-AVERAGE(OFFSET($H$3,0,0,'Données projet'!$E$11+1,1))</f>
        <v>167.80254365106839</v>
      </c>
      <c r="BJ107" s="59">
        <f t="shared" si="92"/>
        <v>167.42302164950172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20.83889646178946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20.83889646178946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669.99999999999989</v>
      </c>
      <c r="BZ107" s="13">
        <f>BY107*VLOOKUP('Données projet'!$B$12,Paramètres!$A$1:$I$89,3,0)*VLOOKUP('Données projet'!$B$12,Paramètres!$A$1:$I$89,5,0)</f>
        <v>330.97999999999996</v>
      </c>
      <c r="CA107" s="13">
        <f t="shared" si="93"/>
        <v>77.633451096966454</v>
      </c>
      <c r="CB107" s="20">
        <f t="shared" si="64"/>
        <v>711.66842732721636</v>
      </c>
      <c r="CC107" s="59">
        <f t="shared" si="65"/>
        <v>1005.0017606605497</v>
      </c>
      <c r="CD107" s="59">
        <f ca="1">AVERAGE(OFFSET($CC$3,0,0,'Données projet'!$E$12+1,1))-AVERAGE(OFFSET($H$3,0,0,'Données projet'!$E$12+1,1))</f>
        <v>322.06606384496587</v>
      </c>
      <c r="CE107" s="59">
        <f t="shared" si="94"/>
        <v>267.71713177624713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72.326193646326558</v>
      </c>
      <c r="CL107" s="21">
        <f>EXP(-LN(2)/25)*CL106+(1-EXP(-LN(2)/25))/(LN(2)/25)*Calculateur!CG107*Calculateur!CI107*VLOOKUP('Données projet'!$B$12,Paramètres!$A$1:$I$89,3,0)*0.475*44/12</f>
        <v>2.583710657057336</v>
      </c>
      <c r="CM107" s="21">
        <f>EXP(-LN(2)/2)*CM106+(1-EXP(-LN(2)/2))/(LN(2)/2)*CG107*CJ107*VLOOKUP('Données projet'!$B$12,Paramètres!$A$1:$I$89,3,0)*0.475*44/12</f>
        <v>2.8776478787545096E-11</v>
      </c>
      <c r="CN107" s="22">
        <f t="shared" si="66"/>
        <v>74.909904303412674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401</v>
      </c>
      <c r="CU107" s="17">
        <f>CT107*VLOOKUP('Données projet'!$B$13,Paramètres!$A$1:$I$89,3,0)*VLOOKUP('Données projet'!$B$13,Paramètres!$A$1:$I$89,5,0)</f>
        <v>250.22399999999999</v>
      </c>
      <c r="CV107" s="13">
        <f t="shared" si="95"/>
        <v>60.633904580527918</v>
      </c>
      <c r="CW107" s="20">
        <f t="shared" si="67"/>
        <v>541.41085047775289</v>
      </c>
      <c r="CX107" s="59">
        <f t="shared" si="68"/>
        <v>834.74418381108626</v>
      </c>
      <c r="CY107" s="59">
        <f ca="1">AVERAGE(OFFSET($CX$3,0,0,'Données projet'!$E$13+1,1))-AVERAGE(OFFSET($H$3,0,0,'Données projet'!$E$13+1,1))</f>
        <v>269.77739619445515</v>
      </c>
      <c r="CZ107" s="59">
        <f t="shared" si="96"/>
        <v>347.56964743629885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32.038214602200107</v>
      </c>
      <c r="DG107" s="21">
        <f>EXP(-LN(2)/25)*DG106+(1-EXP(-LN(2)/25))/(LN(2)/25)*Calculateur!DB107*Calculateur!DD107*VLOOKUP('Données projet'!$B$13,Paramètres!$A$1:$I$89,3,0)*0.475*44/12</f>
        <v>11.790177005398123</v>
      </c>
      <c r="DH107" s="21">
        <f>EXP(-LN(2)/2)*DH106+(1-EXP(-LN(2)/2))/(LN(2)/2)*DB107*DE107*VLOOKUP('Données projet'!$B$13,Paramètres!$A$1:$I$89,3,0)*0.475*44/12</f>
        <v>1.8072275289877765E-13</v>
      </c>
      <c r="DI107" s="22">
        <f t="shared" si="69"/>
        <v>43.828391607598405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669.99999999999989</v>
      </c>
      <c r="DP107" s="17">
        <f>DO107*VLOOKUP('Données projet'!$B$14,Paramètres!$A$1:$I$89,3,0)*VLOOKUP('Données projet'!$B$14,Paramètres!$A$1:$I$89,5,0)</f>
        <v>322.26999999999992</v>
      </c>
      <c r="DQ107" s="13">
        <f t="shared" si="97"/>
        <v>75.825476822885776</v>
      </c>
      <c r="DR107" s="20">
        <f t="shared" si="70"/>
        <v>693.34962213319261</v>
      </c>
      <c r="DS107" s="59">
        <f t="shared" si="71"/>
        <v>986.68295546652598</v>
      </c>
      <c r="DT107" s="59">
        <f ca="1">AVERAGE(OFFSET($DS$3,0,0,'Données projet'!$E$14+1,1))-AVERAGE(OFFSET($H$3,0,0,'Données projet'!$E$14+1,1))</f>
        <v>312.64506496298173</v>
      </c>
      <c r="DU107" s="59">
        <f t="shared" si="98"/>
        <v>259.97532509897508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70.422872760896922</v>
      </c>
      <c r="EB107" s="21">
        <f>EXP(-LN(2)/25)*EB106+(1-EXP(-LN(2)/25))/(LN(2)/25)*Calculateur!DW107*Calculateur!DY107*VLOOKUP('Données projet'!$B$14,Paramètres!$A$1:$I$89,3,0)*0.475*44/12</f>
        <v>2.5157182713453028</v>
      </c>
      <c r="EC107" s="21">
        <f>EXP(-LN(2)/2)*EC106+(1-EXP(-LN(2)/2))/(LN(2)/2)*DW107*DZ107*VLOOKUP('Données projet'!$B$14,Paramètres!$A$1:$I$89,3,0)*0.475*44/12</f>
        <v>2.8019203029977939E-11</v>
      </c>
      <c r="ED107" s="22">
        <f t="shared" si="72"/>
        <v>72.938591032270253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4.5999999999999996</v>
      </c>
      <c r="EJ107" s="12">
        <f>IF('Données projet'!$A$192&gt;35,EJ106+EI107-ER106,IF(A107&lt;'Données projet'!$A$192,$EG$205^A107,IF(A107='Données projet'!$A$192,'Données projet'!$B$192,EJ106+EI107-ER106)))</f>
        <v>279.39999999999998</v>
      </c>
      <c r="EK107" s="17">
        <f>EJ107*VLOOKUP('Données projet'!$B$15,Paramètres!$A$1:$I$89,3,0)*VLOOKUP('Données projet'!$B$15,Paramètres!$A$1:$I$89,5,0)</f>
        <v>252.80111999999994</v>
      </c>
      <c r="EL107" s="13">
        <f t="shared" si="99"/>
        <v>61.185369021394209</v>
      </c>
      <c r="EM107" s="20">
        <f t="shared" si="73"/>
        <v>546.8598017122614</v>
      </c>
      <c r="EN107" s="59">
        <f t="shared" si="74"/>
        <v>840.19313504559477</v>
      </c>
      <c r="EO107" s="59">
        <f ca="1">AVERAGE(OFFSET($EN$3,0,0,'Données projet'!$E$15+1,1))-AVERAGE(OFFSET($H$3,0,0,'Données projet'!$E$15+1,1))</f>
        <v>269.64423257646359</v>
      </c>
      <c r="EP107" s="59">
        <f t="shared" si="100"/>
        <v>161.0819079811821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66.380817045079539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66.380817045079539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349.00000000000017</v>
      </c>
      <c r="FF107" s="17">
        <f>FE107*VLOOKUP('Données projet'!$B$16,Paramètres!$A$1:$I$89,3,0)*VLOOKUP('Données projet'!$B$16,Paramètres!$A$1:$I$89,5,0)</f>
        <v>272.22000000000014</v>
      </c>
      <c r="FG107" s="13">
        <f t="shared" si="101"/>
        <v>65.320184547527205</v>
      </c>
      <c r="FH107" s="20">
        <f t="shared" si="76"/>
        <v>587.88248808694345</v>
      </c>
      <c r="FI107" s="59">
        <f t="shared" si="77"/>
        <v>881.21582142027682</v>
      </c>
      <c r="FJ107" s="59">
        <f ca="1">AVERAGE(OFFSET($FI$3,0,0,'Données projet'!$E$16+1,1))-AVERAGE(OFFSET($H$3,0,0,'Données projet'!$E$16+1,1))</f>
        <v>283.77864672734273</v>
      </c>
      <c r="FK107" s="59">
        <f t="shared" si="102"/>
        <v>270.94620935643866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44.202340427663309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44.202340427663309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319</v>
      </c>
      <c r="GA107" s="17">
        <f>FZ107*VLOOKUP('Données projet'!$B$17,Paramètres!$A$1:$I$89,3,0)*VLOOKUP('Données projet'!$B$17,Paramètres!$A$1:$I$89,5,0)</f>
        <v>308.53680000000003</v>
      </c>
      <c r="GB107" s="13">
        <f t="shared" si="103"/>
        <v>72.963171684496103</v>
      </c>
      <c r="GC107" s="20">
        <f t="shared" si="79"/>
        <v>664.4457840171641</v>
      </c>
      <c r="GD107" s="59">
        <f t="shared" si="80"/>
        <v>957.77911735049747</v>
      </c>
      <c r="GE107" s="59">
        <f ca="1">AVERAGE(OFFSET($GD$3,0,0,'Données projet'!$E$17+1,1))-AVERAGE(OFFSET($H$3,0,0,'Données projet'!$E$17+1,1))</f>
        <v>347.54503437087288</v>
      </c>
      <c r="GF107" s="59">
        <f t="shared" si="104"/>
        <v>340.05673244455954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32.602116577272682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32.602116577272682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735.00000000000011</v>
      </c>
      <c r="O108" s="13">
        <f>N108*VLOOKUP('Données projet'!$B$9,Paramètres!$A$1:$I$89,3,0)*VLOOKUP('Données projet'!$B$9,Paramètres!$A$1:$I$89,5,0)</f>
        <v>343.98</v>
      </c>
      <c r="P108" s="13">
        <f t="shared" si="87"/>
        <v>80.321681832084693</v>
      </c>
      <c r="Q108" s="20">
        <f t="shared" si="107"/>
        <v>738.9920958575475</v>
      </c>
      <c r="R108" s="59">
        <f t="shared" si="55"/>
        <v>1032.3254291908809</v>
      </c>
      <c r="S108" s="59">
        <f ca="1">AVERAGE(OFFSET($R$3,0,0,'Données projet'!$E$9+1,1))-AVERAGE(OFFSET($H$3,0,0,'Données projet'!$E$9+1,1))</f>
        <v>342.49944586217674</v>
      </c>
      <c r="T108" s="59">
        <f t="shared" si="88"/>
        <v>282.29766600872563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71.887318679653703</v>
      </c>
      <c r="AA108" s="21">
        <f>EXP(-LN(2)/25)*AA107+(1-EXP(-LN(2)/25))/(LN(2)/25)*Calculateur!V108*Calculateur!X108*VLOOKUP('Données projet'!$B$9,Paramètres!$A$1:$I$89,3,0)*0.475*44/12</f>
        <v>5.0100672512010336</v>
      </c>
      <c r="AB108" s="21">
        <f>EXP(-LN(2)/2)*AB107+(1-EXP(-LN(2)/2))/(LN(2)/2)*V108*Y108*VLOOKUP('Données projet'!$B$9,Paramètres!$A$1:$I$89,3,0)*0.475*44/12</f>
        <v>4.2596761363142191E-13</v>
      </c>
      <c r="AC108" s="22">
        <f t="shared" si="57"/>
        <v>76.897385930855165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739.99999999999966</v>
      </c>
      <c r="AJ108" s="13">
        <f>AI108*VLOOKUP('Données projet'!$B$10,Paramètres!$A$1:$I$89,3,0)*VLOOKUP('Données projet'!$B$10,Paramètres!$A$1:$I$89,5,0)</f>
        <v>413.65999999999985</v>
      </c>
      <c r="AK108" s="13">
        <f t="shared" si="89"/>
        <v>94.540585122244352</v>
      </c>
      <c r="AL108" s="20">
        <f t="shared" si="58"/>
        <v>885.11601908790863</v>
      </c>
      <c r="AM108" s="59">
        <f t="shared" si="59"/>
        <v>1178.4493524212419</v>
      </c>
      <c r="AN108" s="59">
        <f ca="1">AVERAGE(OFFSET($AM$3,0,0,'Données projet'!$E$10+1,1))-AVERAGE(OFFSET($H$3,0,0,'Données projet'!$E$10+1,1))</f>
        <v>490.96084572840579</v>
      </c>
      <c r="AO108" s="59">
        <f t="shared" si="90"/>
        <v>597.91658789908263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50.654102687294596</v>
      </c>
      <c r="AV108" s="21">
        <f>EXP(-LN(2)/25)*AV107+(1-EXP(-LN(2)/25))/(LN(2)/25)*Calculateur!AQ108*Calculateur!AS108*VLOOKUP('Données projet'!$B$10,Paramètres!$A$1:$I$89,3,0)*0.475*44/12</f>
        <v>7.2227067474388607</v>
      </c>
      <c r="AW108" s="21">
        <f>EXP(-LN(2)/2)*AW107+(1-EXP(-LN(2)/2))/(LN(2)/2)*AQ108*AT108*VLOOKUP('Données projet'!$B$10,Paramètres!$A$1:$I$89,3,0)*0.475*44/12</f>
        <v>4.3756339866916602E-12</v>
      </c>
      <c r="AX108" s="21">
        <f t="shared" si="60"/>
        <v>57.876809434737837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213.00000000000003</v>
      </c>
      <c r="BE108" s="13">
        <f>BD108*VLOOKUP('Données projet'!$B$11,Paramètres!$A$1:$I$89,3,0)*VLOOKUP('Données projet'!$B$11,Paramètres!$A$1:$I$89,5,0)</f>
        <v>169.46280000000002</v>
      </c>
      <c r="BF108" s="13">
        <f t="shared" si="91"/>
        <v>42.969686502194378</v>
      </c>
      <c r="BG108" s="20">
        <f t="shared" si="61"/>
        <v>369.98658065798855</v>
      </c>
      <c r="BH108" s="59">
        <f t="shared" si="62"/>
        <v>663.31991399132187</v>
      </c>
      <c r="BI108" s="59">
        <f ca="1">AVERAGE(OFFSET($BH$3,0,0,'Données projet'!$E$11+1,1))-AVERAGE(OFFSET($H$3,0,0,'Données projet'!$E$11+1,1))</f>
        <v>167.80254365106839</v>
      </c>
      <c r="BJ108" s="59">
        <f t="shared" si="92"/>
        <v>167.42302164950172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20.430258412645557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20.430258412645557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669.99999999999989</v>
      </c>
      <c r="BZ108" s="13">
        <f>BY108*VLOOKUP('Données projet'!$B$12,Paramètres!$A$1:$I$89,3,0)*VLOOKUP('Données projet'!$B$12,Paramètres!$A$1:$I$89,5,0)</f>
        <v>330.97999999999996</v>
      </c>
      <c r="CA108" s="13">
        <f t="shared" si="93"/>
        <v>77.633451096966454</v>
      </c>
      <c r="CB108" s="20">
        <f t="shared" si="64"/>
        <v>711.66842732721636</v>
      </c>
      <c r="CC108" s="59">
        <f t="shared" si="65"/>
        <v>1005.0017606605497</v>
      </c>
      <c r="CD108" s="59">
        <f ca="1">AVERAGE(OFFSET($CC$3,0,0,'Données projet'!$E$12+1,1))-AVERAGE(OFFSET($H$3,0,0,'Données projet'!$E$12+1,1))</f>
        <v>322.06606384496587</v>
      </c>
      <c r="CE108" s="59">
        <f t="shared" si="94"/>
        <v>267.71713177624713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70.907921103544268</v>
      </c>
      <c r="CL108" s="21">
        <f>EXP(-LN(2)/25)*CL107+(1-EXP(-LN(2)/25))/(LN(2)/25)*Calculateur!CG108*Calculateur!CI108*VLOOKUP('Données projet'!$B$12,Paramètres!$A$1:$I$89,3,0)*0.475*44/12</f>
        <v>2.5130589532686649</v>
      </c>
      <c r="CM108" s="21">
        <f>EXP(-LN(2)/2)*CM107+(1-EXP(-LN(2)/2))/(LN(2)/2)*CG108*CJ108*VLOOKUP('Données projet'!$B$12,Paramètres!$A$1:$I$89,3,0)*0.475*44/12</f>
        <v>2.0348043289343979E-11</v>
      </c>
      <c r="CN108" s="22">
        <f t="shared" si="66"/>
        <v>73.420980056833287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401</v>
      </c>
      <c r="CU108" s="17">
        <f>CT108*VLOOKUP('Données projet'!$B$13,Paramètres!$A$1:$I$89,3,0)*VLOOKUP('Données projet'!$B$13,Paramètres!$A$1:$I$89,5,0)</f>
        <v>250.22399999999999</v>
      </c>
      <c r="CV108" s="13">
        <f t="shared" si="95"/>
        <v>60.633904580527918</v>
      </c>
      <c r="CW108" s="20">
        <f t="shared" si="67"/>
        <v>541.41085047775289</v>
      </c>
      <c r="CX108" s="59">
        <f t="shared" si="68"/>
        <v>834.74418381108626</v>
      </c>
      <c r="CY108" s="59">
        <f ca="1">AVERAGE(OFFSET($CX$3,0,0,'Données projet'!$E$13+1,1))-AVERAGE(OFFSET($H$3,0,0,'Données projet'!$E$13+1,1))</f>
        <v>269.77739619445515</v>
      </c>
      <c r="CZ108" s="59">
        <f t="shared" si="96"/>
        <v>347.56964743629885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31.40996475523232</v>
      </c>
      <c r="DG108" s="21">
        <f>EXP(-LN(2)/25)*DG107+(1-EXP(-LN(2)/25))/(LN(2)/25)*Calculateur!DB108*Calculateur!DD108*VLOOKUP('Données projet'!$B$13,Paramètres!$A$1:$I$89,3,0)*0.475*44/12</f>
        <v>11.467773995167049</v>
      </c>
      <c r="DH108" s="21">
        <f>EXP(-LN(2)/2)*DH107+(1-EXP(-LN(2)/2))/(LN(2)/2)*DB108*DE108*VLOOKUP('Données projet'!$B$13,Paramètres!$A$1:$I$89,3,0)*0.475*44/12</f>
        <v>1.2779028408942646E-13</v>
      </c>
      <c r="DI108" s="22">
        <f t="shared" si="69"/>
        <v>42.877738750399494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669.99999999999989</v>
      </c>
      <c r="DP108" s="17">
        <f>DO108*VLOOKUP('Données projet'!$B$14,Paramètres!$A$1:$I$89,3,0)*VLOOKUP('Données projet'!$B$14,Paramètres!$A$1:$I$89,5,0)</f>
        <v>322.26999999999992</v>
      </c>
      <c r="DQ108" s="13">
        <f t="shared" si="97"/>
        <v>75.825476822885776</v>
      </c>
      <c r="DR108" s="20">
        <f t="shared" si="70"/>
        <v>693.34962213319261</v>
      </c>
      <c r="DS108" s="59">
        <f t="shared" si="71"/>
        <v>986.68295546652598</v>
      </c>
      <c r="DT108" s="59">
        <f ca="1">AVERAGE(OFFSET($DS$3,0,0,'Données projet'!$E$14+1,1))-AVERAGE(OFFSET($H$3,0,0,'Données projet'!$E$14+1,1))</f>
        <v>312.64506496298173</v>
      </c>
      <c r="DU108" s="59">
        <f t="shared" si="98"/>
        <v>259.97532509897508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69.041923179766798</v>
      </c>
      <c r="EB108" s="21">
        <f>EXP(-LN(2)/25)*EB107+(1-EXP(-LN(2)/25))/(LN(2)/25)*Calculateur!DW108*Calculateur!DY108*VLOOKUP('Données projet'!$B$14,Paramètres!$A$1:$I$89,3,0)*0.475*44/12</f>
        <v>2.4469258229194915</v>
      </c>
      <c r="EC108" s="21">
        <f>EXP(-LN(2)/2)*EC107+(1-EXP(-LN(2)/2))/(LN(2)/2)*DW108*DZ108*VLOOKUP('Données projet'!$B$14,Paramètres!$A$1:$I$89,3,0)*0.475*44/12</f>
        <v>1.981256846594006E-11</v>
      </c>
      <c r="ED108" s="22">
        <f t="shared" si="72"/>
        <v>71.488849002706104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284</v>
      </c>
      <c r="EH108" s="12">
        <f>VLOOKUP(A108,'Données projet'!$A$191:$I$211,9,0)</f>
        <v>4.5999999999999996</v>
      </c>
      <c r="EI108" s="12">
        <f t="array" ref="EI108">INDEX(EH:EH,MIN(IF(ISNUMBER(EH108:EH304),ROW(EH108:EH304),"")))</f>
        <v>4.5999999999999996</v>
      </c>
      <c r="EJ108" s="12">
        <f>IF('Données projet'!$A$192&gt;35,EJ107+EI108-ER107,IF(A108&lt;'Données projet'!$A$192,$EG$205^A108,IF(A108='Données projet'!$A$192,'Données projet'!$B$192,EJ107+EI108-ER107)))</f>
        <v>284</v>
      </c>
      <c r="EK108" s="17">
        <f>EJ108*VLOOKUP('Données projet'!$B$15,Paramètres!$A$1:$I$89,3,0)*VLOOKUP('Données projet'!$B$15,Paramètres!$A$1:$I$89,5,0)</f>
        <v>256.96320000000003</v>
      </c>
      <c r="EL108" s="13">
        <f t="shared" si="99"/>
        <v>62.074612956838024</v>
      </c>
      <c r="EM108" s="20">
        <f t="shared" si="73"/>
        <v>555.65752423315951</v>
      </c>
      <c r="EN108" s="59">
        <f t="shared" si="74"/>
        <v>848.99085756649288</v>
      </c>
      <c r="EO108" s="59">
        <f ca="1">AVERAGE(OFFSET($EN$3,0,0,'Données projet'!$E$15+1,1))-AVERAGE(OFFSET($H$3,0,0,'Données projet'!$E$15+1,1))</f>
        <v>269.64423257646359</v>
      </c>
      <c r="EP108" s="59">
        <f t="shared" si="100"/>
        <v>161.0819079811821</v>
      </c>
      <c r="EQ108" s="15">
        <f>IF(ISNA(VLOOKUP(A108,'Données projet'!$A$191:$I$211,3,0)),0,VLOOKUP(A108,'Données projet'!$A$191:$I$211,3,0))</f>
        <v>17</v>
      </c>
      <c r="ER108" s="15">
        <f>IF(ISNA(VLOOKUP(A108,'Données projet'!$A$191:$I$211,4,0)),0,VLOOKUP(A108,'Données projet'!$A$191:$I$211,4,0))</f>
        <v>20</v>
      </c>
      <c r="ES108" s="16">
        <f>IF(ISNA(VLOOKUP(A108,'Données projet'!$A$191:$I$211,5,0)),0%,VLOOKUP(A108,'Données projet'!$A$191:$I$211,5,0)*VLOOKUP('Données projet'!$B$15,Paramètres!$A$1:$I$89,7,0))</f>
        <v>0.43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73.681104265978192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73.681104265978192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349.00000000000017</v>
      </c>
      <c r="FF108" s="17">
        <f>FE108*VLOOKUP('Données projet'!$B$16,Paramètres!$A$1:$I$89,3,0)*VLOOKUP('Données projet'!$B$16,Paramètres!$A$1:$I$89,5,0)</f>
        <v>272.22000000000014</v>
      </c>
      <c r="FG108" s="13">
        <f t="shared" si="101"/>
        <v>65.320184547527205</v>
      </c>
      <c r="FH108" s="20">
        <f t="shared" si="76"/>
        <v>587.88248808694345</v>
      </c>
      <c r="FI108" s="59">
        <f t="shared" si="77"/>
        <v>881.21582142027682</v>
      </c>
      <c r="FJ108" s="59">
        <f ca="1">AVERAGE(OFFSET($FI$3,0,0,'Données projet'!$E$16+1,1))-AVERAGE(OFFSET($H$3,0,0,'Données projet'!$E$16+1,1))</f>
        <v>283.77864672734273</v>
      </c>
      <c r="FK108" s="59">
        <f t="shared" si="102"/>
        <v>270.94620935643866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43.335559492642339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43.335559492642339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319</v>
      </c>
      <c r="GA108" s="17">
        <f>FZ108*VLOOKUP('Données projet'!$B$17,Paramètres!$A$1:$I$89,3,0)*VLOOKUP('Données projet'!$B$17,Paramètres!$A$1:$I$89,5,0)</f>
        <v>308.53680000000003</v>
      </c>
      <c r="GB108" s="13">
        <f t="shared" si="103"/>
        <v>72.963171684496103</v>
      </c>
      <c r="GC108" s="20">
        <f t="shared" si="79"/>
        <v>664.4457840171641</v>
      </c>
      <c r="GD108" s="59">
        <f t="shared" si="80"/>
        <v>957.77911735049747</v>
      </c>
      <c r="GE108" s="59">
        <f ca="1">AVERAGE(OFFSET($GD$3,0,0,'Données projet'!$E$17+1,1))-AVERAGE(OFFSET($H$3,0,0,'Données projet'!$E$17+1,1))</f>
        <v>347.54503437087288</v>
      </c>
      <c r="GF108" s="59">
        <f t="shared" si="104"/>
        <v>340.05673244455954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31.962808956519964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31.962808956519964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735.00000000000011</v>
      </c>
      <c r="O109" s="13">
        <f>N109*VLOOKUP('Données projet'!$B$9,Paramètres!$A$1:$I$89,3,0)*VLOOKUP('Données projet'!$B$9,Paramètres!$A$1:$I$89,5,0)</f>
        <v>343.98</v>
      </c>
      <c r="P109" s="13">
        <f t="shared" si="87"/>
        <v>80.321681832084693</v>
      </c>
      <c r="Q109" s="20">
        <f t="shared" si="107"/>
        <v>738.9920958575475</v>
      </c>
      <c r="R109" s="59">
        <f t="shared" si="55"/>
        <v>1032.3254291908809</v>
      </c>
      <c r="S109" s="59">
        <f ca="1">AVERAGE(OFFSET($R$3,0,0,'Données projet'!$E$9+1,1))-AVERAGE(OFFSET($H$3,0,0,'Données projet'!$E$9+1,1))</f>
        <v>342.49944586217674</v>
      </c>
      <c r="T109" s="59">
        <f t="shared" si="88"/>
        <v>282.29766600872563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70.477652207280556</v>
      </c>
      <c r="AA109" s="21">
        <f>EXP(-LN(2)/25)*AA108+(1-EXP(-LN(2)/25))/(LN(2)/25)*Calculateur!V109*Calculateur!X109*VLOOKUP('Données projet'!$B$9,Paramètres!$A$1:$I$89,3,0)*0.475*44/12</f>
        <v>4.8730666987489553</v>
      </c>
      <c r="AB109" s="21">
        <f>EXP(-LN(2)/2)*AB108+(1-EXP(-LN(2)/2))/(LN(2)/2)*V109*Y109*VLOOKUP('Données projet'!$B$9,Paramètres!$A$1:$I$89,3,0)*0.475*44/12</f>
        <v>3.0120458816462967E-13</v>
      </c>
      <c r="AC109" s="22">
        <f t="shared" si="57"/>
        <v>75.350718906029812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739.99999999999966</v>
      </c>
      <c r="AJ109" s="13">
        <f>AI109*VLOOKUP('Données projet'!$B$10,Paramètres!$A$1:$I$89,3,0)*VLOOKUP('Données projet'!$B$10,Paramètres!$A$1:$I$89,5,0)</f>
        <v>413.65999999999985</v>
      </c>
      <c r="AK109" s="13">
        <f t="shared" si="89"/>
        <v>94.540585122244352</v>
      </c>
      <c r="AL109" s="20">
        <f t="shared" si="58"/>
        <v>885.11601908790863</v>
      </c>
      <c r="AM109" s="59">
        <f t="shared" si="59"/>
        <v>1178.4493524212419</v>
      </c>
      <c r="AN109" s="59">
        <f ca="1">AVERAGE(OFFSET($AM$3,0,0,'Données projet'!$E$10+1,1))-AVERAGE(OFFSET($H$3,0,0,'Données projet'!$E$10+1,1))</f>
        <v>490.96084572840579</v>
      </c>
      <c r="AO109" s="59">
        <f t="shared" si="90"/>
        <v>597.91658789908263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49.660806629548667</v>
      </c>
      <c r="AV109" s="21">
        <f>EXP(-LN(2)/25)*AV108+(1-EXP(-LN(2)/25))/(LN(2)/25)*Calculateur!AQ109*Calculateur!AS109*VLOOKUP('Données projet'!$B$10,Paramètres!$A$1:$I$89,3,0)*0.475*44/12</f>
        <v>7.0252014516045049</v>
      </c>
      <c r="AW109" s="21">
        <f>EXP(-LN(2)/2)*AW108+(1-EXP(-LN(2)/2))/(LN(2)/2)*AQ109*AT109*VLOOKUP('Données projet'!$B$10,Paramètres!$A$1:$I$89,3,0)*0.475*44/12</f>
        <v>3.0940404639800005E-12</v>
      </c>
      <c r="AX109" s="21">
        <f t="shared" si="60"/>
        <v>56.68600808115626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213.00000000000003</v>
      </c>
      <c r="BE109" s="13">
        <f>BD109*VLOOKUP('Données projet'!$B$11,Paramètres!$A$1:$I$89,3,0)*VLOOKUP('Données projet'!$B$11,Paramètres!$A$1:$I$89,5,0)</f>
        <v>169.46280000000002</v>
      </c>
      <c r="BF109" s="13">
        <f t="shared" si="91"/>
        <v>42.969686502194378</v>
      </c>
      <c r="BG109" s="20">
        <f t="shared" si="61"/>
        <v>369.98658065798855</v>
      </c>
      <c r="BH109" s="59">
        <f t="shared" si="62"/>
        <v>663.31991399132187</v>
      </c>
      <c r="BI109" s="59">
        <f ca="1">AVERAGE(OFFSET($BH$3,0,0,'Données projet'!$E$11+1,1))-AVERAGE(OFFSET($H$3,0,0,'Données projet'!$E$11+1,1))</f>
        <v>167.80254365106839</v>
      </c>
      <c r="BJ109" s="59">
        <f t="shared" si="92"/>
        <v>167.42302164950172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20.029633506400767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20.029633506400767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669.99999999999989</v>
      </c>
      <c r="BZ109" s="13">
        <f>BY109*VLOOKUP('Données projet'!$B$12,Paramètres!$A$1:$I$89,3,0)*VLOOKUP('Données projet'!$B$12,Paramètres!$A$1:$I$89,5,0)</f>
        <v>330.97999999999996</v>
      </c>
      <c r="CA109" s="13">
        <f t="shared" si="93"/>
        <v>77.633451096966454</v>
      </c>
      <c r="CB109" s="20">
        <f t="shared" si="64"/>
        <v>711.66842732721636</v>
      </c>
      <c r="CC109" s="59">
        <f t="shared" si="65"/>
        <v>1005.0017606605497</v>
      </c>
      <c r="CD109" s="59">
        <f ca="1">AVERAGE(OFFSET($CC$3,0,0,'Données projet'!$E$12+1,1))-AVERAGE(OFFSET($H$3,0,0,'Données projet'!$E$12+1,1))</f>
        <v>322.06606384496587</v>
      </c>
      <c r="CE109" s="59">
        <f t="shared" si="94"/>
        <v>267.71713177624713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69.517460020265105</v>
      </c>
      <c r="CL109" s="21">
        <f>EXP(-LN(2)/25)*CL108+(1-EXP(-LN(2)/25))/(LN(2)/25)*Calculateur!CG109*Calculateur!CI109*VLOOKUP('Données projet'!$B$12,Paramètres!$A$1:$I$89,3,0)*0.475*44/12</f>
        <v>2.4443392240355064</v>
      </c>
      <c r="CM109" s="21">
        <f>EXP(-LN(2)/2)*CM108+(1-EXP(-LN(2)/2))/(LN(2)/2)*CG109*CJ109*VLOOKUP('Données projet'!$B$12,Paramètres!$A$1:$I$89,3,0)*0.475*44/12</f>
        <v>1.4388239393772551E-11</v>
      </c>
      <c r="CN109" s="22">
        <f t="shared" si="66"/>
        <v>71.961799244314989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401</v>
      </c>
      <c r="CU109" s="17">
        <f>CT109*VLOOKUP('Données projet'!$B$13,Paramètres!$A$1:$I$89,3,0)*VLOOKUP('Données projet'!$B$13,Paramètres!$A$1:$I$89,5,0)</f>
        <v>250.22399999999999</v>
      </c>
      <c r="CV109" s="13">
        <f t="shared" si="95"/>
        <v>60.633904580527918</v>
      </c>
      <c r="CW109" s="20">
        <f t="shared" si="67"/>
        <v>541.41085047775289</v>
      </c>
      <c r="CX109" s="59">
        <f t="shared" si="68"/>
        <v>834.74418381108626</v>
      </c>
      <c r="CY109" s="59">
        <f ca="1">AVERAGE(OFFSET($CX$3,0,0,'Données projet'!$E$13+1,1))-AVERAGE(OFFSET($H$3,0,0,'Données projet'!$E$13+1,1))</f>
        <v>269.77739619445515</v>
      </c>
      <c r="CZ109" s="59">
        <f t="shared" si="96"/>
        <v>347.56964743629885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30.794034504569002</v>
      </c>
      <c r="DG109" s="21">
        <f>EXP(-LN(2)/25)*DG108+(1-EXP(-LN(2)/25))/(LN(2)/25)*Calculateur!DB109*Calculateur!DD109*VLOOKUP('Données projet'!$B$13,Paramètres!$A$1:$I$89,3,0)*0.475*44/12</f>
        <v>11.154187112205181</v>
      </c>
      <c r="DH109" s="21">
        <f>EXP(-LN(2)/2)*DH108+(1-EXP(-LN(2)/2))/(LN(2)/2)*DB109*DE109*VLOOKUP('Données projet'!$B$13,Paramètres!$A$1:$I$89,3,0)*0.475*44/12</f>
        <v>9.0361376449388825E-14</v>
      </c>
      <c r="DI109" s="22">
        <f t="shared" si="69"/>
        <v>41.948221616774276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669.99999999999989</v>
      </c>
      <c r="DP109" s="17">
        <f>DO109*VLOOKUP('Données projet'!$B$14,Paramètres!$A$1:$I$89,3,0)*VLOOKUP('Données projet'!$B$14,Paramètres!$A$1:$I$89,5,0)</f>
        <v>322.26999999999992</v>
      </c>
      <c r="DQ109" s="13">
        <f t="shared" si="97"/>
        <v>75.825476822885776</v>
      </c>
      <c r="DR109" s="20">
        <f t="shared" si="70"/>
        <v>693.34962213319261</v>
      </c>
      <c r="DS109" s="59">
        <f t="shared" si="71"/>
        <v>986.68295546652598</v>
      </c>
      <c r="DT109" s="59">
        <f ca="1">AVERAGE(OFFSET($DS$3,0,0,'Données projet'!$E$14+1,1))-AVERAGE(OFFSET($H$3,0,0,'Données projet'!$E$14+1,1))</f>
        <v>312.64506496298173</v>
      </c>
      <c r="DU109" s="59">
        <f t="shared" si="98"/>
        <v>259.97532509897508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67.688053177626557</v>
      </c>
      <c r="EB109" s="21">
        <f>EXP(-LN(2)/25)*EB108+(1-EXP(-LN(2)/25))/(LN(2)/25)*Calculateur!DW109*Calculateur!DY109*VLOOKUP('Données projet'!$B$14,Paramètres!$A$1:$I$89,3,0)*0.475*44/12</f>
        <v>2.3800145076135215</v>
      </c>
      <c r="EC109" s="21">
        <f>EXP(-LN(2)/2)*EC108+(1-EXP(-LN(2)/2))/(LN(2)/2)*DW109*DZ109*VLOOKUP('Données projet'!$B$14,Paramètres!$A$1:$I$89,3,0)*0.475*44/12</f>
        <v>1.400960151498897E-11</v>
      </c>
      <c r="ED109" s="22">
        <f t="shared" si="72"/>
        <v>70.068067685254093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4.2</v>
      </c>
      <c r="EJ109" s="12">
        <f>IF('Données projet'!$A$192&gt;35,EJ108+EI109-ER108,IF(A109&lt;'Données projet'!$A$192,$EG$205^A109,IF(A109='Données projet'!$A$192,'Données projet'!$B$192,EJ108+EI109-ER108)))</f>
        <v>268.2</v>
      </c>
      <c r="EK109" s="17">
        <f>EJ109*VLOOKUP('Données projet'!$B$15,Paramètres!$A$1:$I$89,3,0)*VLOOKUP('Données projet'!$B$15,Paramètres!$A$1:$I$89,5,0)</f>
        <v>242.66735999999997</v>
      </c>
      <c r="EL109" s="13">
        <f t="shared" si="99"/>
        <v>59.013056290731797</v>
      </c>
      <c r="EM109" s="20">
        <f t="shared" si="73"/>
        <v>525.42672503969118</v>
      </c>
      <c r="EN109" s="59">
        <f t="shared" si="74"/>
        <v>818.76005837302455</v>
      </c>
      <c r="EO109" s="59">
        <f ca="1">AVERAGE(OFFSET($EN$3,0,0,'Données projet'!$E$15+1,1))-AVERAGE(OFFSET($H$3,0,0,'Données projet'!$E$15+1,1))</f>
        <v>269.64423257646359</v>
      </c>
      <c r="EP109" s="59">
        <f t="shared" si="100"/>
        <v>161.0819079811821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72.2362627523584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72.2362627523584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349.00000000000017</v>
      </c>
      <c r="FF109" s="17">
        <f>FE109*VLOOKUP('Données projet'!$B$16,Paramètres!$A$1:$I$89,3,0)*VLOOKUP('Données projet'!$B$16,Paramètres!$A$1:$I$89,5,0)</f>
        <v>272.22000000000014</v>
      </c>
      <c r="FG109" s="13">
        <f t="shared" si="101"/>
        <v>65.320184547527205</v>
      </c>
      <c r="FH109" s="20">
        <f t="shared" si="76"/>
        <v>587.88248808694345</v>
      </c>
      <c r="FI109" s="59">
        <f t="shared" si="77"/>
        <v>881.21582142027682</v>
      </c>
      <c r="FJ109" s="59">
        <f ca="1">AVERAGE(OFFSET($FI$3,0,0,'Données projet'!$E$16+1,1))-AVERAGE(OFFSET($H$3,0,0,'Données projet'!$E$16+1,1))</f>
        <v>283.77864672734273</v>
      </c>
      <c r="FK109" s="59">
        <f t="shared" si="102"/>
        <v>270.94620935643866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42.485775603072959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42.485775603072959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319</v>
      </c>
      <c r="GA109" s="17">
        <f>FZ109*VLOOKUP('Données projet'!$B$17,Paramètres!$A$1:$I$89,3,0)*VLOOKUP('Données projet'!$B$17,Paramètres!$A$1:$I$89,5,0)</f>
        <v>308.53680000000003</v>
      </c>
      <c r="GB109" s="13">
        <f t="shared" si="103"/>
        <v>72.963171684496103</v>
      </c>
      <c r="GC109" s="20">
        <f t="shared" si="79"/>
        <v>664.4457840171641</v>
      </c>
      <c r="GD109" s="59">
        <f t="shared" si="80"/>
        <v>957.77911735049747</v>
      </c>
      <c r="GE109" s="59">
        <f ca="1">AVERAGE(OFFSET($GD$3,0,0,'Données projet'!$E$17+1,1))-AVERAGE(OFFSET($H$3,0,0,'Données projet'!$E$17+1,1))</f>
        <v>347.54503437087288</v>
      </c>
      <c r="GF109" s="59">
        <f t="shared" si="104"/>
        <v>340.05673244455954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31.336037768271062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31.336037768271062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735.00000000000011</v>
      </c>
      <c r="O110" s="13">
        <f>N110*VLOOKUP('Données projet'!$B$9,Paramètres!$A$1:$I$89,3,0)*VLOOKUP('Données projet'!$B$9,Paramètres!$A$1:$I$89,5,0)</f>
        <v>343.98</v>
      </c>
      <c r="P110" s="13">
        <f t="shared" si="87"/>
        <v>80.321681832084693</v>
      </c>
      <c r="Q110" s="20">
        <f t="shared" si="107"/>
        <v>738.9920958575475</v>
      </c>
      <c r="R110" s="59">
        <f t="shared" si="55"/>
        <v>1032.3254291908809</v>
      </c>
      <c r="S110" s="59">
        <f ca="1">AVERAGE(OFFSET($R$3,0,0,'Données projet'!$E$9+1,1))-AVERAGE(OFFSET($H$3,0,0,'Données projet'!$E$9+1,1))</f>
        <v>342.49944586217674</v>
      </c>
      <c r="T110" s="59">
        <f t="shared" si="88"/>
        <v>282.29766600872563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69.095628434619002</v>
      </c>
      <c r="AA110" s="21">
        <f>EXP(-LN(2)/25)*AA109+(1-EXP(-LN(2)/25))/(LN(2)/25)*Calculateur!V110*Calculateur!X110*VLOOKUP('Données projet'!$B$9,Paramètres!$A$1:$I$89,3,0)*0.475*44/12</f>
        <v>4.7398124336082246</v>
      </c>
      <c r="AB110" s="21">
        <f>EXP(-LN(2)/2)*AB109+(1-EXP(-LN(2)/2))/(LN(2)/2)*V110*Y110*VLOOKUP('Données projet'!$B$9,Paramètres!$A$1:$I$89,3,0)*0.475*44/12</f>
        <v>2.1298380681571095E-13</v>
      </c>
      <c r="AC110" s="22">
        <f t="shared" si="57"/>
        <v>73.835440868227437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739.99999999999966</v>
      </c>
      <c r="AJ110" s="13">
        <f>AI110*VLOOKUP('Données projet'!$B$10,Paramètres!$A$1:$I$89,3,0)*VLOOKUP('Données projet'!$B$10,Paramètres!$A$1:$I$89,5,0)</f>
        <v>413.65999999999985</v>
      </c>
      <c r="AK110" s="13">
        <f t="shared" si="89"/>
        <v>94.540585122244352</v>
      </c>
      <c r="AL110" s="20">
        <f t="shared" si="58"/>
        <v>885.11601908790863</v>
      </c>
      <c r="AM110" s="59">
        <f t="shared" si="59"/>
        <v>1178.4493524212419</v>
      </c>
      <c r="AN110" s="59">
        <f ca="1">AVERAGE(OFFSET($AM$3,0,0,'Données projet'!$E$10+1,1))-AVERAGE(OFFSET($H$3,0,0,'Données projet'!$E$10+1,1))</f>
        <v>490.96084572840579</v>
      </c>
      <c r="AO110" s="59">
        <f t="shared" si="90"/>
        <v>597.91658789908263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48.686988501644365</v>
      </c>
      <c r="AV110" s="21">
        <f>EXP(-LN(2)/25)*AV109+(1-EXP(-LN(2)/25))/(LN(2)/25)*Calculateur!AQ110*Calculateur!AS110*VLOOKUP('Données projet'!$B$10,Paramètres!$A$1:$I$89,3,0)*0.475*44/12</f>
        <v>6.8330969484710913</v>
      </c>
      <c r="AW110" s="21">
        <f>EXP(-LN(2)/2)*AW109+(1-EXP(-LN(2)/2))/(LN(2)/2)*AQ110*AT110*VLOOKUP('Données projet'!$B$10,Paramètres!$A$1:$I$89,3,0)*0.475*44/12</f>
        <v>2.1878169933458301E-12</v>
      </c>
      <c r="AX110" s="21">
        <f t="shared" si="60"/>
        <v>55.520085450117648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213.00000000000003</v>
      </c>
      <c r="BE110" s="13">
        <f>BD110*VLOOKUP('Données projet'!$B$11,Paramètres!$A$1:$I$89,3,0)*VLOOKUP('Données projet'!$B$11,Paramètres!$A$1:$I$89,5,0)</f>
        <v>169.46280000000002</v>
      </c>
      <c r="BF110" s="13">
        <f t="shared" si="91"/>
        <v>42.969686502194378</v>
      </c>
      <c r="BG110" s="20">
        <f t="shared" si="61"/>
        <v>369.98658065798855</v>
      </c>
      <c r="BH110" s="59">
        <f t="shared" si="62"/>
        <v>663.31991399132187</v>
      </c>
      <c r="BI110" s="59">
        <f ca="1">AVERAGE(OFFSET($BH$3,0,0,'Données projet'!$E$11+1,1))-AVERAGE(OFFSET($H$3,0,0,'Données projet'!$E$11+1,1))</f>
        <v>167.80254365106839</v>
      </c>
      <c r="BJ110" s="59">
        <f t="shared" si="92"/>
        <v>167.42302164950172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19.63686461021037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19.63686461021037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669.99999999999989</v>
      </c>
      <c r="BZ110" s="13">
        <f>BY110*VLOOKUP('Données projet'!$B$12,Paramètres!$A$1:$I$89,3,0)*VLOOKUP('Données projet'!$B$12,Paramètres!$A$1:$I$89,5,0)</f>
        <v>330.97999999999996</v>
      </c>
      <c r="CA110" s="13">
        <f t="shared" si="93"/>
        <v>77.633451096966454</v>
      </c>
      <c r="CB110" s="20">
        <f t="shared" si="64"/>
        <v>711.66842732721636</v>
      </c>
      <c r="CC110" s="59">
        <f t="shared" si="65"/>
        <v>1005.0017606605497</v>
      </c>
      <c r="CD110" s="59">
        <f ca="1">AVERAGE(OFFSET($CC$3,0,0,'Données projet'!$E$12+1,1))-AVERAGE(OFFSET($H$3,0,0,'Données projet'!$E$12+1,1))</f>
        <v>322.06606384496587</v>
      </c>
      <c r="CE110" s="59">
        <f t="shared" si="94"/>
        <v>267.71713177624713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68.154265030731523</v>
      </c>
      <c r="CL110" s="21">
        <f>EXP(-LN(2)/25)*CL109+(1-EXP(-LN(2)/25))/(LN(2)/25)*Calculateur!CG110*Calculateur!CI110*VLOOKUP('Données projet'!$B$12,Paramètres!$A$1:$I$89,3,0)*0.475*44/12</f>
        <v>2.3774986394120421</v>
      </c>
      <c r="CM110" s="21">
        <f>EXP(-LN(2)/2)*CM109+(1-EXP(-LN(2)/2))/(LN(2)/2)*CG110*CJ110*VLOOKUP('Données projet'!$B$12,Paramètres!$A$1:$I$89,3,0)*0.475*44/12</f>
        <v>1.0174021644671991E-11</v>
      </c>
      <c r="CN110" s="22">
        <f t="shared" si="66"/>
        <v>70.531763670153737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401</v>
      </c>
      <c r="CU110" s="17">
        <f>CT110*VLOOKUP('Données projet'!$B$13,Paramètres!$A$1:$I$89,3,0)*VLOOKUP('Données projet'!$B$13,Paramètres!$A$1:$I$89,5,0)</f>
        <v>250.22399999999999</v>
      </c>
      <c r="CV110" s="13">
        <f t="shared" si="95"/>
        <v>60.633904580527918</v>
      </c>
      <c r="CW110" s="20">
        <f t="shared" si="67"/>
        <v>541.41085047775289</v>
      </c>
      <c r="CX110" s="59">
        <f t="shared" si="68"/>
        <v>834.74418381108626</v>
      </c>
      <c r="CY110" s="59">
        <f ca="1">AVERAGE(OFFSET($CX$3,0,0,'Données projet'!$E$13+1,1))-AVERAGE(OFFSET($H$3,0,0,'Données projet'!$E$13+1,1))</f>
        <v>269.77739619445515</v>
      </c>
      <c r="CZ110" s="59">
        <f t="shared" si="96"/>
        <v>347.56964743629885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30.190182270440832</v>
      </c>
      <c r="DG110" s="21">
        <f>EXP(-LN(2)/25)*DG109+(1-EXP(-LN(2)/25))/(LN(2)/25)*Calculateur!DB110*Calculateur!DD110*VLOOKUP('Données projet'!$B$13,Paramètres!$A$1:$I$89,3,0)*0.475*44/12</f>
        <v>10.849175279048723</v>
      </c>
      <c r="DH110" s="21">
        <f>EXP(-LN(2)/2)*DH109+(1-EXP(-LN(2)/2))/(LN(2)/2)*DB110*DE110*VLOOKUP('Données projet'!$B$13,Paramètres!$A$1:$I$89,3,0)*0.475*44/12</f>
        <v>6.3895142044713231E-14</v>
      </c>
      <c r="DI110" s="22">
        <f t="shared" si="69"/>
        <v>41.039357549489615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669.99999999999989</v>
      </c>
      <c r="DP110" s="17">
        <f>DO110*VLOOKUP('Données projet'!$B$14,Paramètres!$A$1:$I$89,3,0)*VLOOKUP('Données projet'!$B$14,Paramètres!$A$1:$I$89,5,0)</f>
        <v>322.26999999999992</v>
      </c>
      <c r="DQ110" s="13">
        <f t="shared" si="97"/>
        <v>75.825476822885776</v>
      </c>
      <c r="DR110" s="20">
        <f t="shared" si="70"/>
        <v>693.34962213319261</v>
      </c>
      <c r="DS110" s="59">
        <f t="shared" si="71"/>
        <v>986.68295546652598</v>
      </c>
      <c r="DT110" s="59">
        <f ca="1">AVERAGE(OFFSET($DS$3,0,0,'Données projet'!$E$14+1,1))-AVERAGE(OFFSET($H$3,0,0,'Données projet'!$E$14+1,1))</f>
        <v>312.64506496298173</v>
      </c>
      <c r="DU110" s="59">
        <f t="shared" si="98"/>
        <v>259.97532509897508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66.360731740449125</v>
      </c>
      <c r="EB110" s="21">
        <f>EXP(-LN(2)/25)*EB109+(1-EXP(-LN(2)/25))/(LN(2)/25)*Calculateur!DW110*Calculateur!DY110*VLOOKUP('Données projet'!$B$14,Paramètres!$A$1:$I$89,3,0)*0.475*44/12</f>
        <v>2.3149328857433065</v>
      </c>
      <c r="EC110" s="21">
        <f>EXP(-LN(2)/2)*EC109+(1-EXP(-LN(2)/2))/(LN(2)/2)*DW110*DZ110*VLOOKUP('Données projet'!$B$14,Paramètres!$A$1:$I$89,3,0)*0.475*44/12</f>
        <v>9.9062842329700299E-12</v>
      </c>
      <c r="ED110" s="22">
        <f t="shared" si="72"/>
        <v>68.675664626202334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4.2</v>
      </c>
      <c r="EJ110" s="12">
        <f>IF('Données projet'!$A$192&gt;35,EJ109+EI110-ER109,IF(A110&lt;'Données projet'!$A$192,$EG$205^A110,IF(A110='Données projet'!$A$192,'Données projet'!$B$192,EJ109+EI110-ER109)))</f>
        <v>272.39999999999998</v>
      </c>
      <c r="EK110" s="17">
        <f>EJ110*VLOOKUP('Données projet'!$B$15,Paramètres!$A$1:$I$89,3,0)*VLOOKUP('Données projet'!$B$15,Paramètres!$A$1:$I$89,5,0)</f>
        <v>246.46751999999995</v>
      </c>
      <c r="EL110" s="13">
        <f t="shared" si="99"/>
        <v>59.828888074216977</v>
      </c>
      <c r="EM110" s="20">
        <f t="shared" si="73"/>
        <v>533.46624406259446</v>
      </c>
      <c r="EN110" s="59">
        <f t="shared" si="74"/>
        <v>826.79957739592783</v>
      </c>
      <c r="EO110" s="59">
        <f ca="1">AVERAGE(OFFSET($EN$3,0,0,'Données projet'!$E$15+1,1))-AVERAGE(OFFSET($H$3,0,0,'Données projet'!$E$15+1,1))</f>
        <v>269.64423257646359</v>
      </c>
      <c r="EP110" s="59">
        <f t="shared" si="100"/>
        <v>161.0819079811821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70.819753699554383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70.819753699554383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349.00000000000017</v>
      </c>
      <c r="FF110" s="17">
        <f>FE110*VLOOKUP('Données projet'!$B$16,Paramètres!$A$1:$I$89,3,0)*VLOOKUP('Données projet'!$B$16,Paramètres!$A$1:$I$89,5,0)</f>
        <v>272.22000000000014</v>
      </c>
      <c r="FG110" s="13">
        <f t="shared" si="101"/>
        <v>65.320184547527205</v>
      </c>
      <c r="FH110" s="20">
        <f t="shared" si="76"/>
        <v>587.88248808694345</v>
      </c>
      <c r="FI110" s="59">
        <f t="shared" si="77"/>
        <v>881.21582142027682</v>
      </c>
      <c r="FJ110" s="59">
        <f ca="1">AVERAGE(OFFSET($FI$3,0,0,'Données projet'!$E$16+1,1))-AVERAGE(OFFSET($H$3,0,0,'Données projet'!$E$16+1,1))</f>
        <v>283.77864672734273</v>
      </c>
      <c r="FK110" s="59">
        <f t="shared" si="102"/>
        <v>270.94620935643866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41.652655457261048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41.652655457261048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319</v>
      </c>
      <c r="GA110" s="17">
        <f>FZ110*VLOOKUP('Données projet'!$B$17,Paramètres!$A$1:$I$89,3,0)*VLOOKUP('Données projet'!$B$17,Paramètres!$A$1:$I$89,5,0)</f>
        <v>308.53680000000003</v>
      </c>
      <c r="GB110" s="13">
        <f t="shared" si="103"/>
        <v>72.963171684496103</v>
      </c>
      <c r="GC110" s="20">
        <f t="shared" si="79"/>
        <v>664.4457840171641</v>
      </c>
      <c r="GD110" s="59">
        <f t="shared" si="80"/>
        <v>957.77911735049747</v>
      </c>
      <c r="GE110" s="59">
        <f ca="1">AVERAGE(OFFSET($GD$3,0,0,'Données projet'!$E$17+1,1))-AVERAGE(OFFSET($H$3,0,0,'Données projet'!$E$17+1,1))</f>
        <v>347.54503437087288</v>
      </c>
      <c r="GF110" s="59">
        <f t="shared" si="104"/>
        <v>340.05673244455954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30.721557180731043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30.721557180731043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735.00000000000011</v>
      </c>
      <c r="O111" s="13">
        <f>N111*VLOOKUP('Données projet'!$B$9,Paramètres!$A$1:$I$89,3,0)*VLOOKUP('Données projet'!$B$9,Paramètres!$A$1:$I$89,5,0)</f>
        <v>343.98</v>
      </c>
      <c r="P111" s="13">
        <f t="shared" si="87"/>
        <v>80.321681832084693</v>
      </c>
      <c r="Q111" s="20">
        <f t="shared" si="107"/>
        <v>738.9920958575475</v>
      </c>
      <c r="R111" s="59">
        <f t="shared" si="55"/>
        <v>1032.3254291908809</v>
      </c>
      <c r="S111" s="59">
        <f ca="1">AVERAGE(OFFSET($R$3,0,0,'Données projet'!$E$9+1,1))-AVERAGE(OFFSET($H$3,0,0,'Données projet'!$E$9+1,1))</f>
        <v>342.49944586217674</v>
      </c>
      <c r="T111" s="59">
        <f t="shared" si="88"/>
        <v>282.29766600872563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67.740705305188072</v>
      </c>
      <c r="AA111" s="21">
        <f>EXP(-LN(2)/25)*AA110+(1-EXP(-LN(2)/25))/(LN(2)/25)*Calculateur!V111*Calculateur!X111*VLOOKUP('Données projet'!$B$9,Paramètres!$A$1:$I$89,3,0)*0.475*44/12</f>
        <v>4.6102020133553046</v>
      </c>
      <c r="AB111" s="21">
        <f>EXP(-LN(2)/2)*AB110+(1-EXP(-LN(2)/2))/(LN(2)/2)*V111*Y111*VLOOKUP('Données projet'!$B$9,Paramètres!$A$1:$I$89,3,0)*0.475*44/12</f>
        <v>1.5060229408231483E-13</v>
      </c>
      <c r="AC111" s="22">
        <f t="shared" si="57"/>
        <v>72.350907318543534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739.99999999999966</v>
      </c>
      <c r="AJ111" s="13">
        <f>AI111*VLOOKUP('Données projet'!$B$10,Paramètres!$A$1:$I$89,3,0)*VLOOKUP('Données projet'!$B$10,Paramètres!$A$1:$I$89,5,0)</f>
        <v>413.65999999999985</v>
      </c>
      <c r="AK111" s="13">
        <f t="shared" si="89"/>
        <v>94.540585122244352</v>
      </c>
      <c r="AL111" s="20">
        <f t="shared" si="58"/>
        <v>885.11601908790863</v>
      </c>
      <c r="AM111" s="59">
        <f t="shared" si="59"/>
        <v>1178.4493524212419</v>
      </c>
      <c r="AN111" s="59">
        <f ca="1">AVERAGE(OFFSET($AM$3,0,0,'Données projet'!$E$10+1,1))-AVERAGE(OFFSET($H$3,0,0,'Données projet'!$E$10+1,1))</f>
        <v>490.96084572840579</v>
      </c>
      <c r="AO111" s="59">
        <f t="shared" si="90"/>
        <v>597.91658789908263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47.732266353257856</v>
      </c>
      <c r="AV111" s="21">
        <f>EXP(-LN(2)/25)*AV110+(1-EXP(-LN(2)/25))/(LN(2)/25)*Calculateur!AQ111*Calculateur!AS111*VLOOKUP('Données projet'!$B$10,Paramètres!$A$1:$I$89,3,0)*0.475*44/12</f>
        <v>6.6462455530781979</v>
      </c>
      <c r="AW111" s="21">
        <f>EXP(-LN(2)/2)*AW110+(1-EXP(-LN(2)/2))/(LN(2)/2)*AQ111*AT111*VLOOKUP('Données projet'!$B$10,Paramètres!$A$1:$I$89,3,0)*0.475*44/12</f>
        <v>1.5470202319900002E-12</v>
      </c>
      <c r="AX111" s="21">
        <f t="shared" si="60"/>
        <v>54.3785119063376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213.00000000000003</v>
      </c>
      <c r="BE111" s="13">
        <f>BD111*VLOOKUP('Données projet'!$B$11,Paramètres!$A$1:$I$89,3,0)*VLOOKUP('Données projet'!$B$11,Paramètres!$A$1:$I$89,5,0)</f>
        <v>169.46280000000002</v>
      </c>
      <c r="BF111" s="13">
        <f t="shared" si="91"/>
        <v>42.969686502194378</v>
      </c>
      <c r="BG111" s="20">
        <f t="shared" si="61"/>
        <v>369.98658065798855</v>
      </c>
      <c r="BH111" s="59">
        <f t="shared" si="62"/>
        <v>663.31991399132187</v>
      </c>
      <c r="BI111" s="59">
        <f ca="1">AVERAGE(OFFSET($BH$3,0,0,'Données projet'!$E$11+1,1))-AVERAGE(OFFSET($H$3,0,0,'Données projet'!$E$11+1,1))</f>
        <v>167.80254365106839</v>
      </c>
      <c r="BJ111" s="59">
        <f t="shared" si="92"/>
        <v>167.42302164950172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19.251797672508896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19.251797672508896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669.99999999999989</v>
      </c>
      <c r="BZ111" s="13">
        <f>BY111*VLOOKUP('Données projet'!$B$12,Paramètres!$A$1:$I$89,3,0)*VLOOKUP('Données projet'!$B$12,Paramètres!$A$1:$I$89,5,0)</f>
        <v>330.97999999999996</v>
      </c>
      <c r="CA111" s="13">
        <f t="shared" si="93"/>
        <v>77.633451096966454</v>
      </c>
      <c r="CB111" s="20">
        <f t="shared" si="64"/>
        <v>711.66842732721636</v>
      </c>
      <c r="CC111" s="59">
        <f t="shared" si="65"/>
        <v>1005.0017606605497</v>
      </c>
      <c r="CD111" s="59">
        <f ca="1">AVERAGE(OFFSET($CC$3,0,0,'Données projet'!$E$12+1,1))-AVERAGE(OFFSET($H$3,0,0,'Données projet'!$E$12+1,1))</f>
        <v>322.06606384496587</v>
      </c>
      <c r="CE111" s="59">
        <f t="shared" si="94"/>
        <v>267.71713177624713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66.817801463475845</v>
      </c>
      <c r="CL111" s="21">
        <f>EXP(-LN(2)/25)*CL110+(1-EXP(-LN(2)/25))/(LN(2)/25)*Calculateur!CG111*Calculateur!CI111*VLOOKUP('Données projet'!$B$12,Paramètres!$A$1:$I$89,3,0)*0.475*44/12</f>
        <v>2.3124858140901003</v>
      </c>
      <c r="CM111" s="21">
        <f>EXP(-LN(2)/2)*CM110+(1-EXP(-LN(2)/2))/(LN(2)/2)*CG111*CJ111*VLOOKUP('Données projet'!$B$12,Paramètres!$A$1:$I$89,3,0)*0.475*44/12</f>
        <v>7.1941196968862764E-12</v>
      </c>
      <c r="CN111" s="22">
        <f t="shared" si="66"/>
        <v>69.130287277573132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401</v>
      </c>
      <c r="CU111" s="17">
        <f>CT111*VLOOKUP('Données projet'!$B$13,Paramètres!$A$1:$I$89,3,0)*VLOOKUP('Données projet'!$B$13,Paramètres!$A$1:$I$89,5,0)</f>
        <v>250.22399999999999</v>
      </c>
      <c r="CV111" s="13">
        <f t="shared" si="95"/>
        <v>60.633904580527918</v>
      </c>
      <c r="CW111" s="20">
        <f t="shared" si="67"/>
        <v>541.41085047775289</v>
      </c>
      <c r="CX111" s="59">
        <f t="shared" si="68"/>
        <v>834.74418381108626</v>
      </c>
      <c r="CY111" s="59">
        <f ca="1">AVERAGE(OFFSET($CX$3,0,0,'Données projet'!$E$13+1,1))-AVERAGE(OFFSET($H$3,0,0,'Données projet'!$E$13+1,1))</f>
        <v>269.77739619445515</v>
      </c>
      <c r="CZ111" s="59">
        <f t="shared" si="96"/>
        <v>347.56964743629885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29.598171210310422</v>
      </c>
      <c r="DG111" s="21">
        <f>EXP(-LN(2)/25)*DG110+(1-EXP(-LN(2)/25))/(LN(2)/25)*Calculateur!DB111*Calculateur!DD111*VLOOKUP('Données projet'!$B$13,Paramètres!$A$1:$I$89,3,0)*0.475*44/12</f>
        <v>10.552504010509804</v>
      </c>
      <c r="DH111" s="21">
        <f>EXP(-LN(2)/2)*DH110+(1-EXP(-LN(2)/2))/(LN(2)/2)*DB111*DE111*VLOOKUP('Données projet'!$B$13,Paramètres!$A$1:$I$89,3,0)*0.475*44/12</f>
        <v>4.5180688224694412E-14</v>
      </c>
      <c r="DI111" s="22">
        <f t="shared" si="69"/>
        <v>40.150675220820268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669.99999999999989</v>
      </c>
      <c r="DP111" s="17">
        <f>DO111*VLOOKUP('Données projet'!$B$14,Paramètres!$A$1:$I$89,3,0)*VLOOKUP('Données projet'!$B$14,Paramètres!$A$1:$I$89,5,0)</f>
        <v>322.26999999999992</v>
      </c>
      <c r="DQ111" s="13">
        <f t="shared" si="97"/>
        <v>75.825476822885776</v>
      </c>
      <c r="DR111" s="20">
        <f t="shared" si="70"/>
        <v>693.34962213319261</v>
      </c>
      <c r="DS111" s="59">
        <f t="shared" si="71"/>
        <v>986.68295546652598</v>
      </c>
      <c r="DT111" s="59">
        <f ca="1">AVERAGE(OFFSET($DS$3,0,0,'Données projet'!$E$14+1,1))-AVERAGE(OFFSET($H$3,0,0,'Données projet'!$E$14+1,1))</f>
        <v>312.64506496298173</v>
      </c>
      <c r="DU111" s="59">
        <f t="shared" si="98"/>
        <v>259.97532509897508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65.0594382670686</v>
      </c>
      <c r="EB111" s="21">
        <f>EXP(-LN(2)/25)*EB110+(1-EXP(-LN(2)/25))/(LN(2)/25)*Calculateur!DW111*Calculateur!DY111*VLOOKUP('Données projet'!$B$14,Paramètres!$A$1:$I$89,3,0)*0.475*44/12</f>
        <v>2.2516309242456263</v>
      </c>
      <c r="EC111" s="21">
        <f>EXP(-LN(2)/2)*EC110+(1-EXP(-LN(2)/2))/(LN(2)/2)*DW111*DZ111*VLOOKUP('Données projet'!$B$14,Paramètres!$A$1:$I$89,3,0)*0.475*44/12</f>
        <v>7.0048007574944848E-12</v>
      </c>
      <c r="ED111" s="22">
        <f t="shared" si="72"/>
        <v>67.311069191321238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4.2</v>
      </c>
      <c r="EJ111" s="12">
        <f>IF('Données projet'!$A$192&gt;35,EJ110+EI111-ER110,IF(A111&lt;'Données projet'!$A$192,$EG$205^A111,IF(A111='Données projet'!$A$192,'Données projet'!$B$192,EJ110+EI111-ER110)))</f>
        <v>276.59999999999997</v>
      </c>
      <c r="EK111" s="17">
        <f>EJ111*VLOOKUP('Données projet'!$B$15,Paramètres!$A$1:$I$89,3,0)*VLOOKUP('Données projet'!$B$15,Paramètres!$A$1:$I$89,5,0)</f>
        <v>250.26767999999996</v>
      </c>
      <c r="EL111" s="13">
        <f t="shared" si="99"/>
        <v>60.643256925083442</v>
      </c>
      <c r="EM111" s="20">
        <f t="shared" si="73"/>
        <v>541.50321514452014</v>
      </c>
      <c r="EN111" s="59">
        <f t="shared" si="74"/>
        <v>834.83654847785351</v>
      </c>
      <c r="EO111" s="59">
        <f ca="1">AVERAGE(OFFSET($EN$3,0,0,'Données projet'!$E$15+1,1))-AVERAGE(OFFSET($H$3,0,0,'Données projet'!$E$15+1,1))</f>
        <v>269.64423257646359</v>
      </c>
      <c r="EP111" s="59">
        <f t="shared" si="100"/>
        <v>161.0819079811821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69.431021525290646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69.431021525290646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349.00000000000017</v>
      </c>
      <c r="FF111" s="17">
        <f>FE111*VLOOKUP('Données projet'!$B$16,Paramètres!$A$1:$I$89,3,0)*VLOOKUP('Données projet'!$B$16,Paramètres!$A$1:$I$89,5,0)</f>
        <v>272.22000000000014</v>
      </c>
      <c r="FG111" s="13">
        <f t="shared" si="101"/>
        <v>65.320184547527205</v>
      </c>
      <c r="FH111" s="20">
        <f t="shared" si="76"/>
        <v>587.88248808694345</v>
      </c>
      <c r="FI111" s="59">
        <f t="shared" si="77"/>
        <v>881.21582142027682</v>
      </c>
      <c r="FJ111" s="59">
        <f ca="1">AVERAGE(OFFSET($FI$3,0,0,'Données projet'!$E$16+1,1))-AVERAGE(OFFSET($H$3,0,0,'Données projet'!$E$16+1,1))</f>
        <v>283.77864672734273</v>
      </c>
      <c r="FK111" s="59">
        <f t="shared" si="102"/>
        <v>270.94620935643866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40.835872289355393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40.835872289355393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319</v>
      </c>
      <c r="GA111" s="17">
        <f>FZ111*VLOOKUP('Données projet'!$B$17,Paramètres!$A$1:$I$89,3,0)*VLOOKUP('Données projet'!$B$17,Paramètres!$A$1:$I$89,5,0)</f>
        <v>308.53680000000003</v>
      </c>
      <c r="GB111" s="13">
        <f t="shared" si="103"/>
        <v>72.963171684496103</v>
      </c>
      <c r="GC111" s="20">
        <f t="shared" si="79"/>
        <v>664.4457840171641</v>
      </c>
      <c r="GD111" s="59">
        <f t="shared" si="80"/>
        <v>957.77911735049747</v>
      </c>
      <c r="GE111" s="59">
        <f ca="1">AVERAGE(OFFSET($GD$3,0,0,'Données projet'!$E$17+1,1))-AVERAGE(OFFSET($H$3,0,0,'Données projet'!$E$17+1,1))</f>
        <v>347.54503437087288</v>
      </c>
      <c r="GF111" s="59">
        <f t="shared" si="104"/>
        <v>340.05673244455954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30.119126182716535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30.119126182716535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735.00000000000011</v>
      </c>
      <c r="O112" s="13">
        <f>N112*VLOOKUP('Données projet'!$B$9,Paramètres!$A$1:$I$89,3,0)*VLOOKUP('Données projet'!$B$9,Paramètres!$A$1:$I$89,5,0)</f>
        <v>343.98</v>
      </c>
      <c r="P112" s="13">
        <f t="shared" si="87"/>
        <v>80.321681832084693</v>
      </c>
      <c r="Q112" s="20">
        <f t="shared" si="107"/>
        <v>738.9920958575475</v>
      </c>
      <c r="R112" s="59">
        <f t="shared" si="55"/>
        <v>1032.3254291908809</v>
      </c>
      <c r="S112" s="59">
        <f ca="1">AVERAGE(OFFSET($R$3,0,0,'Données projet'!$E$9+1,1))-AVERAGE(OFFSET($H$3,0,0,'Données projet'!$E$9+1,1))</f>
        <v>342.49944586217674</v>
      </c>
      <c r="T112" s="59">
        <f t="shared" si="88"/>
        <v>282.29766600872563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66.412351391903783</v>
      </c>
      <c r="AA112" s="21">
        <f>EXP(-LN(2)/25)*AA111+(1-EXP(-LN(2)/25))/(LN(2)/25)*Calculateur!V112*Calculateur!X112*VLOOKUP('Données projet'!$B$9,Paramètres!$A$1:$I$89,3,0)*0.475*44/12</f>
        <v>4.4841357968601168</v>
      </c>
      <c r="AB112" s="21">
        <f>EXP(-LN(2)/2)*AB111+(1-EXP(-LN(2)/2))/(LN(2)/2)*V112*Y112*VLOOKUP('Données projet'!$B$9,Paramètres!$A$1:$I$89,3,0)*0.475*44/12</f>
        <v>1.0649190340785548E-13</v>
      </c>
      <c r="AC112" s="22">
        <f t="shared" si="57"/>
        <v>70.896487188763999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739.99999999999966</v>
      </c>
      <c r="AJ112" s="13">
        <f>AI112*VLOOKUP('Données projet'!$B$10,Paramètres!$A$1:$I$89,3,0)*VLOOKUP('Données projet'!$B$10,Paramètres!$A$1:$I$89,5,0)</f>
        <v>413.65999999999985</v>
      </c>
      <c r="AK112" s="13">
        <f t="shared" si="89"/>
        <v>94.540585122244352</v>
      </c>
      <c r="AL112" s="20">
        <f t="shared" si="58"/>
        <v>885.11601908790863</v>
      </c>
      <c r="AM112" s="59">
        <f t="shared" si="59"/>
        <v>1178.4493524212419</v>
      </c>
      <c r="AN112" s="59">
        <f ca="1">AVERAGE(OFFSET($AM$3,0,0,'Données projet'!$E$10+1,1))-AVERAGE(OFFSET($H$3,0,0,'Données projet'!$E$10+1,1))</f>
        <v>490.96084572840579</v>
      </c>
      <c r="AO112" s="59">
        <f t="shared" si="90"/>
        <v>597.91658789908263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46.796265723878193</v>
      </c>
      <c r="AV112" s="21">
        <f>EXP(-LN(2)/25)*AV111+(1-EXP(-LN(2)/25))/(LN(2)/25)*Calculateur!AQ112*Calculateur!AS112*VLOOKUP('Données projet'!$B$10,Paramètres!$A$1:$I$89,3,0)*0.475*44/12</f>
        <v>6.4645036189184113</v>
      </c>
      <c r="AW112" s="21">
        <f>EXP(-LN(2)/2)*AW111+(1-EXP(-LN(2)/2))/(LN(2)/2)*AQ112*AT112*VLOOKUP('Données projet'!$B$10,Paramètres!$A$1:$I$89,3,0)*0.475*44/12</f>
        <v>1.0939084966729151E-12</v>
      </c>
      <c r="AX112" s="21">
        <f t="shared" si="60"/>
        <v>53.260769342797701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213.00000000000003</v>
      </c>
      <c r="BE112" s="13">
        <f>BD112*VLOOKUP('Données projet'!$B$11,Paramètres!$A$1:$I$89,3,0)*VLOOKUP('Données projet'!$B$11,Paramètres!$A$1:$I$89,5,0)</f>
        <v>169.46280000000002</v>
      </c>
      <c r="BF112" s="13">
        <f t="shared" si="91"/>
        <v>42.969686502194378</v>
      </c>
      <c r="BG112" s="20">
        <f t="shared" si="61"/>
        <v>369.98658065798855</v>
      </c>
      <c r="BH112" s="59">
        <f t="shared" si="62"/>
        <v>663.31991399132187</v>
      </c>
      <c r="BI112" s="59">
        <f ca="1">AVERAGE(OFFSET($BH$3,0,0,'Données projet'!$E$11+1,1))-AVERAGE(OFFSET($H$3,0,0,'Données projet'!$E$11+1,1))</f>
        <v>167.80254365106839</v>
      </c>
      <c r="BJ112" s="59">
        <f t="shared" si="92"/>
        <v>167.42302164950172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18.874281662588107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18.874281662588107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669.99999999999989</v>
      </c>
      <c r="BZ112" s="13">
        <f>BY112*VLOOKUP('Données projet'!$B$12,Paramètres!$A$1:$I$89,3,0)*VLOOKUP('Données projet'!$B$12,Paramètres!$A$1:$I$89,5,0)</f>
        <v>330.97999999999996</v>
      </c>
      <c r="CA112" s="13">
        <f t="shared" si="93"/>
        <v>77.633451096966454</v>
      </c>
      <c r="CB112" s="20">
        <f t="shared" si="64"/>
        <v>711.66842732721636</v>
      </c>
      <c r="CC112" s="59">
        <f t="shared" si="65"/>
        <v>1005.0017606605497</v>
      </c>
      <c r="CD112" s="59">
        <f ca="1">AVERAGE(OFFSET($CC$3,0,0,'Données projet'!$E$12+1,1))-AVERAGE(OFFSET($H$3,0,0,'Données projet'!$E$12+1,1))</f>
        <v>322.06606384496587</v>
      </c>
      <c r="CE112" s="59">
        <f t="shared" si="94"/>
        <v>267.71713177624713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65.507545131611778</v>
      </c>
      <c r="CL112" s="21">
        <f>EXP(-LN(2)/25)*CL111+(1-EXP(-LN(2)/25))/(LN(2)/25)*Calculateur!CG112*Calculateur!CI112*VLOOKUP('Données projet'!$B$12,Paramètres!$A$1:$I$89,3,0)*0.475*44/12</f>
        <v>2.2492507678954627</v>
      </c>
      <c r="CM112" s="21">
        <f>EXP(-LN(2)/2)*CM111+(1-EXP(-LN(2)/2))/(LN(2)/2)*CG112*CJ112*VLOOKUP('Données projet'!$B$12,Paramètres!$A$1:$I$89,3,0)*0.475*44/12</f>
        <v>5.0870108223359964E-12</v>
      </c>
      <c r="CN112" s="22">
        <f t="shared" si="66"/>
        <v>67.756795899512326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401</v>
      </c>
      <c r="CU112" s="17">
        <f>CT112*VLOOKUP('Données projet'!$B$13,Paramètres!$A$1:$I$89,3,0)*VLOOKUP('Données projet'!$B$13,Paramètres!$A$1:$I$89,5,0)</f>
        <v>250.22399999999999</v>
      </c>
      <c r="CV112" s="13">
        <f t="shared" si="95"/>
        <v>60.633904580527918</v>
      </c>
      <c r="CW112" s="20">
        <f t="shared" si="67"/>
        <v>541.41085047775289</v>
      </c>
      <c r="CX112" s="59">
        <f t="shared" si="68"/>
        <v>834.74418381108626</v>
      </c>
      <c r="CY112" s="59">
        <f ca="1">AVERAGE(OFFSET($CX$3,0,0,'Données projet'!$E$13+1,1))-AVERAGE(OFFSET($H$3,0,0,'Données projet'!$E$13+1,1))</f>
        <v>269.77739619445515</v>
      </c>
      <c r="CZ112" s="59">
        <f t="shared" si="96"/>
        <v>347.56964743629885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29.017769125978077</v>
      </c>
      <c r="DG112" s="21">
        <f>EXP(-LN(2)/25)*DG111+(1-EXP(-LN(2)/25))/(LN(2)/25)*Calculateur!DB112*Calculateur!DD112*VLOOKUP('Données projet'!$B$13,Paramètres!$A$1:$I$89,3,0)*0.475*44/12</f>
        <v>10.263945233410345</v>
      </c>
      <c r="DH112" s="21">
        <f>EXP(-LN(2)/2)*DH111+(1-EXP(-LN(2)/2))/(LN(2)/2)*DB112*DE112*VLOOKUP('Données projet'!$B$13,Paramètres!$A$1:$I$89,3,0)*0.475*44/12</f>
        <v>3.1947571022356615E-14</v>
      </c>
      <c r="DI112" s="22">
        <f t="shared" si="69"/>
        <v>39.281714359388452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669.99999999999989</v>
      </c>
      <c r="DP112" s="17">
        <f>DO112*VLOOKUP('Données projet'!$B$14,Paramètres!$A$1:$I$89,3,0)*VLOOKUP('Données projet'!$B$14,Paramètres!$A$1:$I$89,5,0)</f>
        <v>322.26999999999992</v>
      </c>
      <c r="DQ112" s="13">
        <f t="shared" si="97"/>
        <v>75.825476822885776</v>
      </c>
      <c r="DR112" s="20">
        <f t="shared" si="70"/>
        <v>693.34962213319261</v>
      </c>
      <c r="DS112" s="59">
        <f t="shared" si="71"/>
        <v>986.68295546652598</v>
      </c>
      <c r="DT112" s="59">
        <f ca="1">AVERAGE(OFFSET($DS$3,0,0,'Données projet'!$E$14+1,1))-AVERAGE(OFFSET($H$3,0,0,'Données projet'!$E$14+1,1))</f>
        <v>312.64506496298173</v>
      </c>
      <c r="DU112" s="59">
        <f t="shared" si="98"/>
        <v>259.97532509897508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63.78366236499042</v>
      </c>
      <c r="EB112" s="21">
        <f>EXP(-LN(2)/25)*EB111+(1-EXP(-LN(2)/25))/(LN(2)/25)*Calculateur!DW112*Calculateur!DY112*VLOOKUP('Données projet'!$B$14,Paramètres!$A$1:$I$89,3,0)*0.475*44/12</f>
        <v>2.1900599582140057</v>
      </c>
      <c r="EC112" s="21">
        <f>EXP(-LN(2)/2)*EC111+(1-EXP(-LN(2)/2))/(LN(2)/2)*DW112*DZ112*VLOOKUP('Données projet'!$B$14,Paramètres!$A$1:$I$89,3,0)*0.475*44/12</f>
        <v>4.9531421164850149E-12</v>
      </c>
      <c r="ED112" s="22">
        <f t="shared" si="72"/>
        <v>65.973722323209387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4.2</v>
      </c>
      <c r="EJ112" s="12">
        <f>IF('Données projet'!$A$192&gt;35,EJ111+EI112-ER111,IF(A112&lt;'Données projet'!$A$192,$EG$205^A112,IF(A112='Données projet'!$A$192,'Données projet'!$B$192,EJ111+EI112-ER111)))</f>
        <v>280.79999999999995</v>
      </c>
      <c r="EK112" s="17">
        <f>EJ112*VLOOKUP('Données projet'!$B$15,Paramètres!$A$1:$I$89,3,0)*VLOOKUP('Données projet'!$B$15,Paramètres!$A$1:$I$89,5,0)</f>
        <v>254.06783999999996</v>
      </c>
      <c r="EL112" s="13">
        <f t="shared" si="99"/>
        <v>61.456187622750718</v>
      </c>
      <c r="EM112" s="20">
        <f t="shared" si="73"/>
        <v>549.53768144295748</v>
      </c>
      <c r="EN112" s="59">
        <f t="shared" si="74"/>
        <v>842.87101477629085</v>
      </c>
      <c r="EO112" s="59">
        <f ca="1">AVERAGE(OFFSET($EN$3,0,0,'Données projet'!$E$15+1,1))-AVERAGE(OFFSET($H$3,0,0,'Données projet'!$E$15+1,1))</f>
        <v>269.64423257646359</v>
      </c>
      <c r="EP112" s="59">
        <f t="shared" si="100"/>
        <v>161.0819079811821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68.069521541921233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68.069521541921233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349.00000000000017</v>
      </c>
      <c r="FF112" s="17">
        <f>FE112*VLOOKUP('Données projet'!$B$16,Paramètres!$A$1:$I$89,3,0)*VLOOKUP('Données projet'!$B$16,Paramètres!$A$1:$I$89,5,0)</f>
        <v>272.22000000000014</v>
      </c>
      <c r="FG112" s="13">
        <f t="shared" si="101"/>
        <v>65.320184547527205</v>
      </c>
      <c r="FH112" s="20">
        <f t="shared" si="76"/>
        <v>587.88248808694345</v>
      </c>
      <c r="FI112" s="59">
        <f t="shared" si="77"/>
        <v>881.21582142027682</v>
      </c>
      <c r="FJ112" s="59">
        <f ca="1">AVERAGE(OFFSET($FI$3,0,0,'Données projet'!$E$16+1,1))-AVERAGE(OFFSET($H$3,0,0,'Données projet'!$E$16+1,1))</f>
        <v>283.77864672734273</v>
      </c>
      <c r="FK112" s="59">
        <f t="shared" si="102"/>
        <v>270.94620935643866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40.035105741183827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40.035105741183827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319</v>
      </c>
      <c r="GA112" s="17">
        <f>FZ112*VLOOKUP('Données projet'!$B$17,Paramètres!$A$1:$I$89,3,0)*VLOOKUP('Données projet'!$B$17,Paramètres!$A$1:$I$89,5,0)</f>
        <v>308.53680000000003</v>
      </c>
      <c r="GB112" s="13">
        <f t="shared" si="103"/>
        <v>72.963171684496103</v>
      </c>
      <c r="GC112" s="20">
        <f t="shared" si="79"/>
        <v>664.4457840171641</v>
      </c>
      <c r="GD112" s="59">
        <f t="shared" si="80"/>
        <v>957.77911735049747</v>
      </c>
      <c r="GE112" s="59">
        <f ca="1">AVERAGE(OFFSET($GD$3,0,0,'Données projet'!$E$17+1,1))-AVERAGE(OFFSET($H$3,0,0,'Données projet'!$E$17+1,1))</f>
        <v>347.54503437087288</v>
      </c>
      <c r="GF112" s="59">
        <f t="shared" si="104"/>
        <v>340.05673244455954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29.528508489126462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29.528508489126462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735.00000000000011</v>
      </c>
      <c r="O113" s="13">
        <f>N113*VLOOKUP('Données projet'!$B$9,Paramètres!$A$1:$I$89,3,0)*VLOOKUP('Données projet'!$B$9,Paramètres!$A$1:$I$89,5,0)</f>
        <v>343.98</v>
      </c>
      <c r="P113" s="13">
        <f t="shared" si="87"/>
        <v>80.321681832084693</v>
      </c>
      <c r="Q113" s="20">
        <f t="shared" si="107"/>
        <v>738.9920958575475</v>
      </c>
      <c r="R113" s="59">
        <f t="shared" si="55"/>
        <v>1032.3254291908809</v>
      </c>
      <c r="S113" s="59">
        <f ca="1">AVERAGE(OFFSET($R$3,0,0,'Données projet'!$E$9+1,1))-AVERAGE(OFFSET($H$3,0,0,'Données projet'!$E$9+1,1))</f>
        <v>342.49944586217674</v>
      </c>
      <c r="T113" s="59">
        <f t="shared" si="88"/>
        <v>282.29766600872563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65.110045688643112</v>
      </c>
      <c r="AA113" s="21">
        <f>EXP(-LN(2)/25)*AA112+(1-EXP(-LN(2)/25))/(LN(2)/25)*Calculateur!V113*Calculateur!X113*VLOOKUP('Données projet'!$B$9,Paramètres!$A$1:$I$89,3,0)*0.475*44/12</f>
        <v>4.3615168676845242</v>
      </c>
      <c r="AB113" s="21">
        <f>EXP(-LN(2)/2)*AB112+(1-EXP(-LN(2)/2))/(LN(2)/2)*V113*Y113*VLOOKUP('Données projet'!$B$9,Paramètres!$A$1:$I$89,3,0)*0.475*44/12</f>
        <v>7.5301147041157417E-14</v>
      </c>
      <c r="AC113" s="22">
        <f t="shared" si="57"/>
        <v>69.471562556327711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739.99999999999966</v>
      </c>
      <c r="AJ113" s="13">
        <f>AI113*VLOOKUP('Données projet'!$B$10,Paramètres!$A$1:$I$89,3,0)*VLOOKUP('Données projet'!$B$10,Paramètres!$A$1:$I$89,5,0)</f>
        <v>413.65999999999985</v>
      </c>
      <c r="AK113" s="13">
        <f t="shared" si="89"/>
        <v>94.540585122244352</v>
      </c>
      <c r="AL113" s="20">
        <f t="shared" si="58"/>
        <v>885.11601908790863</v>
      </c>
      <c r="AM113" s="59">
        <f t="shared" si="59"/>
        <v>1178.4493524212419</v>
      </c>
      <c r="AN113" s="59">
        <f ca="1">AVERAGE(OFFSET($AM$3,0,0,'Données projet'!$E$10+1,1))-AVERAGE(OFFSET($H$3,0,0,'Données projet'!$E$10+1,1))</f>
        <v>490.96084572840579</v>
      </c>
      <c r="AO113" s="59">
        <f t="shared" si="90"/>
        <v>597.91658789908263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45.878619495936654</v>
      </c>
      <c r="AV113" s="21">
        <f>EXP(-LN(2)/25)*AV112+(1-EXP(-LN(2)/25))/(LN(2)/25)*Calculateur!AQ113*Calculateur!AS113*VLOOKUP('Données projet'!$B$10,Paramètres!$A$1:$I$89,3,0)*0.475*44/12</f>
        <v>6.2877314275056166</v>
      </c>
      <c r="AW113" s="21">
        <f>EXP(-LN(2)/2)*AW112+(1-EXP(-LN(2)/2))/(LN(2)/2)*AQ113*AT113*VLOOKUP('Données projet'!$B$10,Paramètres!$A$1:$I$89,3,0)*0.475*44/12</f>
        <v>7.7351011599500012E-13</v>
      </c>
      <c r="AX113" s="21">
        <f t="shared" si="60"/>
        <v>52.166350923443048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213.00000000000003</v>
      </c>
      <c r="BE113" s="13">
        <f>BD113*VLOOKUP('Données projet'!$B$11,Paramètres!$A$1:$I$89,3,0)*VLOOKUP('Données projet'!$B$11,Paramètres!$A$1:$I$89,5,0)</f>
        <v>169.46280000000002</v>
      </c>
      <c r="BF113" s="13">
        <f t="shared" si="91"/>
        <v>42.969686502194378</v>
      </c>
      <c r="BG113" s="20">
        <f t="shared" si="61"/>
        <v>369.98658065798855</v>
      </c>
      <c r="BH113" s="59">
        <f t="shared" si="62"/>
        <v>663.31991399132187</v>
      </c>
      <c r="BI113" s="59">
        <f ca="1">AVERAGE(OFFSET($BH$3,0,0,'Données projet'!$E$11+1,1))-AVERAGE(OFFSET($H$3,0,0,'Données projet'!$E$11+1,1))</f>
        <v>167.80254365106839</v>
      </c>
      <c r="BJ113" s="59">
        <f t="shared" si="92"/>
        <v>167.42302164950172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18.504168511359836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18.504168511359836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669.99999999999989</v>
      </c>
      <c r="BZ113" s="13">
        <f>BY113*VLOOKUP('Données projet'!$B$12,Paramètres!$A$1:$I$89,3,0)*VLOOKUP('Données projet'!$B$12,Paramètres!$A$1:$I$89,5,0)</f>
        <v>330.97999999999996</v>
      </c>
      <c r="CA113" s="13">
        <f t="shared" si="93"/>
        <v>77.633451096966454</v>
      </c>
      <c r="CB113" s="20">
        <f t="shared" si="64"/>
        <v>711.66842732721636</v>
      </c>
      <c r="CC113" s="59">
        <f t="shared" si="65"/>
        <v>1005.0017606605497</v>
      </c>
      <c r="CD113" s="59">
        <f ca="1">AVERAGE(OFFSET($CC$3,0,0,'Données projet'!$E$12+1,1))-AVERAGE(OFFSET($H$3,0,0,'Données projet'!$E$12+1,1))</f>
        <v>322.06606384496587</v>
      </c>
      <c r="CE113" s="59">
        <f t="shared" si="94"/>
        <v>267.71713177624713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64.222982127238112</v>
      </c>
      <c r="CL113" s="21">
        <f>EXP(-LN(2)/25)*CL112+(1-EXP(-LN(2)/25))/(LN(2)/25)*Calculateur!CG113*Calculateur!CI113*VLOOKUP('Données projet'!$B$12,Paramètres!$A$1:$I$89,3,0)*0.475*44/12</f>
        <v>2.1877448873644041</v>
      </c>
      <c r="CM113" s="21">
        <f>EXP(-LN(2)/2)*CM112+(1-EXP(-LN(2)/2))/(LN(2)/2)*CG113*CJ113*VLOOKUP('Données projet'!$B$12,Paramètres!$A$1:$I$89,3,0)*0.475*44/12</f>
        <v>3.597059848443139E-12</v>
      </c>
      <c r="CN113" s="22">
        <f t="shared" si="66"/>
        <v>66.41072701460611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401</v>
      </c>
      <c r="CU113" s="17">
        <f>CT113*VLOOKUP('Données projet'!$B$13,Paramètres!$A$1:$I$89,3,0)*VLOOKUP('Données projet'!$B$13,Paramètres!$A$1:$I$89,5,0)</f>
        <v>250.22399999999999</v>
      </c>
      <c r="CV113" s="13">
        <f t="shared" si="95"/>
        <v>60.633904580527918</v>
      </c>
      <c r="CW113" s="20">
        <f t="shared" si="67"/>
        <v>541.41085047775289</v>
      </c>
      <c r="CX113" s="59">
        <f t="shared" si="68"/>
        <v>834.74418381108626</v>
      </c>
      <c r="CY113" s="59">
        <f ca="1">AVERAGE(OFFSET($CX$3,0,0,'Données projet'!$E$13+1,1))-AVERAGE(OFFSET($H$3,0,0,'Données projet'!$E$13+1,1))</f>
        <v>269.77739619445515</v>
      </c>
      <c r="CZ113" s="59">
        <f t="shared" si="96"/>
        <v>347.56964743629885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28.448748372509172</v>
      </c>
      <c r="DG113" s="21">
        <f>EXP(-LN(2)/25)*DG112+(1-EXP(-LN(2)/25))/(LN(2)/25)*Calculateur!DB113*Calculateur!DD113*VLOOKUP('Données projet'!$B$13,Paramètres!$A$1:$I$89,3,0)*0.475*44/12</f>
        <v>9.983277111245318</v>
      </c>
      <c r="DH113" s="21">
        <f>EXP(-LN(2)/2)*DH112+(1-EXP(-LN(2)/2))/(LN(2)/2)*DB113*DE113*VLOOKUP('Données projet'!$B$13,Paramètres!$A$1:$I$89,3,0)*0.475*44/12</f>
        <v>2.2590344112347206E-14</v>
      </c>
      <c r="DI113" s="22">
        <f t="shared" si="69"/>
        <v>38.432025483754508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669.99999999999989</v>
      </c>
      <c r="DP113" s="17">
        <f>DO113*VLOOKUP('Données projet'!$B$14,Paramètres!$A$1:$I$89,3,0)*VLOOKUP('Données projet'!$B$14,Paramètres!$A$1:$I$89,5,0)</f>
        <v>322.26999999999992</v>
      </c>
      <c r="DQ113" s="13">
        <f t="shared" si="97"/>
        <v>75.825476822885776</v>
      </c>
      <c r="DR113" s="20">
        <f t="shared" si="70"/>
        <v>693.34962213319261</v>
      </c>
      <c r="DS113" s="59">
        <f t="shared" si="71"/>
        <v>986.68295546652598</v>
      </c>
      <c r="DT113" s="59">
        <f ca="1">AVERAGE(OFFSET($DS$3,0,0,'Données projet'!$E$14+1,1))-AVERAGE(OFFSET($H$3,0,0,'Données projet'!$E$14+1,1))</f>
        <v>312.64506496298173</v>
      </c>
      <c r="DU113" s="59">
        <f t="shared" si="98"/>
        <v>259.97532509897508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62.532903650205533</v>
      </c>
      <c r="EB113" s="21">
        <f>EXP(-LN(2)/25)*EB112+(1-EXP(-LN(2)/25))/(LN(2)/25)*Calculateur!DW113*Calculateur!DY113*VLOOKUP('Données projet'!$B$14,Paramètres!$A$1:$I$89,3,0)*0.475*44/12</f>
        <v>2.1301726534863961</v>
      </c>
      <c r="EC113" s="21">
        <f>EXP(-LN(2)/2)*EC112+(1-EXP(-LN(2)/2))/(LN(2)/2)*DW113*DZ113*VLOOKUP('Données projet'!$B$14,Paramètres!$A$1:$I$89,3,0)*0.475*44/12</f>
        <v>3.5024003787472424E-12</v>
      </c>
      <c r="ED113" s="22">
        <f t="shared" si="72"/>
        <v>64.663076303695419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285</v>
      </c>
      <c r="EH113" s="12">
        <f>VLOOKUP(A113,'Données projet'!$A$191:$I$211,9,0)</f>
        <v>4.2</v>
      </c>
      <c r="EI113" s="12">
        <f t="array" ref="EI113">INDEX(EH:EH,MIN(IF(ISNUMBER(EH113:EH309),ROW(EH113:EH309),"")))</f>
        <v>4.2</v>
      </c>
      <c r="EJ113" s="12">
        <f>IF('Données projet'!$A$192&gt;35,EJ112+EI113-ER112,IF(A113&lt;'Données projet'!$A$192,$EG$205^A113,IF(A113='Données projet'!$A$192,'Données projet'!$B$192,EJ112+EI113-ER112)))</f>
        <v>284.99999999999994</v>
      </c>
      <c r="EK113" s="17">
        <f>EJ113*VLOOKUP('Données projet'!$B$15,Paramètres!$A$1:$I$89,3,0)*VLOOKUP('Données projet'!$B$15,Paramètres!$A$1:$I$89,5,0)</f>
        <v>257.86799999999994</v>
      </c>
      <c r="EL113" s="13">
        <f t="shared" si="99"/>
        <v>62.267704162827528</v>
      </c>
      <c r="EM113" s="20">
        <f t="shared" si="73"/>
        <v>557.56968475025781</v>
      </c>
      <c r="EN113" s="59">
        <f t="shared" si="74"/>
        <v>850.90301808359118</v>
      </c>
      <c r="EO113" s="59">
        <f ca="1">AVERAGE(OFFSET($EN$3,0,0,'Données projet'!$E$15+1,1))-AVERAGE(OFFSET($H$3,0,0,'Données projet'!$E$15+1,1))</f>
        <v>269.64423257646359</v>
      </c>
      <c r="EP113" s="59">
        <f t="shared" si="100"/>
        <v>161.0819079811821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19</v>
      </c>
      <c r="ES113" s="16">
        <f>IF(ISNA(VLOOKUP(A113,'Données projet'!$A$191:$I$211,5,0)),0%,VLOOKUP(A113,'Données projet'!$A$191:$I$211,5,0)*VLOOKUP('Données projet'!$B$15,Paramètres!$A$1:$I$89,7,0))</f>
        <v>0.43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74.906595569902251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74.906595569902251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349.00000000000017</v>
      </c>
      <c r="FF113" s="17">
        <f>FE113*VLOOKUP('Données projet'!$B$16,Paramètres!$A$1:$I$89,3,0)*VLOOKUP('Données projet'!$B$16,Paramètres!$A$1:$I$89,5,0)</f>
        <v>272.22000000000014</v>
      </c>
      <c r="FG113" s="13">
        <f t="shared" si="101"/>
        <v>65.320184547527205</v>
      </c>
      <c r="FH113" s="20">
        <f t="shared" si="76"/>
        <v>587.88248808694345</v>
      </c>
      <c r="FI113" s="59">
        <f t="shared" si="77"/>
        <v>881.21582142027682</v>
      </c>
      <c r="FJ113" s="59">
        <f ca="1">AVERAGE(OFFSET($FI$3,0,0,'Données projet'!$E$16+1,1))-AVERAGE(OFFSET($H$3,0,0,'Données projet'!$E$16+1,1))</f>
        <v>283.77864672734273</v>
      </c>
      <c r="FK113" s="59">
        <f t="shared" si="102"/>
        <v>270.94620935643866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39.25004173660254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39.25004173660254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319</v>
      </c>
      <c r="GA113" s="17">
        <f>FZ113*VLOOKUP('Données projet'!$B$17,Paramètres!$A$1:$I$89,3,0)*VLOOKUP('Données projet'!$B$17,Paramètres!$A$1:$I$89,5,0)</f>
        <v>308.53680000000003</v>
      </c>
      <c r="GB113" s="13">
        <f t="shared" si="103"/>
        <v>72.963171684496103</v>
      </c>
      <c r="GC113" s="20">
        <f t="shared" si="79"/>
        <v>664.4457840171641</v>
      </c>
      <c r="GD113" s="59">
        <f t="shared" si="80"/>
        <v>957.77911735049747</v>
      </c>
      <c r="GE113" s="59">
        <f ca="1">AVERAGE(OFFSET($GD$3,0,0,'Données projet'!$E$17+1,1))-AVERAGE(OFFSET($H$3,0,0,'Données projet'!$E$17+1,1))</f>
        <v>347.54503437087288</v>
      </c>
      <c r="GF113" s="59">
        <f t="shared" si="104"/>
        <v>340.05673244455954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28.949472448266469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28.949472448266469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735.00000000000011</v>
      </c>
      <c r="O114" s="13">
        <f>N114*VLOOKUP('Données projet'!$B$9,Paramètres!$A$1:$I$89,3,0)*VLOOKUP('Données projet'!$B$9,Paramètres!$A$1:$I$89,5,0)</f>
        <v>343.98</v>
      </c>
      <c r="P114" s="13">
        <f t="shared" si="87"/>
        <v>80.321681832084693</v>
      </c>
      <c r="Q114" s="20">
        <f t="shared" si="107"/>
        <v>738.9920958575475</v>
      </c>
      <c r="R114" s="59">
        <f t="shared" si="55"/>
        <v>1032.3254291908809</v>
      </c>
      <c r="S114" s="59">
        <f ca="1">AVERAGE(OFFSET($R$3,0,0,'Données projet'!$E$9+1,1))-AVERAGE(OFFSET($H$3,0,0,'Données projet'!$E$9+1,1))</f>
        <v>342.49944586217674</v>
      </c>
      <c r="T114" s="59">
        <f t="shared" si="88"/>
        <v>282.29766600872563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63.833277405895338</v>
      </c>
      <c r="AA114" s="21">
        <f>EXP(-LN(2)/25)*AA113+(1-EXP(-LN(2)/25))/(LN(2)/25)*Calculateur!V114*Calculateur!X114*VLOOKUP('Données projet'!$B$9,Paramètres!$A$1:$I$89,3,0)*0.475*44/12</f>
        <v>4.2422509595754869</v>
      </c>
      <c r="AB114" s="21">
        <f>EXP(-LN(2)/2)*AB113+(1-EXP(-LN(2)/2))/(LN(2)/2)*V114*Y114*VLOOKUP('Données projet'!$B$9,Paramètres!$A$1:$I$89,3,0)*0.475*44/12</f>
        <v>5.3245951703927739E-14</v>
      </c>
      <c r="AC114" s="22">
        <f t="shared" si="57"/>
        <v>68.075528365470888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739.99999999999966</v>
      </c>
      <c r="AJ114" s="13">
        <f>AI114*VLOOKUP('Données projet'!$B$10,Paramètres!$A$1:$I$89,3,0)*VLOOKUP('Données projet'!$B$10,Paramètres!$A$1:$I$89,5,0)</f>
        <v>413.65999999999985</v>
      </c>
      <c r="AK114" s="13">
        <f t="shared" si="89"/>
        <v>94.540585122244352</v>
      </c>
      <c r="AL114" s="20">
        <f t="shared" si="58"/>
        <v>885.11601908790863</v>
      </c>
      <c r="AM114" s="59">
        <f t="shared" si="59"/>
        <v>1178.4493524212419</v>
      </c>
      <c r="AN114" s="59">
        <f ca="1">AVERAGE(OFFSET($AM$3,0,0,'Données projet'!$E$10+1,1))-AVERAGE(OFFSET($H$3,0,0,'Données projet'!$E$10+1,1))</f>
        <v>490.96084572840579</v>
      </c>
      <c r="AO114" s="59">
        <f t="shared" si="90"/>
        <v>597.91658789908263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44.978967750816118</v>
      </c>
      <c r="AV114" s="21">
        <f>EXP(-LN(2)/25)*AV113+(1-EXP(-LN(2)/25))/(LN(2)/25)*Calculateur!AQ114*Calculateur!AS114*VLOOKUP('Données projet'!$B$10,Paramètres!$A$1:$I$89,3,0)*0.475*44/12</f>
        <v>6.1157930809630505</v>
      </c>
      <c r="AW114" s="21">
        <f>EXP(-LN(2)/2)*AW113+(1-EXP(-LN(2)/2))/(LN(2)/2)*AQ114*AT114*VLOOKUP('Données projet'!$B$10,Paramètres!$A$1:$I$89,3,0)*0.475*44/12</f>
        <v>5.4695424833645753E-13</v>
      </c>
      <c r="AX114" s="21">
        <f t="shared" si="60"/>
        <v>51.094760831779716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213.00000000000003</v>
      </c>
      <c r="BE114" s="13">
        <f>BD114*VLOOKUP('Données projet'!$B$11,Paramètres!$A$1:$I$89,3,0)*VLOOKUP('Données projet'!$B$11,Paramètres!$A$1:$I$89,5,0)</f>
        <v>169.46280000000002</v>
      </c>
      <c r="BF114" s="13">
        <f t="shared" si="91"/>
        <v>42.969686502194378</v>
      </c>
      <c r="BG114" s="20">
        <f t="shared" si="61"/>
        <v>369.98658065798855</v>
      </c>
      <c r="BH114" s="59">
        <f t="shared" si="62"/>
        <v>663.31991399132187</v>
      </c>
      <c r="BI114" s="59">
        <f ca="1">AVERAGE(OFFSET($BH$3,0,0,'Données projet'!$E$11+1,1))-AVERAGE(OFFSET($H$3,0,0,'Données projet'!$E$11+1,1))</f>
        <v>167.80254365106839</v>
      </c>
      <c r="BJ114" s="59">
        <f t="shared" si="92"/>
        <v>167.42302164950172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18.14131305328042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18.14131305328042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669.99999999999989</v>
      </c>
      <c r="BZ114" s="13">
        <f>BY114*VLOOKUP('Données projet'!$B$12,Paramètres!$A$1:$I$89,3,0)*VLOOKUP('Données projet'!$B$12,Paramètres!$A$1:$I$89,5,0)</f>
        <v>330.97999999999996</v>
      </c>
      <c r="CA114" s="13">
        <f t="shared" si="93"/>
        <v>77.633451096966454</v>
      </c>
      <c r="CB114" s="20">
        <f t="shared" si="64"/>
        <v>711.66842732721636</v>
      </c>
      <c r="CC114" s="59">
        <f t="shared" si="65"/>
        <v>1005.0017606605497</v>
      </c>
      <c r="CD114" s="59">
        <f ca="1">AVERAGE(OFFSET($CC$3,0,0,'Données projet'!$E$12+1,1))-AVERAGE(OFFSET($H$3,0,0,'Données projet'!$E$12+1,1))</f>
        <v>322.06606384496587</v>
      </c>
      <c r="CE114" s="59">
        <f t="shared" si="94"/>
        <v>267.71713177624713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62.963608619874144</v>
      </c>
      <c r="CL114" s="21">
        <f>EXP(-LN(2)/25)*CL113+(1-EXP(-LN(2)/25))/(LN(2)/25)*Calculateur!CG114*Calculateur!CI114*VLOOKUP('Données projet'!$B$12,Paramètres!$A$1:$I$89,3,0)*0.475*44/12</f>
        <v>2.1279208883709209</v>
      </c>
      <c r="CM114" s="21">
        <f>EXP(-LN(2)/2)*CM113+(1-EXP(-LN(2)/2))/(LN(2)/2)*CG114*CJ114*VLOOKUP('Données projet'!$B$12,Paramètres!$A$1:$I$89,3,0)*0.475*44/12</f>
        <v>2.5435054111679986E-12</v>
      </c>
      <c r="CN114" s="22">
        <f t="shared" si="66"/>
        <v>65.091529508247604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401</v>
      </c>
      <c r="CU114" s="17">
        <f>CT114*VLOOKUP('Données projet'!$B$13,Paramètres!$A$1:$I$89,3,0)*VLOOKUP('Données projet'!$B$13,Paramètres!$A$1:$I$89,5,0)</f>
        <v>250.22399999999999</v>
      </c>
      <c r="CV114" s="13">
        <f t="shared" si="95"/>
        <v>60.633904580527918</v>
      </c>
      <c r="CW114" s="20">
        <f t="shared" si="67"/>
        <v>541.41085047775289</v>
      </c>
      <c r="CX114" s="59">
        <f t="shared" si="68"/>
        <v>834.74418381108626</v>
      </c>
      <c r="CY114" s="59">
        <f ca="1">AVERAGE(OFFSET($CX$3,0,0,'Données projet'!$E$13+1,1))-AVERAGE(OFFSET($H$3,0,0,'Données projet'!$E$13+1,1))</f>
        <v>269.77739619445515</v>
      </c>
      <c r="CZ114" s="59">
        <f t="shared" si="96"/>
        <v>347.56964743629885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27.890885768947406</v>
      </c>
      <c r="DG114" s="21">
        <f>EXP(-LN(2)/25)*DG113+(1-EXP(-LN(2)/25))/(LN(2)/25)*Calculateur!DB114*Calculateur!DD114*VLOOKUP('Données projet'!$B$13,Paramètres!$A$1:$I$89,3,0)*0.475*44/12</f>
        <v>9.7102838736405879</v>
      </c>
      <c r="DH114" s="21">
        <f>EXP(-LN(2)/2)*DH113+(1-EXP(-LN(2)/2))/(LN(2)/2)*DB114*DE114*VLOOKUP('Données projet'!$B$13,Paramètres!$A$1:$I$89,3,0)*0.475*44/12</f>
        <v>1.5973785511178308E-14</v>
      </c>
      <c r="DI114" s="22">
        <f t="shared" si="69"/>
        <v>37.601169642588005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669.99999999999989</v>
      </c>
      <c r="DP114" s="17">
        <f>DO114*VLOOKUP('Données projet'!$B$14,Paramètres!$A$1:$I$89,3,0)*VLOOKUP('Données projet'!$B$14,Paramètres!$A$1:$I$89,5,0)</f>
        <v>322.26999999999992</v>
      </c>
      <c r="DQ114" s="13">
        <f t="shared" si="97"/>
        <v>75.825476822885776</v>
      </c>
      <c r="DR114" s="20">
        <f t="shared" si="70"/>
        <v>693.34962213319261</v>
      </c>
      <c r="DS114" s="59">
        <f t="shared" si="71"/>
        <v>986.68295546652598</v>
      </c>
      <c r="DT114" s="59">
        <f ca="1">AVERAGE(OFFSET($DS$3,0,0,'Données projet'!$E$14+1,1))-AVERAGE(OFFSET($H$3,0,0,'Données projet'!$E$14+1,1))</f>
        <v>312.64506496298173</v>
      </c>
      <c r="DU114" s="59">
        <f t="shared" si="98"/>
        <v>259.97532509897508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61.306671550930091</v>
      </c>
      <c r="EB114" s="21">
        <f>EXP(-LN(2)/25)*EB113+(1-EXP(-LN(2)/25))/(LN(2)/25)*Calculateur!DW114*Calculateur!DY114*VLOOKUP('Données projet'!$B$14,Paramètres!$A$1:$I$89,3,0)*0.475*44/12</f>
        <v>2.0719229702558994</v>
      </c>
      <c r="EC114" s="21">
        <f>EXP(-LN(2)/2)*EC113+(1-EXP(-LN(2)/2))/(LN(2)/2)*DW114*DZ114*VLOOKUP('Données projet'!$B$14,Paramètres!$A$1:$I$89,3,0)*0.475*44/12</f>
        <v>2.4765710582425075E-12</v>
      </c>
      <c r="ED114" s="22">
        <f t="shared" si="72"/>
        <v>63.378594521188468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3.8</v>
      </c>
      <c r="EJ114" s="12">
        <f>IF('Données projet'!$A$192&gt;35,EJ113+EI114-ER113,IF(A114&lt;'Données projet'!$A$192,$EG$205^A114,IF(A114='Données projet'!$A$192,'Données projet'!$B$192,EJ113+EI114-ER113)))</f>
        <v>269.79999999999995</v>
      </c>
      <c r="EK114" s="17">
        <f>EJ114*VLOOKUP('Données projet'!$B$15,Paramètres!$A$1:$I$89,3,0)*VLOOKUP('Données projet'!$B$15,Paramètres!$A$1:$I$89,5,0)</f>
        <v>244.11503999999994</v>
      </c>
      <c r="EL114" s="13">
        <f t="shared" si="99"/>
        <v>59.324023461759012</v>
      </c>
      <c r="EM114" s="20">
        <f t="shared" si="73"/>
        <v>528.48970219589683</v>
      </c>
      <c r="EN114" s="59">
        <f t="shared" si="74"/>
        <v>821.82303552923008</v>
      </c>
      <c r="EO114" s="59">
        <f ca="1">AVERAGE(OFFSET($EN$3,0,0,'Données projet'!$E$15+1,1))-AVERAGE(OFFSET($H$3,0,0,'Données projet'!$E$15+1,1))</f>
        <v>269.64423257646359</v>
      </c>
      <c r="EP114" s="59">
        <f t="shared" si="100"/>
        <v>161.0819079811821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73.437722919288404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73.437722919288404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349.00000000000017</v>
      </c>
      <c r="FF114" s="17">
        <f>FE114*VLOOKUP('Données projet'!$B$16,Paramètres!$A$1:$I$89,3,0)*VLOOKUP('Données projet'!$B$16,Paramètres!$A$1:$I$89,5,0)</f>
        <v>272.22000000000014</v>
      </c>
      <c r="FG114" s="13">
        <f t="shared" si="101"/>
        <v>65.320184547527205</v>
      </c>
      <c r="FH114" s="20">
        <f t="shared" si="76"/>
        <v>587.88248808694345</v>
      </c>
      <c r="FI114" s="59">
        <f t="shared" si="77"/>
        <v>881.21582142027682</v>
      </c>
      <c r="FJ114" s="59">
        <f ca="1">AVERAGE(OFFSET($FI$3,0,0,'Données projet'!$E$16+1,1))-AVERAGE(OFFSET($H$3,0,0,'Données projet'!$E$16+1,1))</f>
        <v>283.77864672734273</v>
      </c>
      <c r="FK114" s="59">
        <f t="shared" si="102"/>
        <v>270.94620935643866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38.480372358309332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38.480372358309332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319</v>
      </c>
      <c r="GA114" s="17">
        <f>FZ114*VLOOKUP('Données projet'!$B$17,Paramètres!$A$1:$I$89,3,0)*VLOOKUP('Données projet'!$B$17,Paramètres!$A$1:$I$89,5,0)</f>
        <v>308.53680000000003</v>
      </c>
      <c r="GB114" s="13">
        <f t="shared" si="103"/>
        <v>72.963171684496103</v>
      </c>
      <c r="GC114" s="20">
        <f t="shared" si="79"/>
        <v>664.4457840171641</v>
      </c>
      <c r="GD114" s="59">
        <f t="shared" si="80"/>
        <v>957.77911735049747</v>
      </c>
      <c r="GE114" s="59">
        <f ca="1">AVERAGE(OFFSET($GD$3,0,0,'Données projet'!$E$17+1,1))-AVERAGE(OFFSET($H$3,0,0,'Données projet'!$E$17+1,1))</f>
        <v>347.54503437087288</v>
      </c>
      <c r="GF114" s="59">
        <f t="shared" si="104"/>
        <v>340.05673244455954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28.381790950990631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28.381790950990631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735.00000000000011</v>
      </c>
      <c r="O115" s="13">
        <f>N115*VLOOKUP('Données projet'!$B$9,Paramètres!$A$1:$I$89,3,0)*VLOOKUP('Données projet'!$B$9,Paramètres!$A$1:$I$89,5,0)</f>
        <v>343.98</v>
      </c>
      <c r="P115" s="13">
        <f t="shared" si="87"/>
        <v>80.321681832084693</v>
      </c>
      <c r="Q115" s="20">
        <f t="shared" si="107"/>
        <v>738.9920958575475</v>
      </c>
      <c r="R115" s="59">
        <f t="shared" si="55"/>
        <v>1032.3254291908809</v>
      </c>
      <c r="S115" s="59">
        <f ca="1">AVERAGE(OFFSET($R$3,0,0,'Données projet'!$E$9+1,1))-AVERAGE(OFFSET($H$3,0,0,'Données projet'!$E$9+1,1))</f>
        <v>342.49944586217674</v>
      </c>
      <c r="T115" s="59">
        <f t="shared" si="88"/>
        <v>282.29766600872563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62.58154577042049</v>
      </c>
      <c r="AA115" s="21">
        <f>EXP(-LN(2)/25)*AA114+(1-EXP(-LN(2)/25))/(LN(2)/25)*Calculateur!V115*Calculateur!X115*VLOOKUP('Données projet'!$B$9,Paramètres!$A$1:$I$89,3,0)*0.475*44/12</f>
        <v>4.1262463839956132</v>
      </c>
      <c r="AB115" s="21">
        <f>EXP(-LN(2)/2)*AB114+(1-EXP(-LN(2)/2))/(LN(2)/2)*V115*Y115*VLOOKUP('Données projet'!$B$9,Paramètres!$A$1:$I$89,3,0)*0.475*44/12</f>
        <v>3.7650573520578708E-14</v>
      </c>
      <c r="AC115" s="22">
        <f t="shared" si="57"/>
        <v>66.70779215441614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739.99999999999966</v>
      </c>
      <c r="AJ115" s="13">
        <f>AI115*VLOOKUP('Données projet'!$B$10,Paramètres!$A$1:$I$89,3,0)*VLOOKUP('Données projet'!$B$10,Paramètres!$A$1:$I$89,5,0)</f>
        <v>413.65999999999985</v>
      </c>
      <c r="AK115" s="13">
        <f t="shared" si="89"/>
        <v>94.540585122244352</v>
      </c>
      <c r="AL115" s="20">
        <f t="shared" si="58"/>
        <v>885.11601908790863</v>
      </c>
      <c r="AM115" s="59">
        <f t="shared" si="59"/>
        <v>1178.4493524212419</v>
      </c>
      <c r="AN115" s="59">
        <f ca="1">AVERAGE(OFFSET($AM$3,0,0,'Données projet'!$E$10+1,1))-AVERAGE(OFFSET($H$3,0,0,'Données projet'!$E$10+1,1))</f>
        <v>490.96084572840579</v>
      </c>
      <c r="AO115" s="59">
        <f t="shared" si="90"/>
        <v>597.91658789908263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44.096957627684013</v>
      </c>
      <c r="AV115" s="21">
        <f>EXP(-LN(2)/25)*AV114+(1-EXP(-LN(2)/25))/(LN(2)/25)*Calculateur!AQ115*Calculateur!AS115*VLOOKUP('Données projet'!$B$10,Paramètres!$A$1:$I$89,3,0)*0.475*44/12</f>
        <v>5.9485563975485354</v>
      </c>
      <c r="AW115" s="21">
        <f>EXP(-LN(2)/2)*AW114+(1-EXP(-LN(2)/2))/(LN(2)/2)*AQ115*AT115*VLOOKUP('Données projet'!$B$10,Paramètres!$A$1:$I$89,3,0)*0.475*44/12</f>
        <v>3.8675505799750006E-13</v>
      </c>
      <c r="AX115" s="21">
        <f t="shared" si="60"/>
        <v>50.045514025232933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213.00000000000003</v>
      </c>
      <c r="BE115" s="13">
        <f>BD115*VLOOKUP('Données projet'!$B$11,Paramètres!$A$1:$I$89,3,0)*VLOOKUP('Données projet'!$B$11,Paramètres!$A$1:$I$89,5,0)</f>
        <v>169.46280000000002</v>
      </c>
      <c r="BF115" s="13">
        <f t="shared" si="91"/>
        <v>42.969686502194378</v>
      </c>
      <c r="BG115" s="20">
        <f t="shared" si="61"/>
        <v>369.98658065798855</v>
      </c>
      <c r="BH115" s="59">
        <f t="shared" si="62"/>
        <v>663.31991399132187</v>
      </c>
      <c r="BI115" s="59">
        <f ca="1">AVERAGE(OFFSET($BH$3,0,0,'Données projet'!$E$11+1,1))-AVERAGE(OFFSET($H$3,0,0,'Données projet'!$E$11+1,1))</f>
        <v>167.80254365106839</v>
      </c>
      <c r="BJ115" s="59">
        <f t="shared" si="92"/>
        <v>167.42302164950172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17.785572969413966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17.785572969413966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669.99999999999989</v>
      </c>
      <c r="BZ115" s="13">
        <f>BY115*VLOOKUP('Données projet'!$B$12,Paramètres!$A$1:$I$89,3,0)*VLOOKUP('Données projet'!$B$12,Paramètres!$A$1:$I$89,5,0)</f>
        <v>330.97999999999996</v>
      </c>
      <c r="CA115" s="13">
        <f t="shared" si="93"/>
        <v>77.633451096966454</v>
      </c>
      <c r="CB115" s="20">
        <f t="shared" si="64"/>
        <v>711.66842732721636</v>
      </c>
      <c r="CC115" s="59">
        <f t="shared" si="65"/>
        <v>1005.0017606605497</v>
      </c>
      <c r="CD115" s="59">
        <f ca="1">AVERAGE(OFFSET($CC$3,0,0,'Données projet'!$E$12+1,1))-AVERAGE(OFFSET($H$3,0,0,'Données projet'!$E$12+1,1))</f>
        <v>322.06606384496587</v>
      </c>
      <c r="CE115" s="59">
        <f t="shared" si="94"/>
        <v>267.71713177624713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61.728930658847588</v>
      </c>
      <c r="CL115" s="21">
        <f>EXP(-LN(2)/25)*CL114+(1-EXP(-LN(2)/25))/(LN(2)/25)*Calculateur!CG115*Calculateur!CI115*VLOOKUP('Données projet'!$B$12,Paramètres!$A$1:$I$89,3,0)*0.475*44/12</f>
        <v>2.0697327797759217</v>
      </c>
      <c r="CM115" s="21">
        <f>EXP(-LN(2)/2)*CM114+(1-EXP(-LN(2)/2))/(LN(2)/2)*CG115*CJ115*VLOOKUP('Données projet'!$B$12,Paramètres!$A$1:$I$89,3,0)*0.475*44/12</f>
        <v>1.7985299242215697E-12</v>
      </c>
      <c r="CN115" s="22">
        <f t="shared" si="66"/>
        <v>63.798663438625304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401</v>
      </c>
      <c r="CU115" s="17">
        <f>CT115*VLOOKUP('Données projet'!$B$13,Paramètres!$A$1:$I$89,3,0)*VLOOKUP('Données projet'!$B$13,Paramètres!$A$1:$I$89,5,0)</f>
        <v>250.22399999999999</v>
      </c>
      <c r="CV115" s="13">
        <f t="shared" si="95"/>
        <v>60.633904580527918</v>
      </c>
      <c r="CW115" s="20">
        <f t="shared" si="67"/>
        <v>541.41085047775289</v>
      </c>
      <c r="CX115" s="59">
        <f t="shared" si="68"/>
        <v>834.74418381108626</v>
      </c>
      <c r="CY115" s="59">
        <f ca="1">AVERAGE(OFFSET($CX$3,0,0,'Données projet'!$E$13+1,1))-AVERAGE(OFFSET($H$3,0,0,'Données projet'!$E$13+1,1))</f>
        <v>269.77739619445515</v>
      </c>
      <c r="CZ115" s="59">
        <f t="shared" si="96"/>
        <v>347.56964743629885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27.343962510778894</v>
      </c>
      <c r="DG115" s="21">
        <f>EXP(-LN(2)/25)*DG114+(1-EXP(-LN(2)/25))/(LN(2)/25)*Calculateur!DB115*Calculateur!DD115*VLOOKUP('Données projet'!$B$13,Paramètres!$A$1:$I$89,3,0)*0.475*44/12</f>
        <v>9.4447556504742494</v>
      </c>
      <c r="DH115" s="21">
        <f>EXP(-LN(2)/2)*DH114+(1-EXP(-LN(2)/2))/(LN(2)/2)*DB115*DE115*VLOOKUP('Données projet'!$B$13,Paramètres!$A$1:$I$89,3,0)*0.475*44/12</f>
        <v>1.1295172056173603E-14</v>
      </c>
      <c r="DI115" s="22">
        <f t="shared" si="69"/>
        <v>36.788718161253158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669.99999999999989</v>
      </c>
      <c r="DP115" s="17">
        <f>DO115*VLOOKUP('Données projet'!$B$14,Paramètres!$A$1:$I$89,3,0)*VLOOKUP('Données projet'!$B$14,Paramètres!$A$1:$I$89,5,0)</f>
        <v>322.26999999999992</v>
      </c>
      <c r="DQ115" s="13">
        <f t="shared" si="97"/>
        <v>75.825476822885776</v>
      </c>
      <c r="DR115" s="20">
        <f t="shared" si="70"/>
        <v>693.34962213319261</v>
      </c>
      <c r="DS115" s="59">
        <f t="shared" si="71"/>
        <v>986.68295546652598</v>
      </c>
      <c r="DT115" s="59">
        <f ca="1">AVERAGE(OFFSET($DS$3,0,0,'Données projet'!$E$14+1,1))-AVERAGE(OFFSET($H$3,0,0,'Données projet'!$E$14+1,1))</f>
        <v>312.64506496298173</v>
      </c>
      <c r="DU115" s="59">
        <f t="shared" si="98"/>
        <v>259.97532509897508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60.104485115193711</v>
      </c>
      <c r="EB115" s="21">
        <f>EXP(-LN(2)/25)*EB114+(1-EXP(-LN(2)/25))/(LN(2)/25)*Calculateur!DW115*Calculateur!DY115*VLOOKUP('Données projet'!$B$14,Paramètres!$A$1:$I$89,3,0)*0.475*44/12</f>
        <v>2.0152661276765582</v>
      </c>
      <c r="EC115" s="21">
        <f>EXP(-LN(2)/2)*EC114+(1-EXP(-LN(2)/2))/(LN(2)/2)*DW115*DZ115*VLOOKUP('Données projet'!$B$14,Paramètres!$A$1:$I$89,3,0)*0.475*44/12</f>
        <v>1.7512001893736212E-12</v>
      </c>
      <c r="ED115" s="22">
        <f t="shared" si="72"/>
        <v>62.11975124287202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3.8</v>
      </c>
      <c r="EJ115" s="12">
        <f>IF('Données projet'!$A$192&gt;35,EJ114+EI115-ER114,IF(A115&lt;'Données projet'!$A$192,$EG$205^A115,IF(A115='Données projet'!$A$192,'Données projet'!$B$192,EJ114+EI115-ER114)))</f>
        <v>273.59999999999997</v>
      </c>
      <c r="EK115" s="17">
        <f>EJ115*VLOOKUP('Données projet'!$B$15,Paramètres!$A$1:$I$89,3,0)*VLOOKUP('Données projet'!$B$15,Paramètres!$A$1:$I$89,5,0)</f>
        <v>247.55327999999994</v>
      </c>
      <c r="EL115" s="13">
        <f t="shared" si="99"/>
        <v>60.061713068870255</v>
      </c>
      <c r="EM115" s="20">
        <f t="shared" si="73"/>
        <v>535.76277959494894</v>
      </c>
      <c r="EN115" s="59">
        <f t="shared" si="74"/>
        <v>829.09611292828231</v>
      </c>
      <c r="EO115" s="59">
        <f ca="1">AVERAGE(OFFSET($EN$3,0,0,'Données projet'!$E$15+1,1))-AVERAGE(OFFSET($H$3,0,0,'Données projet'!$E$15+1,1))</f>
        <v>269.64423257646359</v>
      </c>
      <c r="EP115" s="59">
        <f t="shared" si="100"/>
        <v>161.0819079811821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71.997653965429237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71.997653965429237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349.00000000000017</v>
      </c>
      <c r="FF115" s="17">
        <f>FE115*VLOOKUP('Données projet'!$B$16,Paramètres!$A$1:$I$89,3,0)*VLOOKUP('Données projet'!$B$16,Paramètres!$A$1:$I$89,5,0)</f>
        <v>272.22000000000014</v>
      </c>
      <c r="FG115" s="13">
        <f t="shared" si="101"/>
        <v>65.320184547527205</v>
      </c>
      <c r="FH115" s="20">
        <f t="shared" si="76"/>
        <v>587.88248808694345</v>
      </c>
      <c r="FI115" s="59">
        <f t="shared" si="77"/>
        <v>881.21582142027682</v>
      </c>
      <c r="FJ115" s="59">
        <f ca="1">AVERAGE(OFFSET($FI$3,0,0,'Données projet'!$E$16+1,1))-AVERAGE(OFFSET($H$3,0,0,'Données projet'!$E$16+1,1))</f>
        <v>283.77864672734273</v>
      </c>
      <c r="FK115" s="59">
        <f t="shared" si="102"/>
        <v>270.94620935643866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37.725795727072487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37.725795727072487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319</v>
      </c>
      <c r="GA115" s="17">
        <f>FZ115*VLOOKUP('Données projet'!$B$17,Paramètres!$A$1:$I$89,3,0)*VLOOKUP('Données projet'!$B$17,Paramètres!$A$1:$I$89,5,0)</f>
        <v>308.53680000000003</v>
      </c>
      <c r="GB115" s="13">
        <f t="shared" si="103"/>
        <v>72.963171684496103</v>
      </c>
      <c r="GC115" s="20">
        <f t="shared" si="79"/>
        <v>664.4457840171641</v>
      </c>
      <c r="GD115" s="59">
        <f t="shared" si="80"/>
        <v>957.77911735049747</v>
      </c>
      <c r="GE115" s="59">
        <f ca="1">AVERAGE(OFFSET($GD$3,0,0,'Données projet'!$E$17+1,1))-AVERAGE(OFFSET($H$3,0,0,'Données projet'!$E$17+1,1))</f>
        <v>347.54503437087288</v>
      </c>
      <c r="GF115" s="59">
        <f t="shared" si="104"/>
        <v>340.05673244455954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27.825241341624846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27.825241341624846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735.00000000000011</v>
      </c>
      <c r="O116" s="13">
        <f>N116*VLOOKUP('Données projet'!$B$9,Paramètres!$A$1:$I$89,3,0)*VLOOKUP('Données projet'!$B$9,Paramètres!$A$1:$I$89,5,0)</f>
        <v>343.98</v>
      </c>
      <c r="P116" s="13">
        <f t="shared" si="87"/>
        <v>80.321681832084693</v>
      </c>
      <c r="Q116" s="20">
        <f t="shared" si="107"/>
        <v>738.9920958575475</v>
      </c>
      <c r="R116" s="59">
        <f t="shared" si="55"/>
        <v>1032.3254291908809</v>
      </c>
      <c r="S116" s="59">
        <f ca="1">AVERAGE(OFFSET($R$3,0,0,'Données projet'!$E$9+1,1))-AVERAGE(OFFSET($H$3,0,0,'Données projet'!$E$9+1,1))</f>
        <v>342.49944586217674</v>
      </c>
      <c r="T116" s="59">
        <f t="shared" si="88"/>
        <v>282.29766600872563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61.354359828836394</v>
      </c>
      <c r="AA116" s="21">
        <f>EXP(-LN(2)/25)*AA115+(1-EXP(-LN(2)/25))/(LN(2)/25)*Calculateur!V116*Calculateur!X116*VLOOKUP('Données projet'!$B$9,Paramètres!$A$1:$I$89,3,0)*0.475*44/12</f>
        <v>4.0134139596353862</v>
      </c>
      <c r="AB116" s="21">
        <f>EXP(-LN(2)/2)*AB115+(1-EXP(-LN(2)/2))/(LN(2)/2)*V116*Y116*VLOOKUP('Données projet'!$B$9,Paramètres!$A$1:$I$89,3,0)*0.475*44/12</f>
        <v>2.6622975851963869E-14</v>
      </c>
      <c r="AC116" s="22">
        <f t="shared" si="57"/>
        <v>65.367773788471808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739.99999999999966</v>
      </c>
      <c r="AJ116" s="13">
        <f>AI116*VLOOKUP('Données projet'!$B$10,Paramètres!$A$1:$I$89,3,0)*VLOOKUP('Données projet'!$B$10,Paramètres!$A$1:$I$89,5,0)</f>
        <v>413.65999999999985</v>
      </c>
      <c r="AK116" s="13">
        <f t="shared" si="89"/>
        <v>94.540585122244352</v>
      </c>
      <c r="AL116" s="20">
        <f t="shared" si="58"/>
        <v>885.11601908790863</v>
      </c>
      <c r="AM116" s="59">
        <f t="shared" si="59"/>
        <v>1178.4493524212419</v>
      </c>
      <c r="AN116" s="59">
        <f ca="1">AVERAGE(OFFSET($AM$3,0,0,'Données projet'!$E$10+1,1))-AVERAGE(OFFSET($H$3,0,0,'Données projet'!$E$10+1,1))</f>
        <v>490.96084572840579</v>
      </c>
      <c r="AO116" s="59">
        <f t="shared" si="90"/>
        <v>597.91658789908263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43.232243185093473</v>
      </c>
      <c r="AV116" s="21">
        <f>EXP(-LN(2)/25)*AV115+(1-EXP(-LN(2)/25))/(LN(2)/25)*Calculateur!AQ116*Calculateur!AS116*VLOOKUP('Données projet'!$B$10,Paramètres!$A$1:$I$89,3,0)*0.475*44/12</f>
        <v>5.785892810036585</v>
      </c>
      <c r="AW116" s="21">
        <f>EXP(-LN(2)/2)*AW115+(1-EXP(-LN(2)/2))/(LN(2)/2)*AQ116*AT116*VLOOKUP('Données projet'!$B$10,Paramètres!$A$1:$I$89,3,0)*0.475*44/12</f>
        <v>2.7347712416822877E-13</v>
      </c>
      <c r="AX116" s="21">
        <f t="shared" si="60"/>
        <v>49.018135995130329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213.00000000000003</v>
      </c>
      <c r="BE116" s="13">
        <f>BD116*VLOOKUP('Données projet'!$B$11,Paramètres!$A$1:$I$89,3,0)*VLOOKUP('Données projet'!$B$11,Paramètres!$A$1:$I$89,5,0)</f>
        <v>169.46280000000002</v>
      </c>
      <c r="BF116" s="13">
        <f t="shared" si="91"/>
        <v>42.969686502194378</v>
      </c>
      <c r="BG116" s="20">
        <f t="shared" si="61"/>
        <v>369.98658065798855</v>
      </c>
      <c r="BH116" s="59">
        <f t="shared" si="62"/>
        <v>663.31991399132187</v>
      </c>
      <c r="BI116" s="59">
        <f ca="1">AVERAGE(OFFSET($BH$3,0,0,'Données projet'!$E$11+1,1))-AVERAGE(OFFSET($H$3,0,0,'Données projet'!$E$11+1,1))</f>
        <v>167.80254365106839</v>
      </c>
      <c r="BJ116" s="59">
        <f t="shared" si="92"/>
        <v>167.42302164950172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17.436808731612107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17.436808731612107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669.99999999999989</v>
      </c>
      <c r="BZ116" s="13">
        <f>BY116*VLOOKUP('Données projet'!$B$12,Paramètres!$A$1:$I$89,3,0)*VLOOKUP('Données projet'!$B$12,Paramètres!$A$1:$I$89,5,0)</f>
        <v>330.97999999999996</v>
      </c>
      <c r="CA116" s="13">
        <f t="shared" si="93"/>
        <v>77.633451096966454</v>
      </c>
      <c r="CB116" s="20">
        <f t="shared" si="64"/>
        <v>711.66842732721636</v>
      </c>
      <c r="CC116" s="59">
        <f t="shared" si="65"/>
        <v>1005.0017606605497</v>
      </c>
      <c r="CD116" s="59">
        <f ca="1">AVERAGE(OFFSET($CC$3,0,0,'Données projet'!$E$12+1,1))-AVERAGE(OFFSET($H$3,0,0,'Données projet'!$E$12+1,1))</f>
        <v>322.06606384496587</v>
      </c>
      <c r="CE116" s="59">
        <f t="shared" si="94"/>
        <v>267.71713177624713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60.518463979557566</v>
      </c>
      <c r="CL116" s="21">
        <f>EXP(-LN(2)/25)*CL115+(1-EXP(-LN(2)/25))/(LN(2)/25)*Calculateur!CG116*Calculateur!CI116*VLOOKUP('Données projet'!$B$12,Paramètres!$A$1:$I$89,3,0)*0.475*44/12</f>
        <v>2.0131358280704328</v>
      </c>
      <c r="CM116" s="21">
        <f>EXP(-LN(2)/2)*CM115+(1-EXP(-LN(2)/2))/(LN(2)/2)*CG116*CJ116*VLOOKUP('Données projet'!$B$12,Paramètres!$A$1:$I$89,3,0)*0.475*44/12</f>
        <v>1.2717527055839995E-12</v>
      </c>
      <c r="CN116" s="22">
        <f t="shared" si="66"/>
        <v>62.53159980762927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401</v>
      </c>
      <c r="CU116" s="17">
        <f>CT116*VLOOKUP('Données projet'!$B$13,Paramètres!$A$1:$I$89,3,0)*VLOOKUP('Données projet'!$B$13,Paramètres!$A$1:$I$89,5,0)</f>
        <v>250.22399999999999</v>
      </c>
      <c r="CV116" s="13">
        <f t="shared" si="95"/>
        <v>60.633904580527918</v>
      </c>
      <c r="CW116" s="20">
        <f t="shared" si="67"/>
        <v>541.41085047775289</v>
      </c>
      <c r="CX116" s="59">
        <f t="shared" si="68"/>
        <v>834.74418381108626</v>
      </c>
      <c r="CY116" s="59">
        <f ca="1">AVERAGE(OFFSET($CX$3,0,0,'Données projet'!$E$13+1,1))-AVERAGE(OFFSET($H$3,0,0,'Données projet'!$E$13+1,1))</f>
        <v>269.77739619445515</v>
      </c>
      <c r="CZ116" s="59">
        <f t="shared" si="96"/>
        <v>347.56964743629885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26.807764084112819</v>
      </c>
      <c r="DG116" s="21">
        <f>EXP(-LN(2)/25)*DG115+(1-EXP(-LN(2)/25))/(LN(2)/25)*Calculateur!DB116*Calculateur!DD116*VLOOKUP('Données projet'!$B$13,Paramètres!$A$1:$I$89,3,0)*0.475*44/12</f>
        <v>9.1864883105339175</v>
      </c>
      <c r="DH116" s="21">
        <f>EXP(-LN(2)/2)*DH115+(1-EXP(-LN(2)/2))/(LN(2)/2)*DB116*DE116*VLOOKUP('Données projet'!$B$13,Paramètres!$A$1:$I$89,3,0)*0.475*44/12</f>
        <v>7.9868927555891539E-15</v>
      </c>
      <c r="DI116" s="22">
        <f t="shared" si="69"/>
        <v>35.994252394646743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669.99999999999989</v>
      </c>
      <c r="DP116" s="17">
        <f>DO116*VLOOKUP('Données projet'!$B$14,Paramètres!$A$1:$I$89,3,0)*VLOOKUP('Données projet'!$B$14,Paramètres!$A$1:$I$89,5,0)</f>
        <v>322.26999999999992</v>
      </c>
      <c r="DQ116" s="13">
        <f t="shared" si="97"/>
        <v>75.825476822885776</v>
      </c>
      <c r="DR116" s="20">
        <f t="shared" si="70"/>
        <v>693.34962213319261</v>
      </c>
      <c r="DS116" s="59">
        <f t="shared" si="71"/>
        <v>986.68295546652598</v>
      </c>
      <c r="DT116" s="59">
        <f ca="1">AVERAGE(OFFSET($DS$3,0,0,'Données projet'!$E$14+1,1))-AVERAGE(OFFSET($H$3,0,0,'Données projet'!$E$14+1,1))</f>
        <v>312.64506496298173</v>
      </c>
      <c r="DU116" s="59">
        <f t="shared" si="98"/>
        <v>259.97532509897508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58.925872822200795</v>
      </c>
      <c r="EB116" s="21">
        <f>EXP(-LN(2)/25)*EB115+(1-EXP(-LN(2)/25))/(LN(2)/25)*Calculateur!DW116*Calculateur!DY116*VLOOKUP('Données projet'!$B$14,Paramètres!$A$1:$I$89,3,0)*0.475*44/12</f>
        <v>1.960158569437003</v>
      </c>
      <c r="EC116" s="21">
        <f>EXP(-LN(2)/2)*EC115+(1-EXP(-LN(2)/2))/(LN(2)/2)*DW116*DZ116*VLOOKUP('Données projet'!$B$14,Paramètres!$A$1:$I$89,3,0)*0.475*44/12</f>
        <v>1.2382855291212537E-12</v>
      </c>
      <c r="ED116" s="22">
        <f t="shared" si="72"/>
        <v>60.886031391639037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3.8</v>
      </c>
      <c r="EJ116" s="12">
        <f>IF('Données projet'!$A$192&gt;35,EJ115+EI116-ER115,IF(A116&lt;'Données projet'!$A$192,$EG$205^A116,IF(A116='Données projet'!$A$192,'Données projet'!$B$192,EJ115+EI116-ER115)))</f>
        <v>277.39999999999998</v>
      </c>
      <c r="EK116" s="17">
        <f>EJ116*VLOOKUP('Données projet'!$B$15,Paramètres!$A$1:$I$89,3,0)*VLOOKUP('Données projet'!$B$15,Paramètres!$A$1:$I$89,5,0)</f>
        <v>250.99151999999995</v>
      </c>
      <c r="EL116" s="13">
        <f t="shared" si="99"/>
        <v>60.798211000769406</v>
      </c>
      <c r="EM116" s="20">
        <f t="shared" si="73"/>
        <v>543.03378149300659</v>
      </c>
      <c r="EN116" s="59">
        <f t="shared" si="74"/>
        <v>836.36711482633996</v>
      </c>
      <c r="EO116" s="59">
        <f ca="1">AVERAGE(OFFSET($EN$3,0,0,'Données projet'!$E$15+1,1))-AVERAGE(OFFSET($H$3,0,0,'Données projet'!$E$15+1,1))</f>
        <v>269.64423257646359</v>
      </c>
      <c r="EP116" s="59">
        <f t="shared" si="100"/>
        <v>161.0819079811821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70.585823885399918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70.585823885399918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349.00000000000017</v>
      </c>
      <c r="FF116" s="17">
        <f>FE116*VLOOKUP('Données projet'!$B$16,Paramètres!$A$1:$I$89,3,0)*VLOOKUP('Données projet'!$B$16,Paramètres!$A$1:$I$89,5,0)</f>
        <v>272.22000000000014</v>
      </c>
      <c r="FG116" s="13">
        <f t="shared" si="101"/>
        <v>65.320184547527205</v>
      </c>
      <c r="FH116" s="20">
        <f t="shared" si="76"/>
        <v>587.88248808694345</v>
      </c>
      <c r="FI116" s="59">
        <f t="shared" si="77"/>
        <v>881.21582142027682</v>
      </c>
      <c r="FJ116" s="59">
        <f ca="1">AVERAGE(OFFSET($FI$3,0,0,'Données projet'!$E$16+1,1))-AVERAGE(OFFSET($H$3,0,0,'Données projet'!$E$16+1,1))</f>
        <v>283.77864672734273</v>
      </c>
      <c r="FK116" s="59">
        <f t="shared" si="102"/>
        <v>270.94620935643866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36.986015883327894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36.986015883327894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319</v>
      </c>
      <c r="GA116" s="17">
        <f>FZ116*VLOOKUP('Données projet'!$B$17,Paramètres!$A$1:$I$89,3,0)*VLOOKUP('Données projet'!$B$17,Paramètres!$A$1:$I$89,5,0)</f>
        <v>308.53680000000003</v>
      </c>
      <c r="GB116" s="13">
        <f t="shared" si="103"/>
        <v>72.963171684496103</v>
      </c>
      <c r="GC116" s="20">
        <f t="shared" si="79"/>
        <v>664.4457840171641</v>
      </c>
      <c r="GD116" s="59">
        <f t="shared" si="80"/>
        <v>957.77911735049747</v>
      </c>
      <c r="GE116" s="59">
        <f ca="1">AVERAGE(OFFSET($GD$3,0,0,'Données projet'!$E$17+1,1))-AVERAGE(OFFSET($H$3,0,0,'Données projet'!$E$17+1,1))</f>
        <v>347.54503437087288</v>
      </c>
      <c r="GF116" s="59">
        <f t="shared" si="104"/>
        <v>340.05673244455954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27.279605330636983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27.279605330636983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735.00000000000011</v>
      </c>
      <c r="O117" s="13">
        <f>N117*VLOOKUP('Données projet'!$B$9,Paramètres!$A$1:$I$89,3,0)*VLOOKUP('Données projet'!$B$9,Paramètres!$A$1:$I$89,5,0)</f>
        <v>343.98</v>
      </c>
      <c r="P117" s="13">
        <f t="shared" si="87"/>
        <v>80.321681832084693</v>
      </c>
      <c r="Q117" s="20">
        <f t="shared" si="107"/>
        <v>738.9920958575475</v>
      </c>
      <c r="R117" s="59">
        <f t="shared" si="55"/>
        <v>1032.3254291908809</v>
      </c>
      <c r="S117" s="59">
        <f ca="1">AVERAGE(OFFSET($R$3,0,0,'Données projet'!$E$9+1,1))-AVERAGE(OFFSET($H$3,0,0,'Données projet'!$E$9+1,1))</f>
        <v>342.49944586217674</v>
      </c>
      <c r="T117" s="59">
        <f t="shared" si="88"/>
        <v>282.29766600872563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60.151238255057244</v>
      </c>
      <c r="AA117" s="21">
        <f>EXP(-LN(2)/25)*AA116+(1-EXP(-LN(2)/25))/(LN(2)/25)*Calculateur!V117*Calculateur!X117*VLOOKUP('Données projet'!$B$9,Paramètres!$A$1:$I$89,3,0)*0.475*44/12</f>
        <v>3.903666943852889</v>
      </c>
      <c r="AB117" s="21">
        <f>EXP(-LN(2)/2)*AB116+(1-EXP(-LN(2)/2))/(LN(2)/2)*V117*Y117*VLOOKUP('Données projet'!$B$9,Paramètres!$A$1:$I$89,3,0)*0.475*44/12</f>
        <v>1.8825286760289354E-14</v>
      </c>
      <c r="AC117" s="22">
        <f t="shared" si="57"/>
        <v>64.054905198910149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739.99999999999966</v>
      </c>
      <c r="AJ117" s="13">
        <f>AI117*VLOOKUP('Données projet'!$B$10,Paramètres!$A$1:$I$89,3,0)*VLOOKUP('Données projet'!$B$10,Paramètres!$A$1:$I$89,5,0)</f>
        <v>413.65999999999985</v>
      </c>
      <c r="AK117" s="13">
        <f t="shared" si="89"/>
        <v>94.540585122244352</v>
      </c>
      <c r="AL117" s="20">
        <f t="shared" si="58"/>
        <v>885.11601908790863</v>
      </c>
      <c r="AM117" s="59">
        <f t="shared" si="59"/>
        <v>1178.4493524212419</v>
      </c>
      <c r="AN117" s="59">
        <f ca="1">AVERAGE(OFFSET($AM$3,0,0,'Données projet'!$E$10+1,1))-AVERAGE(OFFSET($H$3,0,0,'Données projet'!$E$10+1,1))</f>
        <v>490.96084572840579</v>
      </c>
      <c r="AO117" s="59">
        <f t="shared" si="90"/>
        <v>597.91658789908263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42.384485265298402</v>
      </c>
      <c r="AV117" s="21">
        <f>EXP(-LN(2)/25)*AV116+(1-EXP(-LN(2)/25))/(LN(2)/25)*Calculateur!AQ117*Calculateur!AS117*VLOOKUP('Données projet'!$B$10,Paramètres!$A$1:$I$89,3,0)*0.475*44/12</f>
        <v>5.6276772668792558</v>
      </c>
      <c r="AW117" s="21">
        <f>EXP(-LN(2)/2)*AW116+(1-EXP(-LN(2)/2))/(LN(2)/2)*AQ117*AT117*VLOOKUP('Données projet'!$B$10,Paramètres!$A$1:$I$89,3,0)*0.475*44/12</f>
        <v>1.9337752899875003E-13</v>
      </c>
      <c r="AX117" s="21">
        <f t="shared" si="60"/>
        <v>48.012162532177847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213.00000000000003</v>
      </c>
      <c r="BE117" s="13">
        <f>BD117*VLOOKUP('Données projet'!$B$11,Paramètres!$A$1:$I$89,3,0)*VLOOKUP('Données projet'!$B$11,Paramètres!$A$1:$I$89,5,0)</f>
        <v>169.46280000000002</v>
      </c>
      <c r="BF117" s="13">
        <f t="shared" si="91"/>
        <v>42.969686502194378</v>
      </c>
      <c r="BG117" s="20">
        <f t="shared" si="61"/>
        <v>369.98658065798855</v>
      </c>
      <c r="BH117" s="59">
        <f t="shared" si="62"/>
        <v>663.31991399132187</v>
      </c>
      <c r="BI117" s="59">
        <f ca="1">AVERAGE(OFFSET($BH$3,0,0,'Données projet'!$E$11+1,1))-AVERAGE(OFFSET($H$3,0,0,'Données projet'!$E$11+1,1))</f>
        <v>167.80254365106839</v>
      </c>
      <c r="BJ117" s="59">
        <f t="shared" si="92"/>
        <v>167.42302164950172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17.09488354778836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17.09488354778836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669.99999999999989</v>
      </c>
      <c r="BZ117" s="13">
        <f>BY117*VLOOKUP('Données projet'!$B$12,Paramètres!$A$1:$I$89,3,0)*VLOOKUP('Données projet'!$B$12,Paramètres!$A$1:$I$89,5,0)</f>
        <v>330.97999999999996</v>
      </c>
      <c r="CA117" s="13">
        <f t="shared" si="93"/>
        <v>77.633451096966454</v>
      </c>
      <c r="CB117" s="20">
        <f t="shared" si="64"/>
        <v>711.66842732721636</v>
      </c>
      <c r="CC117" s="59">
        <f t="shared" si="65"/>
        <v>1005.0017606605497</v>
      </c>
      <c r="CD117" s="59">
        <f ca="1">AVERAGE(OFFSET($CC$3,0,0,'Données projet'!$E$12+1,1))-AVERAGE(OFFSET($H$3,0,0,'Données projet'!$E$12+1,1))</f>
        <v>322.06606384496587</v>
      </c>
      <c r="CE117" s="59">
        <f t="shared" si="94"/>
        <v>267.71713177624713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59.331733813536651</v>
      </c>
      <c r="CL117" s="21">
        <f>EXP(-LN(2)/25)*CL116+(1-EXP(-LN(2)/25))/(LN(2)/25)*Calculateur!CG117*Calculateur!CI117*VLOOKUP('Données projet'!$B$12,Paramètres!$A$1:$I$89,3,0)*0.475*44/12</f>
        <v>1.9580865229856348</v>
      </c>
      <c r="CM117" s="21">
        <f>EXP(-LN(2)/2)*CM116+(1-EXP(-LN(2)/2))/(LN(2)/2)*CG117*CJ117*VLOOKUP('Données projet'!$B$12,Paramètres!$A$1:$I$89,3,0)*0.475*44/12</f>
        <v>8.9926496211078495E-13</v>
      </c>
      <c r="CN117" s="22">
        <f t="shared" si="66"/>
        <v>61.289820336523185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401</v>
      </c>
      <c r="CU117" s="17">
        <f>CT117*VLOOKUP('Données projet'!$B$13,Paramètres!$A$1:$I$89,3,0)*VLOOKUP('Données projet'!$B$13,Paramètres!$A$1:$I$89,5,0)</f>
        <v>250.22399999999999</v>
      </c>
      <c r="CV117" s="13">
        <f t="shared" si="95"/>
        <v>60.633904580527918</v>
      </c>
      <c r="CW117" s="20">
        <f t="shared" si="67"/>
        <v>541.41085047775289</v>
      </c>
      <c r="CX117" s="59">
        <f t="shared" si="68"/>
        <v>834.74418381108626</v>
      </c>
      <c r="CY117" s="59">
        <f ca="1">AVERAGE(OFFSET($CX$3,0,0,'Données projet'!$E$13+1,1))-AVERAGE(OFFSET($H$3,0,0,'Données projet'!$E$13+1,1))</f>
        <v>269.77739619445515</v>
      </c>
      <c r="CZ117" s="59">
        <f t="shared" si="96"/>
        <v>347.56964743629885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26.28208018154492</v>
      </c>
      <c r="DG117" s="21">
        <f>EXP(-LN(2)/25)*DG116+(1-EXP(-LN(2)/25))/(LN(2)/25)*Calculateur!DB117*Calculateur!DD117*VLOOKUP('Données projet'!$B$13,Paramètres!$A$1:$I$89,3,0)*0.475*44/12</f>
        <v>8.9352833045859441</v>
      </c>
      <c r="DH117" s="21">
        <f>EXP(-LN(2)/2)*DH116+(1-EXP(-LN(2)/2))/(LN(2)/2)*DB117*DE117*VLOOKUP('Données projet'!$B$13,Paramètres!$A$1:$I$89,3,0)*0.475*44/12</f>
        <v>5.6475860280868015E-15</v>
      </c>
      <c r="DI117" s="22">
        <f t="shared" si="69"/>
        <v>35.217363486130871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669.99999999999989</v>
      </c>
      <c r="DP117" s="17">
        <f>DO117*VLOOKUP('Données projet'!$B$14,Paramètres!$A$1:$I$89,3,0)*VLOOKUP('Données projet'!$B$14,Paramètres!$A$1:$I$89,5,0)</f>
        <v>322.26999999999992</v>
      </c>
      <c r="DQ117" s="13">
        <f t="shared" si="97"/>
        <v>75.825476822885776</v>
      </c>
      <c r="DR117" s="20">
        <f t="shared" si="70"/>
        <v>693.34962213319261</v>
      </c>
      <c r="DS117" s="59">
        <f t="shared" si="71"/>
        <v>986.68295546652598</v>
      </c>
      <c r="DT117" s="59">
        <f ca="1">AVERAGE(OFFSET($DS$3,0,0,'Données projet'!$E$14+1,1))-AVERAGE(OFFSET($H$3,0,0,'Données projet'!$E$14+1,1))</f>
        <v>312.64506496298173</v>
      </c>
      <c r="DU117" s="59">
        <f t="shared" si="98"/>
        <v>259.97532509897508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57.770372397390958</v>
      </c>
      <c r="EB117" s="21">
        <f>EXP(-LN(2)/25)*EB116+(1-EXP(-LN(2)/25))/(LN(2)/25)*Calculateur!DW117*Calculateur!DY117*VLOOKUP('Données projet'!$B$14,Paramètres!$A$1:$I$89,3,0)*0.475*44/12</f>
        <v>1.9065579302754889</v>
      </c>
      <c r="EC117" s="21">
        <f>EXP(-LN(2)/2)*EC116+(1-EXP(-LN(2)/2))/(LN(2)/2)*DW117*DZ117*VLOOKUP('Données projet'!$B$14,Paramètres!$A$1:$I$89,3,0)*0.475*44/12</f>
        <v>8.756000946868106E-13</v>
      </c>
      <c r="ED117" s="22">
        <f t="shared" si="72"/>
        <v>59.676930327667321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3.8</v>
      </c>
      <c r="EJ117" s="12">
        <f>IF('Données projet'!$A$192&gt;35,EJ116+EI117-ER116,IF(A117&lt;'Données projet'!$A$192,$EG$205^A117,IF(A117='Données projet'!$A$192,'Données projet'!$B$192,EJ116+EI117-ER116)))</f>
        <v>281.2</v>
      </c>
      <c r="EK117" s="17">
        <f>EJ117*VLOOKUP('Données projet'!$B$15,Paramètres!$A$1:$I$89,3,0)*VLOOKUP('Données projet'!$B$15,Paramètres!$A$1:$I$89,5,0)</f>
        <v>254.42975999999996</v>
      </c>
      <c r="EL117" s="13">
        <f t="shared" si="99"/>
        <v>61.533535468549189</v>
      </c>
      <c r="EM117" s="20">
        <f t="shared" si="73"/>
        <v>550.30273960772308</v>
      </c>
      <c r="EN117" s="59">
        <f t="shared" si="74"/>
        <v>843.63607294105645</v>
      </c>
      <c r="EO117" s="59">
        <f ca="1">AVERAGE(OFFSET($EN$3,0,0,'Données projet'!$E$15+1,1))-AVERAGE(OFFSET($H$3,0,0,'Données projet'!$E$15+1,1))</f>
        <v>269.64423257646359</v>
      </c>
      <c r="EP117" s="59">
        <f t="shared" si="100"/>
        <v>161.0819079811821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69.201678932108649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69.201678932108649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349.00000000000017</v>
      </c>
      <c r="FF117" s="17">
        <f>FE117*VLOOKUP('Données projet'!$B$16,Paramètres!$A$1:$I$89,3,0)*VLOOKUP('Données projet'!$B$16,Paramètres!$A$1:$I$89,5,0)</f>
        <v>272.22000000000014</v>
      </c>
      <c r="FG117" s="13">
        <f t="shared" si="101"/>
        <v>65.320184547527205</v>
      </c>
      <c r="FH117" s="20">
        <f t="shared" si="76"/>
        <v>587.88248808694345</v>
      </c>
      <c r="FI117" s="59">
        <f t="shared" si="77"/>
        <v>881.21582142027682</v>
      </c>
      <c r="FJ117" s="59">
        <f ca="1">AVERAGE(OFFSET($FI$3,0,0,'Données projet'!$E$16+1,1))-AVERAGE(OFFSET($H$3,0,0,'Données projet'!$E$16+1,1))</f>
        <v>283.77864672734273</v>
      </c>
      <c r="FK117" s="59">
        <f t="shared" si="102"/>
        <v>270.94620935643866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36.260742671097987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36.260742671097987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319</v>
      </c>
      <c r="GA117" s="17">
        <f>FZ117*VLOOKUP('Données projet'!$B$17,Paramètres!$A$1:$I$89,3,0)*VLOOKUP('Données projet'!$B$17,Paramètres!$A$1:$I$89,5,0)</f>
        <v>308.53680000000003</v>
      </c>
      <c r="GB117" s="13">
        <f t="shared" si="103"/>
        <v>72.963171684496103</v>
      </c>
      <c r="GC117" s="20">
        <f t="shared" si="79"/>
        <v>664.4457840171641</v>
      </c>
      <c r="GD117" s="59">
        <f t="shared" si="80"/>
        <v>957.77911735049747</v>
      </c>
      <c r="GE117" s="59">
        <f ca="1">AVERAGE(OFFSET($GD$3,0,0,'Données projet'!$E$17+1,1))-AVERAGE(OFFSET($H$3,0,0,'Données projet'!$E$17+1,1))</f>
        <v>347.54503437087288</v>
      </c>
      <c r="GF117" s="59">
        <f t="shared" si="104"/>
        <v>340.05673244455954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26.744668909019488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26.744668909019488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735.00000000000011</v>
      </c>
      <c r="O118" s="13">
        <f>N118*VLOOKUP('Données projet'!$B$9,Paramètres!$A$1:$I$89,3,0)*VLOOKUP('Données projet'!$B$9,Paramètres!$A$1:$I$89,5,0)</f>
        <v>343.98</v>
      </c>
      <c r="P118" s="13">
        <f t="shared" si="87"/>
        <v>80.321681832084693</v>
      </c>
      <c r="Q118" s="20">
        <f t="shared" si="107"/>
        <v>738.9920958575475</v>
      </c>
      <c r="R118" s="59">
        <f t="shared" si="55"/>
        <v>1032.3254291908809</v>
      </c>
      <c r="S118" s="59">
        <f ca="1">AVERAGE(OFFSET($R$3,0,0,'Données projet'!$E$9+1,1))-AVERAGE(OFFSET($H$3,0,0,'Données projet'!$E$9+1,1))</f>
        <v>342.49944586217674</v>
      </c>
      <c r="T118" s="59">
        <f t="shared" si="88"/>
        <v>282.29766600872563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58.971709161508208</v>
      </c>
      <c r="AA118" s="21">
        <f>EXP(-LN(2)/25)*AA117+(1-EXP(-LN(2)/25))/(LN(2)/25)*Calculateur!V118*Calculateur!X118*VLOOKUP('Données projet'!$B$9,Paramètres!$A$1:$I$89,3,0)*0.475*44/12</f>
        <v>3.796920965988309</v>
      </c>
      <c r="AB118" s="21">
        <f>EXP(-LN(2)/2)*AB117+(1-EXP(-LN(2)/2))/(LN(2)/2)*V118*Y118*VLOOKUP('Données projet'!$B$9,Paramètres!$A$1:$I$89,3,0)*0.475*44/12</f>
        <v>1.3311487925981935E-14</v>
      </c>
      <c r="AC118" s="22">
        <f t="shared" si="57"/>
        <v>62.768630127496529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739.99999999999966</v>
      </c>
      <c r="AJ118" s="13">
        <f>AI118*VLOOKUP('Données projet'!$B$10,Paramètres!$A$1:$I$89,3,0)*VLOOKUP('Données projet'!$B$10,Paramètres!$A$1:$I$89,5,0)</f>
        <v>413.65999999999985</v>
      </c>
      <c r="AK118" s="13">
        <f t="shared" si="89"/>
        <v>94.540585122244352</v>
      </c>
      <c r="AL118" s="20">
        <f t="shared" si="58"/>
        <v>885.11601908790863</v>
      </c>
      <c r="AM118" s="59">
        <f t="shared" si="59"/>
        <v>1178.4493524212419</v>
      </c>
      <c r="AN118" s="59">
        <f ca="1">AVERAGE(OFFSET($AM$3,0,0,'Données projet'!$E$10+1,1))-AVERAGE(OFFSET($H$3,0,0,'Données projet'!$E$10+1,1))</f>
        <v>490.96084572840579</v>
      </c>
      <c r="AO118" s="59">
        <f t="shared" si="90"/>
        <v>597.91658789908263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41.55335136122924</v>
      </c>
      <c r="AV118" s="21">
        <f>EXP(-LN(2)/25)*AV117+(1-EXP(-LN(2)/25))/(LN(2)/25)*Calculateur!AQ118*Calculateur!AS118*VLOOKUP('Données projet'!$B$10,Paramètres!$A$1:$I$89,3,0)*0.475*44/12</f>
        <v>5.4737881360697571</v>
      </c>
      <c r="AW118" s="21">
        <f>EXP(-LN(2)/2)*AW117+(1-EXP(-LN(2)/2))/(LN(2)/2)*AQ118*AT118*VLOOKUP('Données projet'!$B$10,Paramètres!$A$1:$I$89,3,0)*0.475*44/12</f>
        <v>1.3673856208411438E-13</v>
      </c>
      <c r="AX118" s="21">
        <f t="shared" si="60"/>
        <v>47.027139497299132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213.00000000000003</v>
      </c>
      <c r="BE118" s="13">
        <f>BD118*VLOOKUP('Données projet'!$B$11,Paramètres!$A$1:$I$89,3,0)*VLOOKUP('Données projet'!$B$11,Paramètres!$A$1:$I$89,5,0)</f>
        <v>169.46280000000002</v>
      </c>
      <c r="BF118" s="13">
        <f t="shared" si="91"/>
        <v>42.969686502194378</v>
      </c>
      <c r="BG118" s="20">
        <f t="shared" si="61"/>
        <v>369.98658065798855</v>
      </c>
      <c r="BH118" s="59">
        <f t="shared" si="62"/>
        <v>663.31991399132187</v>
      </c>
      <c r="BI118" s="59">
        <f ca="1">AVERAGE(OFFSET($BH$3,0,0,'Données projet'!$E$11+1,1))-AVERAGE(OFFSET($H$3,0,0,'Données projet'!$E$11+1,1))</f>
        <v>167.80254365106839</v>
      </c>
      <c r="BJ118" s="59">
        <f t="shared" si="92"/>
        <v>167.42302164950172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16.75966330826563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16.75966330826563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669.99999999999989</v>
      </c>
      <c r="BZ118" s="13">
        <f>BY118*VLOOKUP('Données projet'!$B$12,Paramètres!$A$1:$I$89,3,0)*VLOOKUP('Données projet'!$B$12,Paramètres!$A$1:$I$89,5,0)</f>
        <v>330.97999999999996</v>
      </c>
      <c r="CA118" s="13">
        <f t="shared" si="93"/>
        <v>77.633451096966454</v>
      </c>
      <c r="CB118" s="20">
        <f t="shared" si="64"/>
        <v>711.66842732721636</v>
      </c>
      <c r="CC118" s="59">
        <f t="shared" si="65"/>
        <v>1005.0017606605497</v>
      </c>
      <c r="CD118" s="59">
        <f ca="1">AVERAGE(OFFSET($CC$3,0,0,'Données projet'!$E$12+1,1))-AVERAGE(OFFSET($H$3,0,0,'Données projet'!$E$12+1,1))</f>
        <v>322.06606384496587</v>
      </c>
      <c r="CE118" s="59">
        <f t="shared" si="94"/>
        <v>267.71713177624713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58.168274702237476</v>
      </c>
      <c r="CL118" s="21">
        <f>EXP(-LN(2)/25)*CL117+(1-EXP(-LN(2)/25))/(LN(2)/25)*Calculateur!CG118*Calculateur!CI118*VLOOKUP('Données projet'!$B$12,Paramètres!$A$1:$I$89,3,0)*0.475*44/12</f>
        <v>1.9045425440432977</v>
      </c>
      <c r="CM118" s="21">
        <f>EXP(-LN(2)/2)*CM117+(1-EXP(-LN(2)/2))/(LN(2)/2)*CG118*CJ118*VLOOKUP('Données projet'!$B$12,Paramètres!$A$1:$I$89,3,0)*0.475*44/12</f>
        <v>6.3587635279199985E-13</v>
      </c>
      <c r="CN118" s="22">
        <f t="shared" si="66"/>
        <v>60.072817246281403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401</v>
      </c>
      <c r="CU118" s="17">
        <f>CT118*VLOOKUP('Données projet'!$B$13,Paramètres!$A$1:$I$89,3,0)*VLOOKUP('Données projet'!$B$13,Paramètres!$A$1:$I$89,5,0)</f>
        <v>250.22399999999999</v>
      </c>
      <c r="CV118" s="13">
        <f t="shared" si="95"/>
        <v>60.633904580527918</v>
      </c>
      <c r="CW118" s="20">
        <f t="shared" si="67"/>
        <v>541.41085047775289</v>
      </c>
      <c r="CX118" s="59">
        <f t="shared" si="68"/>
        <v>834.74418381108626</v>
      </c>
      <c r="CY118" s="59">
        <f ca="1">AVERAGE(OFFSET($CX$3,0,0,'Données projet'!$E$13+1,1))-AVERAGE(OFFSET($H$3,0,0,'Données projet'!$E$13+1,1))</f>
        <v>269.77739619445515</v>
      </c>
      <c r="CZ118" s="59">
        <f t="shared" si="96"/>
        <v>347.56964743629885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25.766704619670858</v>
      </c>
      <c r="DG118" s="21">
        <f>EXP(-LN(2)/25)*DG117+(1-EXP(-LN(2)/25))/(LN(2)/25)*Calculateur!DB118*Calculateur!DD118*VLOOKUP('Données projet'!$B$13,Paramètres!$A$1:$I$89,3,0)*0.475*44/12</f>
        <v>8.6909475127359137</v>
      </c>
      <c r="DH118" s="21">
        <f>EXP(-LN(2)/2)*DH117+(1-EXP(-LN(2)/2))/(LN(2)/2)*DB118*DE118*VLOOKUP('Données projet'!$B$13,Paramètres!$A$1:$I$89,3,0)*0.475*44/12</f>
        <v>3.9934463777945769E-15</v>
      </c>
      <c r="DI118" s="22">
        <f t="shared" si="69"/>
        <v>34.457652132406778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669.99999999999989</v>
      </c>
      <c r="DP118" s="17">
        <f>DO118*VLOOKUP('Données projet'!$B$14,Paramètres!$A$1:$I$89,3,0)*VLOOKUP('Données projet'!$B$14,Paramètres!$A$1:$I$89,5,0)</f>
        <v>322.26999999999992</v>
      </c>
      <c r="DQ118" s="13">
        <f t="shared" si="97"/>
        <v>75.825476822885776</v>
      </c>
      <c r="DR118" s="20">
        <f t="shared" si="70"/>
        <v>693.34962213319261</v>
      </c>
      <c r="DS118" s="59">
        <f t="shared" si="71"/>
        <v>986.68295546652598</v>
      </c>
      <c r="DT118" s="59">
        <f ca="1">AVERAGE(OFFSET($DS$3,0,0,'Données projet'!$E$14+1,1))-AVERAGE(OFFSET($H$3,0,0,'Données projet'!$E$14+1,1))</f>
        <v>312.64506496298173</v>
      </c>
      <c r="DU118" s="59">
        <f t="shared" si="98"/>
        <v>259.97532509897508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56.637530631125976</v>
      </c>
      <c r="EB118" s="21">
        <f>EXP(-LN(2)/25)*EB117+(1-EXP(-LN(2)/25))/(LN(2)/25)*Calculateur!DW118*Calculateur!DY118*VLOOKUP('Données projet'!$B$14,Paramètres!$A$1:$I$89,3,0)*0.475*44/12</f>
        <v>1.8544230034105815</v>
      </c>
      <c r="EC118" s="21">
        <f>EXP(-LN(2)/2)*EC117+(1-EXP(-LN(2)/2))/(LN(2)/2)*DW118*DZ118*VLOOKUP('Données projet'!$B$14,Paramètres!$A$1:$I$89,3,0)*0.475*44/12</f>
        <v>6.1914276456062687E-13</v>
      </c>
      <c r="ED118" s="22">
        <f t="shared" si="72"/>
        <v>58.491953634537175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285</v>
      </c>
      <c r="EH118" s="12">
        <f>VLOOKUP(A118,'Données projet'!$A$191:$I$211,9,0)</f>
        <v>3.8</v>
      </c>
      <c r="EI118" s="12">
        <f t="array" ref="EI118">INDEX(EH:EH,MIN(IF(ISNUMBER(EH118:EH314),ROW(EH118:EH314),"")))</f>
        <v>3.8</v>
      </c>
      <c r="EJ118" s="12">
        <f>IF('Données projet'!$A$192&gt;35,EJ117+EI118-ER117,IF(A118&lt;'Données projet'!$A$192,$EG$205^A118,IF(A118='Données projet'!$A$192,'Données projet'!$B$192,EJ117+EI118-ER117)))</f>
        <v>285</v>
      </c>
      <c r="EK118" s="17">
        <f>EJ118*VLOOKUP('Données projet'!$B$15,Paramètres!$A$1:$I$89,3,0)*VLOOKUP('Données projet'!$B$15,Paramètres!$A$1:$I$89,5,0)</f>
        <v>257.86799999999999</v>
      </c>
      <c r="EL118" s="13">
        <f t="shared" si="99"/>
        <v>62.267704162827528</v>
      </c>
      <c r="EM118" s="20">
        <f t="shared" si="73"/>
        <v>557.56968475025803</v>
      </c>
      <c r="EN118" s="59">
        <f t="shared" si="74"/>
        <v>850.90301808359141</v>
      </c>
      <c r="EO118" s="59">
        <f ca="1">AVERAGE(OFFSET($EN$3,0,0,'Données projet'!$E$15+1,1))-AVERAGE(OFFSET($H$3,0,0,'Données projet'!$E$15+1,1))</f>
        <v>269.64423257646359</v>
      </c>
      <c r="EP118" s="59">
        <f t="shared" si="100"/>
        <v>161.0819079811821</v>
      </c>
      <c r="EQ118" s="15">
        <f>IF(ISNA(VLOOKUP(A118,'Données projet'!$A$191:$I$211,3,0)),0,VLOOKUP(A118,'Données projet'!$A$191:$I$211,3,0))</f>
        <v>19</v>
      </c>
      <c r="ER118" s="15">
        <f>IF(ISNA(VLOOKUP(A118,'Données projet'!$A$191:$I$211,4,0)),0,VLOOKUP(A118,'Données projet'!$A$191:$I$211,4,0))</f>
        <v>18</v>
      </c>
      <c r="ES118" s="16">
        <f>IF(ISNA(VLOOKUP(A118,'Données projet'!$A$191:$I$211,5,0)),0%,VLOOKUP(A118,'Données projet'!$A$191:$I$211,5,0)*VLOOKUP('Données projet'!$B$15,Paramètres!$A$1:$I$89,7,0))</f>
        <v>0.43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75.58645331647331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75.58645331647331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349.00000000000017</v>
      </c>
      <c r="FF118" s="17">
        <f>FE118*VLOOKUP('Données projet'!$B$16,Paramètres!$A$1:$I$89,3,0)*VLOOKUP('Données projet'!$B$16,Paramètres!$A$1:$I$89,5,0)</f>
        <v>272.22000000000014</v>
      </c>
      <c r="FG118" s="13">
        <f t="shared" si="101"/>
        <v>65.320184547527205</v>
      </c>
      <c r="FH118" s="20">
        <f t="shared" si="76"/>
        <v>587.88248808694345</v>
      </c>
      <c r="FI118" s="59">
        <f t="shared" si="77"/>
        <v>881.21582142027682</v>
      </c>
      <c r="FJ118" s="59">
        <f ca="1">AVERAGE(OFFSET($FI$3,0,0,'Données projet'!$E$16+1,1))-AVERAGE(OFFSET($H$3,0,0,'Données projet'!$E$16+1,1))</f>
        <v>283.77864672734273</v>
      </c>
      <c r="FK118" s="59">
        <f t="shared" si="102"/>
        <v>270.94620935643866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35.549691624186927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35.549691624186927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319</v>
      </c>
      <c r="GA118" s="17">
        <f>FZ118*VLOOKUP('Données projet'!$B$17,Paramètres!$A$1:$I$89,3,0)*VLOOKUP('Données projet'!$B$17,Paramètres!$A$1:$I$89,5,0)</f>
        <v>308.53680000000003</v>
      </c>
      <c r="GB118" s="13">
        <f t="shared" si="103"/>
        <v>72.963171684496103</v>
      </c>
      <c r="GC118" s="20">
        <f t="shared" si="79"/>
        <v>664.4457840171641</v>
      </c>
      <c r="GD118" s="59">
        <f t="shared" si="80"/>
        <v>957.77911735049747</v>
      </c>
      <c r="GE118" s="59">
        <f ca="1">AVERAGE(OFFSET($GD$3,0,0,'Données projet'!$E$17+1,1))-AVERAGE(OFFSET($H$3,0,0,'Données projet'!$E$17+1,1))</f>
        <v>347.54503437087288</v>
      </c>
      <c r="GF118" s="59">
        <f t="shared" si="104"/>
        <v>340.05673244455954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26.220222264350912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26.220222264350912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735.00000000000011</v>
      </c>
      <c r="O119" s="13">
        <f>N119*VLOOKUP('Données projet'!$B$9,Paramètres!$A$1:$I$89,3,0)*VLOOKUP('Données projet'!$B$9,Paramètres!$A$1:$I$89,5,0)</f>
        <v>343.98</v>
      </c>
      <c r="P119" s="13">
        <f t="shared" si="87"/>
        <v>80.321681832084693</v>
      </c>
      <c r="Q119" s="20">
        <f t="shared" si="107"/>
        <v>738.9920958575475</v>
      </c>
      <c r="R119" s="59">
        <f t="shared" si="55"/>
        <v>1032.3254291908809</v>
      </c>
      <c r="S119" s="59">
        <f ca="1">AVERAGE(OFFSET($R$3,0,0,'Données projet'!$E$9+1,1))-AVERAGE(OFFSET($H$3,0,0,'Données projet'!$E$9+1,1))</f>
        <v>342.49944586217674</v>
      </c>
      <c r="T119" s="59">
        <f t="shared" si="88"/>
        <v>282.29766600872563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57.815309914041961</v>
      </c>
      <c r="AA119" s="21">
        <f>EXP(-LN(2)/25)*AA118+(1-EXP(-LN(2)/25))/(LN(2)/25)*Calculateur!V119*Calculateur!X119*VLOOKUP('Données projet'!$B$9,Paramètres!$A$1:$I$89,3,0)*0.475*44/12</f>
        <v>3.6930939625019632</v>
      </c>
      <c r="AB119" s="21">
        <f>EXP(-LN(2)/2)*AB118+(1-EXP(-LN(2)/2))/(LN(2)/2)*V119*Y119*VLOOKUP('Données projet'!$B$9,Paramètres!$A$1:$I$89,3,0)*0.475*44/12</f>
        <v>9.4126433801446771E-15</v>
      </c>
      <c r="AC119" s="22">
        <f t="shared" si="57"/>
        <v>61.50840387654393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739.99999999999966</v>
      </c>
      <c r="AJ119" s="13">
        <f>AI119*VLOOKUP('Données projet'!$B$10,Paramètres!$A$1:$I$89,3,0)*VLOOKUP('Données projet'!$B$10,Paramètres!$A$1:$I$89,5,0)</f>
        <v>413.65999999999985</v>
      </c>
      <c r="AK119" s="13">
        <f t="shared" si="89"/>
        <v>94.540585122244352</v>
      </c>
      <c r="AL119" s="20">
        <f t="shared" si="58"/>
        <v>885.11601908790863</v>
      </c>
      <c r="AM119" s="59">
        <f t="shared" si="59"/>
        <v>1178.4493524212419</v>
      </c>
      <c r="AN119" s="59">
        <f ca="1">AVERAGE(OFFSET($AM$3,0,0,'Données projet'!$E$10+1,1))-AVERAGE(OFFSET($H$3,0,0,'Données projet'!$E$10+1,1))</f>
        <v>490.96084572840579</v>
      </c>
      <c r="AO119" s="59">
        <f t="shared" si="90"/>
        <v>597.91658789908263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40.738515486077247</v>
      </c>
      <c r="AV119" s="21">
        <f>EXP(-LN(2)/25)*AV118+(1-EXP(-LN(2)/25))/(LN(2)/25)*Calculateur!AQ119*Calculateur!AS119*VLOOKUP('Données projet'!$B$10,Paramètres!$A$1:$I$89,3,0)*0.475*44/12</f>
        <v>5.3241071116349223</v>
      </c>
      <c r="AW119" s="21">
        <f>EXP(-LN(2)/2)*AW118+(1-EXP(-LN(2)/2))/(LN(2)/2)*AQ119*AT119*VLOOKUP('Données projet'!$B$10,Paramètres!$A$1:$I$89,3,0)*0.475*44/12</f>
        <v>9.6688764499375015E-14</v>
      </c>
      <c r="AX119" s="21">
        <f t="shared" si="60"/>
        <v>46.06262259771227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213.00000000000003</v>
      </c>
      <c r="BE119" s="13">
        <f>BD119*VLOOKUP('Données projet'!$B$11,Paramètres!$A$1:$I$89,3,0)*VLOOKUP('Données projet'!$B$11,Paramètres!$A$1:$I$89,5,0)</f>
        <v>169.46280000000002</v>
      </c>
      <c r="BF119" s="13">
        <f t="shared" si="91"/>
        <v>42.969686502194378</v>
      </c>
      <c r="BG119" s="20">
        <f t="shared" si="61"/>
        <v>369.98658065798855</v>
      </c>
      <c r="BH119" s="59">
        <f t="shared" si="62"/>
        <v>663.31991399132187</v>
      </c>
      <c r="BI119" s="59">
        <f ca="1">AVERAGE(OFFSET($BH$3,0,0,'Données projet'!$E$11+1,1))-AVERAGE(OFFSET($H$3,0,0,'Données projet'!$E$11+1,1))</f>
        <v>167.80254365106839</v>
      </c>
      <c r="BJ119" s="59">
        <f t="shared" si="92"/>
        <v>167.42302164950172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16.431016533175782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16.431016533175782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669.99999999999989</v>
      </c>
      <c r="BZ119" s="13">
        <f>BY119*VLOOKUP('Données projet'!$B$12,Paramètres!$A$1:$I$89,3,0)*VLOOKUP('Données projet'!$B$12,Paramètres!$A$1:$I$89,5,0)</f>
        <v>330.97999999999996</v>
      </c>
      <c r="CA119" s="13">
        <f t="shared" si="93"/>
        <v>77.633451096966454</v>
      </c>
      <c r="CB119" s="20">
        <f t="shared" si="64"/>
        <v>711.66842732721636</v>
      </c>
      <c r="CC119" s="59">
        <f t="shared" si="65"/>
        <v>1005.0017606605497</v>
      </c>
      <c r="CD119" s="59">
        <f ca="1">AVERAGE(OFFSET($CC$3,0,0,'Données projet'!$E$12+1,1))-AVERAGE(OFFSET($H$3,0,0,'Données projet'!$E$12+1,1))</f>
        <v>322.06606384496587</v>
      </c>
      <c r="CE119" s="59">
        <f t="shared" si="94"/>
        <v>267.71713177624713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57.02763031447089</v>
      </c>
      <c r="CL119" s="21">
        <f>EXP(-LN(2)/25)*CL118+(1-EXP(-LN(2)/25))/(LN(2)/25)*Calculateur!CG119*Calculateur!CI119*VLOOKUP('Données projet'!$B$12,Paramètres!$A$1:$I$89,3,0)*0.475*44/12</f>
        <v>1.8524627280208943</v>
      </c>
      <c r="CM119" s="21">
        <f>EXP(-LN(2)/2)*CM118+(1-EXP(-LN(2)/2))/(LN(2)/2)*CG119*CJ119*VLOOKUP('Données projet'!$B$12,Paramètres!$A$1:$I$89,3,0)*0.475*44/12</f>
        <v>4.4963248105539258E-13</v>
      </c>
      <c r="CN119" s="22">
        <f t="shared" si="66"/>
        <v>58.880093042492234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401</v>
      </c>
      <c r="CU119" s="17">
        <f>CT119*VLOOKUP('Données projet'!$B$13,Paramètres!$A$1:$I$89,3,0)*VLOOKUP('Données projet'!$B$13,Paramètres!$A$1:$I$89,5,0)</f>
        <v>250.22399999999999</v>
      </c>
      <c r="CV119" s="13">
        <f t="shared" si="95"/>
        <v>60.633904580527918</v>
      </c>
      <c r="CW119" s="20">
        <f t="shared" si="67"/>
        <v>541.41085047775289</v>
      </c>
      <c r="CX119" s="59">
        <f t="shared" si="68"/>
        <v>834.74418381108626</v>
      </c>
      <c r="CY119" s="59">
        <f ca="1">AVERAGE(OFFSET($CX$3,0,0,'Données projet'!$E$13+1,1))-AVERAGE(OFFSET($H$3,0,0,'Données projet'!$E$13+1,1))</f>
        <v>269.77739619445515</v>
      </c>
      <c r="CZ119" s="59">
        <f t="shared" si="96"/>
        <v>347.56964743629885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25.261435258217091</v>
      </c>
      <c r="DG119" s="21">
        <f>EXP(-LN(2)/25)*DG118+(1-EXP(-LN(2)/25))/(LN(2)/25)*Calculateur!DB119*Calculateur!DD119*VLOOKUP('Données projet'!$B$13,Paramètres!$A$1:$I$89,3,0)*0.475*44/12</f>
        <v>8.4532930959630832</v>
      </c>
      <c r="DH119" s="21">
        <f>EXP(-LN(2)/2)*DH118+(1-EXP(-LN(2)/2))/(LN(2)/2)*DB119*DE119*VLOOKUP('Données projet'!$B$13,Paramètres!$A$1:$I$89,3,0)*0.475*44/12</f>
        <v>2.8237930140434008E-15</v>
      </c>
      <c r="DI119" s="22">
        <f t="shared" si="69"/>
        <v>33.714728354180174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669.99999999999989</v>
      </c>
      <c r="DP119" s="17">
        <f>DO119*VLOOKUP('Données projet'!$B$14,Paramètres!$A$1:$I$89,3,0)*VLOOKUP('Données projet'!$B$14,Paramètres!$A$1:$I$89,5,0)</f>
        <v>322.26999999999992</v>
      </c>
      <c r="DQ119" s="13">
        <f t="shared" si="97"/>
        <v>75.825476822885776</v>
      </c>
      <c r="DR119" s="20">
        <f t="shared" si="70"/>
        <v>693.34962213319261</v>
      </c>
      <c r="DS119" s="59">
        <f t="shared" si="71"/>
        <v>986.68295546652598</v>
      </c>
      <c r="DT119" s="59">
        <f ca="1">AVERAGE(OFFSET($DS$3,0,0,'Données projet'!$E$14+1,1))-AVERAGE(OFFSET($H$3,0,0,'Données projet'!$E$14+1,1))</f>
        <v>312.64506496298173</v>
      </c>
      <c r="DU119" s="59">
        <f t="shared" si="98"/>
        <v>259.97532509897508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55.526903200932196</v>
      </c>
      <c r="EB119" s="21">
        <f>EXP(-LN(2)/25)*EB118+(1-EXP(-LN(2)/25))/(LN(2)/25)*Calculateur!DW119*Calculateur!DY119*VLOOKUP('Données projet'!$B$14,Paramètres!$A$1:$I$89,3,0)*0.475*44/12</f>
        <v>1.8037137088624517</v>
      </c>
      <c r="EC119" s="21">
        <f>EXP(-LN(2)/2)*EC118+(1-EXP(-LN(2)/2))/(LN(2)/2)*DW119*DZ119*VLOOKUP('Données projet'!$B$14,Paramètres!$A$1:$I$89,3,0)*0.475*44/12</f>
        <v>4.378000473434053E-13</v>
      </c>
      <c r="ED119" s="22">
        <f t="shared" si="72"/>
        <v>57.33061690979509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267</v>
      </c>
      <c r="EK119" s="17">
        <f>EJ119*VLOOKUP('Données projet'!$B$15,Paramètres!$A$1:$I$89,3,0)*VLOOKUP('Données projet'!$B$15,Paramètres!$A$1:$I$89,5,0)</f>
        <v>241.58159999999998</v>
      </c>
      <c r="EL119" s="13">
        <f t="shared" si="99"/>
        <v>58.779689232021951</v>
      </c>
      <c r="EM119" s="20">
        <f t="shared" si="73"/>
        <v>523.12924541243819</v>
      </c>
      <c r="EN119" s="59">
        <f t="shared" si="74"/>
        <v>816.46257874577145</v>
      </c>
      <c r="EO119" s="59">
        <f ca="1">AVERAGE(OFFSET($EN$3,0,0,'Données projet'!$E$15+1,1))-AVERAGE(OFFSET($H$3,0,0,'Données projet'!$E$15+1,1))</f>
        <v>269.64423257646359</v>
      </c>
      <c r="EP119" s="59">
        <f t="shared" si="100"/>
        <v>161.0819079811821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74.104249070121483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74.104249070121483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349.00000000000017</v>
      </c>
      <c r="FF119" s="17">
        <f>FE119*VLOOKUP('Données projet'!$B$16,Paramètres!$A$1:$I$89,3,0)*VLOOKUP('Données projet'!$B$16,Paramètres!$A$1:$I$89,5,0)</f>
        <v>272.22000000000014</v>
      </c>
      <c r="FG119" s="13">
        <f t="shared" si="101"/>
        <v>65.320184547527205</v>
      </c>
      <c r="FH119" s="20">
        <f t="shared" si="76"/>
        <v>587.88248808694345</v>
      </c>
      <c r="FI119" s="59">
        <f t="shared" si="77"/>
        <v>881.21582142027682</v>
      </c>
      <c r="FJ119" s="59">
        <f ca="1">AVERAGE(OFFSET($FI$3,0,0,'Données projet'!$E$16+1,1))-AVERAGE(OFFSET($H$3,0,0,'Données projet'!$E$16+1,1))</f>
        <v>283.77864672734273</v>
      </c>
      <c r="FK119" s="59">
        <f t="shared" si="102"/>
        <v>270.94620935643866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34.852583854607474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34.852583854607474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319</v>
      </c>
      <c r="GA119" s="17">
        <f>FZ119*VLOOKUP('Données projet'!$B$17,Paramètres!$A$1:$I$89,3,0)*VLOOKUP('Données projet'!$B$17,Paramètres!$A$1:$I$89,5,0)</f>
        <v>308.53680000000003</v>
      </c>
      <c r="GB119" s="13">
        <f t="shared" si="103"/>
        <v>72.963171684496103</v>
      </c>
      <c r="GC119" s="20">
        <f t="shared" si="79"/>
        <v>664.4457840171641</v>
      </c>
      <c r="GD119" s="59">
        <f t="shared" si="80"/>
        <v>957.77911735049747</v>
      </c>
      <c r="GE119" s="59">
        <f ca="1">AVERAGE(OFFSET($GD$3,0,0,'Données projet'!$E$17+1,1))-AVERAGE(OFFSET($H$3,0,0,'Données projet'!$E$17+1,1))</f>
        <v>347.54503437087288</v>
      </c>
      <c r="GF119" s="59">
        <f t="shared" si="104"/>
        <v>340.05673244455954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25.70605969850342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25.70605969850342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735.00000000000011</v>
      </c>
      <c r="O120" s="13">
        <f>N120*VLOOKUP('Données projet'!$B$9,Paramètres!$A$1:$I$89,3,0)*VLOOKUP('Données projet'!$B$9,Paramètres!$A$1:$I$89,5,0)</f>
        <v>343.98</v>
      </c>
      <c r="P120" s="13">
        <f t="shared" si="87"/>
        <v>80.321681832084693</v>
      </c>
      <c r="Q120" s="20">
        <f t="shared" si="107"/>
        <v>738.9920958575475</v>
      </c>
      <c r="R120" s="59">
        <f t="shared" si="55"/>
        <v>1032.3254291908809</v>
      </c>
      <c r="S120" s="59">
        <f ca="1">AVERAGE(OFFSET($R$3,0,0,'Données projet'!$E$9+1,1))-AVERAGE(OFFSET($H$3,0,0,'Données projet'!$E$9+1,1))</f>
        <v>342.49944586217674</v>
      </c>
      <c r="T120" s="59">
        <f t="shared" si="88"/>
        <v>282.29766600872563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56.681586950484629</v>
      </c>
      <c r="AA120" s="21">
        <f>EXP(-LN(2)/25)*AA119+(1-EXP(-LN(2)/25))/(LN(2)/25)*Calculateur!V120*Calculateur!X120*VLOOKUP('Données projet'!$B$9,Paramètres!$A$1:$I$89,3,0)*0.475*44/12</f>
        <v>3.592106113885976</v>
      </c>
      <c r="AB120" s="21">
        <f>EXP(-LN(2)/2)*AB119+(1-EXP(-LN(2)/2))/(LN(2)/2)*V120*Y120*VLOOKUP('Données projet'!$B$9,Paramètres!$A$1:$I$89,3,0)*0.475*44/12</f>
        <v>6.6557439629909673E-15</v>
      </c>
      <c r="AC120" s="22">
        <f t="shared" si="57"/>
        <v>60.273693064370612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739.99999999999966</v>
      </c>
      <c r="AJ120" s="13">
        <f>AI120*VLOOKUP('Données projet'!$B$10,Paramètres!$A$1:$I$89,3,0)*VLOOKUP('Données projet'!$B$10,Paramètres!$A$1:$I$89,5,0)</f>
        <v>413.65999999999985</v>
      </c>
      <c r="AK120" s="13">
        <f t="shared" si="89"/>
        <v>94.540585122244352</v>
      </c>
      <c r="AL120" s="20">
        <f t="shared" si="58"/>
        <v>885.11601908790863</v>
      </c>
      <c r="AM120" s="59">
        <f t="shared" si="59"/>
        <v>1178.4493524212419</v>
      </c>
      <c r="AN120" s="59">
        <f ca="1">AVERAGE(OFFSET($AM$3,0,0,'Données projet'!$E$10+1,1))-AVERAGE(OFFSET($H$3,0,0,'Données projet'!$E$10+1,1))</f>
        <v>490.96084572840579</v>
      </c>
      <c r="AO120" s="59">
        <f t="shared" si="90"/>
        <v>597.91658789908263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39.939658045436175</v>
      </c>
      <c r="AV120" s="21">
        <f>EXP(-LN(2)/25)*AV119+(1-EXP(-LN(2)/25))/(LN(2)/25)*Calculateur!AQ120*Calculateur!AS120*VLOOKUP('Données projet'!$B$10,Paramètres!$A$1:$I$89,3,0)*0.475*44/12</f>
        <v>5.1785191226846408</v>
      </c>
      <c r="AW120" s="21">
        <f>EXP(-LN(2)/2)*AW119+(1-EXP(-LN(2)/2))/(LN(2)/2)*AQ120*AT120*VLOOKUP('Données projet'!$B$10,Paramètres!$A$1:$I$89,3,0)*0.475*44/12</f>
        <v>6.8369281042057191E-14</v>
      </c>
      <c r="AX120" s="21">
        <f t="shared" si="60"/>
        <v>45.118177168120887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213.00000000000003</v>
      </c>
      <c r="BE120" s="13">
        <f>BD120*VLOOKUP('Données projet'!$B$11,Paramètres!$A$1:$I$89,3,0)*VLOOKUP('Données projet'!$B$11,Paramètres!$A$1:$I$89,5,0)</f>
        <v>169.46280000000002</v>
      </c>
      <c r="BF120" s="13">
        <f t="shared" si="91"/>
        <v>42.969686502194378</v>
      </c>
      <c r="BG120" s="20">
        <f t="shared" si="61"/>
        <v>369.98658065798855</v>
      </c>
      <c r="BH120" s="59">
        <f t="shared" si="62"/>
        <v>663.31991399132187</v>
      </c>
      <c r="BI120" s="59">
        <f ca="1">AVERAGE(OFFSET($BH$3,0,0,'Données projet'!$E$11+1,1))-AVERAGE(OFFSET($H$3,0,0,'Données projet'!$E$11+1,1))</f>
        <v>167.80254365106839</v>
      </c>
      <c r="BJ120" s="59">
        <f t="shared" si="92"/>
        <v>167.42302164950172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16.108814320890708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16.108814320890708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669.99999999999989</v>
      </c>
      <c r="BZ120" s="13">
        <f>BY120*VLOOKUP('Données projet'!$B$12,Paramètres!$A$1:$I$89,3,0)*VLOOKUP('Données projet'!$B$12,Paramètres!$A$1:$I$89,5,0)</f>
        <v>330.97999999999996</v>
      </c>
      <c r="CA120" s="13">
        <f t="shared" si="93"/>
        <v>77.633451096966454</v>
      </c>
      <c r="CB120" s="20">
        <f t="shared" si="64"/>
        <v>711.66842732721636</v>
      </c>
      <c r="CC120" s="59">
        <f t="shared" si="65"/>
        <v>1005.0017606605497</v>
      </c>
      <c r="CD120" s="59">
        <f ca="1">AVERAGE(OFFSET($CC$3,0,0,'Données projet'!$E$12+1,1))-AVERAGE(OFFSET($H$3,0,0,'Données projet'!$E$12+1,1))</f>
        <v>322.06606384496587</v>
      </c>
      <c r="CE120" s="59">
        <f t="shared" si="94"/>
        <v>267.71713177624713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55.909353267424031</v>
      </c>
      <c r="CL120" s="21">
        <f>EXP(-LN(2)/25)*CL119+(1-EXP(-LN(2)/25))/(LN(2)/25)*Calculateur!CG120*Calculateur!CI120*VLOOKUP('Données projet'!$B$12,Paramètres!$A$1:$I$89,3,0)*0.475*44/12</f>
        <v>1.8018070373063819</v>
      </c>
      <c r="CM120" s="21">
        <f>EXP(-LN(2)/2)*CM119+(1-EXP(-LN(2)/2))/(LN(2)/2)*CG120*CJ120*VLOOKUP('Données projet'!$B$12,Paramètres!$A$1:$I$89,3,0)*0.475*44/12</f>
        <v>3.1793817639599998E-13</v>
      </c>
      <c r="CN120" s="22">
        <f t="shared" si="66"/>
        <v>57.711160304730733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401</v>
      </c>
      <c r="CU120" s="17">
        <f>CT120*VLOOKUP('Données projet'!$B$13,Paramètres!$A$1:$I$89,3,0)*VLOOKUP('Données projet'!$B$13,Paramètres!$A$1:$I$89,5,0)</f>
        <v>250.22399999999999</v>
      </c>
      <c r="CV120" s="13">
        <f t="shared" si="95"/>
        <v>60.633904580527918</v>
      </c>
      <c r="CW120" s="20">
        <f t="shared" si="67"/>
        <v>541.41085047775289</v>
      </c>
      <c r="CX120" s="59">
        <f t="shared" si="68"/>
        <v>834.74418381108626</v>
      </c>
      <c r="CY120" s="59">
        <f ca="1">AVERAGE(OFFSET($CX$3,0,0,'Données projet'!$E$13+1,1))-AVERAGE(OFFSET($H$3,0,0,'Données projet'!$E$13+1,1))</f>
        <v>269.77739619445515</v>
      </c>
      <c r="CZ120" s="59">
        <f t="shared" si="96"/>
        <v>347.56964743629885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24.766073920757552</v>
      </c>
      <c r="DG120" s="21">
        <f>EXP(-LN(2)/25)*DG119+(1-EXP(-LN(2)/25))/(LN(2)/25)*Calculateur!DB120*Calculateur!DD120*VLOOKUP('Données projet'!$B$13,Paramètres!$A$1:$I$89,3,0)*0.475*44/12</f>
        <v>8.2221373517146095</v>
      </c>
      <c r="DH120" s="21">
        <f>EXP(-LN(2)/2)*DH119+(1-EXP(-LN(2)/2))/(LN(2)/2)*DB120*DE120*VLOOKUP('Données projet'!$B$13,Paramètres!$A$1:$I$89,3,0)*0.475*44/12</f>
        <v>1.9967231888972885E-15</v>
      </c>
      <c r="DI120" s="22">
        <f t="shared" si="69"/>
        <v>32.988211272472164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669.99999999999989</v>
      </c>
      <c r="DP120" s="17">
        <f>DO120*VLOOKUP('Données projet'!$B$14,Paramètres!$A$1:$I$89,3,0)*VLOOKUP('Données projet'!$B$14,Paramètres!$A$1:$I$89,5,0)</f>
        <v>322.26999999999992</v>
      </c>
      <c r="DQ120" s="13">
        <f t="shared" si="97"/>
        <v>75.825476822885776</v>
      </c>
      <c r="DR120" s="20">
        <f t="shared" si="70"/>
        <v>693.34962213319261</v>
      </c>
      <c r="DS120" s="59">
        <f t="shared" si="71"/>
        <v>986.68295546652598</v>
      </c>
      <c r="DT120" s="59">
        <f ca="1">AVERAGE(OFFSET($DS$3,0,0,'Données projet'!$E$14+1,1))-AVERAGE(OFFSET($H$3,0,0,'Données projet'!$E$14+1,1))</f>
        <v>312.64506496298173</v>
      </c>
      <c r="DU120" s="59">
        <f t="shared" si="98"/>
        <v>259.97532509897508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54.438054497228677</v>
      </c>
      <c r="EB120" s="21">
        <f>EXP(-LN(2)/25)*EB119+(1-EXP(-LN(2)/25))/(LN(2)/25)*Calculateur!DW120*Calculateur!DY120*VLOOKUP('Données projet'!$B$14,Paramètres!$A$1:$I$89,3,0)*0.475*44/12</f>
        <v>1.7543910626404264</v>
      </c>
      <c r="EC120" s="21">
        <f>EXP(-LN(2)/2)*EC119+(1-EXP(-LN(2)/2))/(LN(2)/2)*DW120*DZ120*VLOOKUP('Données projet'!$B$14,Paramètres!$A$1:$I$89,3,0)*0.475*44/12</f>
        <v>3.0957138228031343E-13</v>
      </c>
      <c r="ED120" s="22">
        <f t="shared" si="72"/>
        <v>56.192445559869419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267</v>
      </c>
      <c r="EK120" s="17">
        <f>EJ120*VLOOKUP('Données projet'!$B$15,Paramètres!$A$1:$I$89,3,0)*VLOOKUP('Données projet'!$B$15,Paramètres!$A$1:$I$89,5,0)</f>
        <v>241.58159999999998</v>
      </c>
      <c r="EL120" s="13">
        <f t="shared" si="99"/>
        <v>58.779689232021951</v>
      </c>
      <c r="EM120" s="20">
        <f t="shared" si="73"/>
        <v>523.12924541243819</v>
      </c>
      <c r="EN120" s="59">
        <f t="shared" si="74"/>
        <v>816.46257874577145</v>
      </c>
      <c r="EO120" s="59">
        <f ca="1">AVERAGE(OFFSET($EN$3,0,0,'Données projet'!$E$15+1,1))-AVERAGE(OFFSET($H$3,0,0,'Données projet'!$E$15+1,1))</f>
        <v>269.64423257646359</v>
      </c>
      <c r="EP120" s="59">
        <f t="shared" si="100"/>
        <v>161.0819079811821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72.651109944985294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72.651109944985294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349.00000000000017</v>
      </c>
      <c r="FF120" s="17">
        <f>FE120*VLOOKUP('Données projet'!$B$16,Paramètres!$A$1:$I$89,3,0)*VLOOKUP('Données projet'!$B$16,Paramètres!$A$1:$I$89,5,0)</f>
        <v>272.22000000000014</v>
      </c>
      <c r="FG120" s="13">
        <f t="shared" si="101"/>
        <v>65.320184547527205</v>
      </c>
      <c r="FH120" s="20">
        <f t="shared" si="76"/>
        <v>587.88248808694345</v>
      </c>
      <c r="FI120" s="59">
        <f t="shared" si="77"/>
        <v>881.21582142027682</v>
      </c>
      <c r="FJ120" s="59">
        <f ca="1">AVERAGE(OFFSET($FI$3,0,0,'Données projet'!$E$16+1,1))-AVERAGE(OFFSET($H$3,0,0,'Données projet'!$E$16+1,1))</f>
        <v>283.77864672734273</v>
      </c>
      <c r="FK120" s="59">
        <f t="shared" si="102"/>
        <v>270.94620935643866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34.169145943195723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34.169145943195723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319</v>
      </c>
      <c r="GA120" s="17">
        <f>FZ120*VLOOKUP('Données projet'!$B$17,Paramètres!$A$1:$I$89,3,0)*VLOOKUP('Données projet'!$B$17,Paramètres!$A$1:$I$89,5,0)</f>
        <v>308.53680000000003</v>
      </c>
      <c r="GB120" s="13">
        <f t="shared" si="103"/>
        <v>72.963171684496103</v>
      </c>
      <c r="GC120" s="20">
        <f t="shared" si="79"/>
        <v>664.4457840171641</v>
      </c>
      <c r="GD120" s="59">
        <f t="shared" si="80"/>
        <v>957.77911735049747</v>
      </c>
      <c r="GE120" s="59">
        <f ca="1">AVERAGE(OFFSET($GD$3,0,0,'Données projet'!$E$17+1,1))-AVERAGE(OFFSET($H$3,0,0,'Données projet'!$E$17+1,1))</f>
        <v>347.54503437087288</v>
      </c>
      <c r="GF120" s="59">
        <f t="shared" si="104"/>
        <v>340.05673244455954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25.201979546963997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25.201979546963997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735.00000000000011</v>
      </c>
      <c r="O121" s="13">
        <f>N121*VLOOKUP('Données projet'!$B$9,Paramètres!$A$1:$I$89,3,0)*VLOOKUP('Données projet'!$B$9,Paramètres!$A$1:$I$89,5,0)</f>
        <v>343.98</v>
      </c>
      <c r="P121" s="13">
        <f t="shared" si="87"/>
        <v>80.321681832084693</v>
      </c>
      <c r="Q121" s="20">
        <f t="shared" si="107"/>
        <v>738.9920958575475</v>
      </c>
      <c r="R121" s="59">
        <f t="shared" si="55"/>
        <v>1032.3254291908809</v>
      </c>
      <c r="S121" s="59">
        <f ca="1">AVERAGE(OFFSET($R$3,0,0,'Données projet'!$E$9+1,1))-AVERAGE(OFFSET($H$3,0,0,'Données projet'!$E$9+1,1))</f>
        <v>342.49944586217674</v>
      </c>
      <c r="T121" s="59">
        <f t="shared" si="88"/>
        <v>282.29766600872563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55.570095602739926</v>
      </c>
      <c r="AA121" s="21">
        <f>EXP(-LN(2)/25)*AA120+(1-EXP(-LN(2)/25))/(LN(2)/25)*Calculateur!V121*Calculateur!X121*VLOOKUP('Données projet'!$B$9,Paramètres!$A$1:$I$89,3,0)*0.475*44/12</f>
        <v>3.4938797833011135</v>
      </c>
      <c r="AB121" s="21">
        <f>EXP(-LN(2)/2)*AB120+(1-EXP(-LN(2)/2))/(LN(2)/2)*V121*Y121*VLOOKUP('Données projet'!$B$9,Paramètres!$A$1:$I$89,3,0)*0.475*44/12</f>
        <v>4.7063216900723386E-15</v>
      </c>
      <c r="AC121" s="22">
        <f t="shared" si="57"/>
        <v>59.063975386041044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739.99999999999966</v>
      </c>
      <c r="AJ121" s="13">
        <f>AI121*VLOOKUP('Données projet'!$B$10,Paramètres!$A$1:$I$89,3,0)*VLOOKUP('Données projet'!$B$10,Paramètres!$A$1:$I$89,5,0)</f>
        <v>413.65999999999985</v>
      </c>
      <c r="AK121" s="13">
        <f t="shared" si="89"/>
        <v>94.540585122244352</v>
      </c>
      <c r="AL121" s="20">
        <f t="shared" si="58"/>
        <v>885.11601908790863</v>
      </c>
      <c r="AM121" s="59">
        <f t="shared" si="59"/>
        <v>1178.4493524212419</v>
      </c>
      <c r="AN121" s="59">
        <f ca="1">AVERAGE(OFFSET($AM$3,0,0,'Données projet'!$E$10+1,1))-AVERAGE(OFFSET($H$3,0,0,'Données projet'!$E$10+1,1))</f>
        <v>490.96084572840579</v>
      </c>
      <c r="AO121" s="59">
        <f t="shared" si="90"/>
        <v>597.91658789908263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39.156465711951149</v>
      </c>
      <c r="AV121" s="21">
        <f>EXP(-LN(2)/25)*AV120+(1-EXP(-LN(2)/25))/(LN(2)/25)*Calculateur!AQ121*Calculateur!AS121*VLOOKUP('Données projet'!$B$10,Paramètres!$A$1:$I$89,3,0)*0.475*44/12</f>
        <v>5.0369122449483443</v>
      </c>
      <c r="AW121" s="21">
        <f>EXP(-LN(2)/2)*AW120+(1-EXP(-LN(2)/2))/(LN(2)/2)*AQ121*AT121*VLOOKUP('Données projet'!$B$10,Paramètres!$A$1:$I$89,3,0)*0.475*44/12</f>
        <v>4.8344382249687507E-14</v>
      </c>
      <c r="AX121" s="21">
        <f t="shared" si="60"/>
        <v>44.193377956899546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213.00000000000003</v>
      </c>
      <c r="BE121" s="13">
        <f>BD121*VLOOKUP('Données projet'!$B$11,Paramètres!$A$1:$I$89,3,0)*VLOOKUP('Données projet'!$B$11,Paramètres!$A$1:$I$89,5,0)</f>
        <v>169.46280000000002</v>
      </c>
      <c r="BF121" s="13">
        <f t="shared" si="91"/>
        <v>42.969686502194378</v>
      </c>
      <c r="BG121" s="20">
        <f t="shared" si="61"/>
        <v>369.98658065798855</v>
      </c>
      <c r="BH121" s="59">
        <f t="shared" si="62"/>
        <v>663.31991399132187</v>
      </c>
      <c r="BI121" s="59">
        <f ca="1">AVERAGE(OFFSET($BH$3,0,0,'Données projet'!$E$11+1,1))-AVERAGE(OFFSET($H$3,0,0,'Données projet'!$E$11+1,1))</f>
        <v>167.80254365106839</v>
      </c>
      <c r="BJ121" s="59">
        <f t="shared" si="92"/>
        <v>167.42302164950172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15.792930297464599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15.792930297464599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669.99999999999989</v>
      </c>
      <c r="BZ121" s="13">
        <f>BY121*VLOOKUP('Données projet'!$B$12,Paramètres!$A$1:$I$89,3,0)*VLOOKUP('Données projet'!$B$12,Paramètres!$A$1:$I$89,5,0)</f>
        <v>330.97999999999996</v>
      </c>
      <c r="CA121" s="13">
        <f t="shared" si="93"/>
        <v>77.633451096966454</v>
      </c>
      <c r="CB121" s="20">
        <f t="shared" si="64"/>
        <v>711.66842732721636</v>
      </c>
      <c r="CC121" s="59">
        <f t="shared" si="65"/>
        <v>1005.0017606605497</v>
      </c>
      <c r="CD121" s="59">
        <f ca="1">AVERAGE(OFFSET($CC$3,0,0,'Données projet'!$E$12+1,1))-AVERAGE(OFFSET($H$3,0,0,'Données projet'!$E$12+1,1))</f>
        <v>322.06606384496587</v>
      </c>
      <c r="CE121" s="59">
        <f t="shared" si="94"/>
        <v>267.71713177624713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54.813004951188113</v>
      </c>
      <c r="CL121" s="21">
        <f>EXP(-LN(2)/25)*CL120+(1-EXP(-LN(2)/25))/(LN(2)/25)*Calculateur!CG121*Calculateur!CI121*VLOOKUP('Données projet'!$B$12,Paramètres!$A$1:$I$89,3,0)*0.475*44/12</f>
        <v>1.7525365291183248</v>
      </c>
      <c r="CM121" s="21">
        <f>EXP(-LN(2)/2)*CM120+(1-EXP(-LN(2)/2))/(LN(2)/2)*CG121*CJ121*VLOOKUP('Données projet'!$B$12,Paramètres!$A$1:$I$89,3,0)*0.475*44/12</f>
        <v>2.2481624052769631E-13</v>
      </c>
      <c r="CN121" s="22">
        <f t="shared" si="66"/>
        <v>56.565541480306663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401</v>
      </c>
      <c r="CU121" s="17">
        <f>CT121*VLOOKUP('Données projet'!$B$13,Paramètres!$A$1:$I$89,3,0)*VLOOKUP('Données projet'!$B$13,Paramètres!$A$1:$I$89,5,0)</f>
        <v>250.22399999999999</v>
      </c>
      <c r="CV121" s="13">
        <f t="shared" si="95"/>
        <v>60.633904580527918</v>
      </c>
      <c r="CW121" s="20">
        <f t="shared" si="67"/>
        <v>541.41085047775289</v>
      </c>
      <c r="CX121" s="59">
        <f t="shared" si="68"/>
        <v>834.74418381108626</v>
      </c>
      <c r="CY121" s="59">
        <f ca="1">AVERAGE(OFFSET($CX$3,0,0,'Données projet'!$E$13+1,1))-AVERAGE(OFFSET($H$3,0,0,'Données projet'!$E$13+1,1))</f>
        <v>269.77739619445515</v>
      </c>
      <c r="CZ121" s="59">
        <f t="shared" si="96"/>
        <v>347.56964743629885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24.280426316985015</v>
      </c>
      <c r="DG121" s="21">
        <f>EXP(-LN(2)/25)*DG120+(1-EXP(-LN(2)/25))/(LN(2)/25)*Calculateur!DB121*Calculateur!DD121*VLOOKUP('Données projet'!$B$13,Paramètres!$A$1:$I$89,3,0)*0.475*44/12</f>
        <v>7.9973025734485619</v>
      </c>
      <c r="DH121" s="21">
        <f>EXP(-LN(2)/2)*DH120+(1-EXP(-LN(2)/2))/(LN(2)/2)*DB121*DE121*VLOOKUP('Données projet'!$B$13,Paramètres!$A$1:$I$89,3,0)*0.475*44/12</f>
        <v>1.4118965070217004E-15</v>
      </c>
      <c r="DI121" s="22">
        <f t="shared" si="69"/>
        <v>32.277728890433579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669.99999999999989</v>
      </c>
      <c r="DP121" s="17">
        <f>DO121*VLOOKUP('Données projet'!$B$14,Paramètres!$A$1:$I$89,3,0)*VLOOKUP('Données projet'!$B$14,Paramètres!$A$1:$I$89,5,0)</f>
        <v>322.26999999999992</v>
      </c>
      <c r="DQ121" s="13">
        <f t="shared" si="97"/>
        <v>75.825476822885776</v>
      </c>
      <c r="DR121" s="20">
        <f t="shared" si="70"/>
        <v>693.34962213319261</v>
      </c>
      <c r="DS121" s="59">
        <f t="shared" si="71"/>
        <v>986.68295546652598</v>
      </c>
      <c r="DT121" s="59">
        <f ca="1">AVERAGE(OFFSET($DS$3,0,0,'Données projet'!$E$14+1,1))-AVERAGE(OFFSET($H$3,0,0,'Données projet'!$E$14+1,1))</f>
        <v>312.64506496298173</v>
      </c>
      <c r="DU121" s="59">
        <f t="shared" si="98"/>
        <v>259.97532509897508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53.370557452472653</v>
      </c>
      <c r="EB121" s="21">
        <f>EXP(-LN(2)/25)*EB120+(1-EXP(-LN(2)/25))/(LN(2)/25)*Calculateur!DW121*Calculateur!DY121*VLOOKUP('Données projet'!$B$14,Paramètres!$A$1:$I$89,3,0)*0.475*44/12</f>
        <v>1.7064171467731077</v>
      </c>
      <c r="EC121" s="21">
        <f>EXP(-LN(2)/2)*EC120+(1-EXP(-LN(2)/2))/(LN(2)/2)*DW121*DZ121*VLOOKUP('Données projet'!$B$14,Paramètres!$A$1:$I$89,3,0)*0.475*44/12</f>
        <v>2.1890002367170265E-13</v>
      </c>
      <c r="ED121" s="22">
        <f t="shared" si="72"/>
        <v>55.076974599245979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267</v>
      </c>
      <c r="EK121" s="17">
        <f>EJ121*VLOOKUP('Données projet'!$B$15,Paramètres!$A$1:$I$89,3,0)*VLOOKUP('Données projet'!$B$15,Paramètres!$A$1:$I$89,5,0)</f>
        <v>241.58159999999998</v>
      </c>
      <c r="EL121" s="13">
        <f t="shared" si="99"/>
        <v>58.779689232021951</v>
      </c>
      <c r="EM121" s="20">
        <f t="shared" si="73"/>
        <v>523.12924541243819</v>
      </c>
      <c r="EN121" s="59">
        <f t="shared" si="74"/>
        <v>816.46257874577145</v>
      </c>
      <c r="EO121" s="59">
        <f ca="1">AVERAGE(OFFSET($EN$3,0,0,'Données projet'!$E$15+1,1))-AVERAGE(OFFSET($H$3,0,0,'Données projet'!$E$15+1,1))</f>
        <v>269.64423257646359</v>
      </c>
      <c r="EP121" s="59">
        <f t="shared" si="100"/>
        <v>161.0819079811821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71.226465991765679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71.226465991765679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349.00000000000017</v>
      </c>
      <c r="FF121" s="17">
        <f>FE121*VLOOKUP('Données projet'!$B$16,Paramètres!$A$1:$I$89,3,0)*VLOOKUP('Données projet'!$B$16,Paramètres!$A$1:$I$89,5,0)</f>
        <v>272.22000000000014</v>
      </c>
      <c r="FG121" s="13">
        <f t="shared" si="101"/>
        <v>65.320184547527205</v>
      </c>
      <c r="FH121" s="20">
        <f t="shared" si="76"/>
        <v>587.88248808694345</v>
      </c>
      <c r="FI121" s="59">
        <f t="shared" si="77"/>
        <v>881.21582142027682</v>
      </c>
      <c r="FJ121" s="59">
        <f ca="1">AVERAGE(OFFSET($FI$3,0,0,'Données projet'!$E$16+1,1))-AVERAGE(OFFSET($H$3,0,0,'Données projet'!$E$16+1,1))</f>
        <v>283.77864672734273</v>
      </c>
      <c r="FK121" s="59">
        <f t="shared" si="102"/>
        <v>270.94620935643866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33.499109832370792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33.499109832370792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319</v>
      </c>
      <c r="GA121" s="17">
        <f>FZ121*VLOOKUP('Données projet'!$B$17,Paramètres!$A$1:$I$89,3,0)*VLOOKUP('Données projet'!$B$17,Paramètres!$A$1:$I$89,5,0)</f>
        <v>308.53680000000003</v>
      </c>
      <c r="GB121" s="13">
        <f t="shared" si="103"/>
        <v>72.963171684496103</v>
      </c>
      <c r="GC121" s="20">
        <f t="shared" si="79"/>
        <v>664.4457840171641</v>
      </c>
      <c r="GD121" s="59">
        <f t="shared" si="80"/>
        <v>957.77911735049747</v>
      </c>
      <c r="GE121" s="59">
        <f ca="1">AVERAGE(OFFSET($GD$3,0,0,'Données projet'!$E$17+1,1))-AVERAGE(OFFSET($H$3,0,0,'Données projet'!$E$17+1,1))</f>
        <v>347.54503437087288</v>
      </c>
      <c r="GF121" s="59">
        <f t="shared" si="104"/>
        <v>340.05673244455954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24.707784099737729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24.707784099737729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735.00000000000011</v>
      </c>
      <c r="O122" s="13">
        <f>N122*VLOOKUP('Données projet'!$B$9,Paramètres!$A$1:$I$89,3,0)*VLOOKUP('Données projet'!$B$9,Paramètres!$A$1:$I$89,5,0)</f>
        <v>343.98</v>
      </c>
      <c r="P122" s="13">
        <f t="shared" si="87"/>
        <v>80.321681832084693</v>
      </c>
      <c r="Q122" s="20">
        <f t="shared" si="107"/>
        <v>738.9920958575475</v>
      </c>
      <c r="R122" s="59">
        <f t="shared" si="55"/>
        <v>1032.3254291908809</v>
      </c>
      <c r="S122" s="59">
        <f ca="1">AVERAGE(OFFSET($R$3,0,0,'Données projet'!$E$9+1,1))-AVERAGE(OFFSET($H$3,0,0,'Données projet'!$E$9+1,1))</f>
        <v>342.49944586217674</v>
      </c>
      <c r="T122" s="59">
        <f t="shared" si="88"/>
        <v>282.29766600872563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54.480399922381721</v>
      </c>
      <c r="AA122" s="21">
        <f>EXP(-LN(2)/25)*AA121+(1-EXP(-LN(2)/25))/(LN(2)/25)*Calculateur!V122*Calculateur!X122*VLOOKUP('Données projet'!$B$9,Paramètres!$A$1:$I$89,3,0)*0.475*44/12</f>
        <v>3.3983394568915921</v>
      </c>
      <c r="AB122" s="21">
        <f>EXP(-LN(2)/2)*AB121+(1-EXP(-LN(2)/2))/(LN(2)/2)*V122*Y122*VLOOKUP('Données projet'!$B$9,Paramètres!$A$1:$I$89,3,0)*0.475*44/12</f>
        <v>3.3278719814954837E-15</v>
      </c>
      <c r="AC122" s="22">
        <f t="shared" si="57"/>
        <v>57.878739379273313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739.99999999999966</v>
      </c>
      <c r="AJ122" s="13">
        <f>AI122*VLOOKUP('Données projet'!$B$10,Paramètres!$A$1:$I$89,3,0)*VLOOKUP('Données projet'!$B$10,Paramètres!$A$1:$I$89,5,0)</f>
        <v>413.65999999999985</v>
      </c>
      <c r="AK122" s="13">
        <f t="shared" si="89"/>
        <v>94.540585122244352</v>
      </c>
      <c r="AL122" s="20">
        <f t="shared" si="58"/>
        <v>885.11601908790863</v>
      </c>
      <c r="AM122" s="59">
        <f t="shared" si="59"/>
        <v>1178.4493524212419</v>
      </c>
      <c r="AN122" s="59">
        <f ca="1">AVERAGE(OFFSET($AM$3,0,0,'Données projet'!$E$10+1,1))-AVERAGE(OFFSET($H$3,0,0,'Données projet'!$E$10+1,1))</f>
        <v>490.96084572840579</v>
      </c>
      <c r="AO122" s="59">
        <f t="shared" si="90"/>
        <v>597.91658789908263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38.388631302425615</v>
      </c>
      <c r="AV122" s="21">
        <f>EXP(-LN(2)/25)*AV121+(1-EXP(-LN(2)/25))/(LN(2)/25)*Calculateur!AQ122*Calculateur!AS122*VLOOKUP('Données projet'!$B$10,Paramètres!$A$1:$I$89,3,0)*0.475*44/12</f>
        <v>4.8991776147305286</v>
      </c>
      <c r="AW122" s="21">
        <f>EXP(-LN(2)/2)*AW121+(1-EXP(-LN(2)/2))/(LN(2)/2)*AQ122*AT122*VLOOKUP('Données projet'!$B$10,Paramètres!$A$1:$I$89,3,0)*0.475*44/12</f>
        <v>3.4184640521028596E-14</v>
      </c>
      <c r="AX122" s="21">
        <f t="shared" si="60"/>
        <v>43.287808917156177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213.00000000000003</v>
      </c>
      <c r="BE122" s="13">
        <f>BD122*VLOOKUP('Données projet'!$B$11,Paramètres!$A$1:$I$89,3,0)*VLOOKUP('Données projet'!$B$11,Paramètres!$A$1:$I$89,5,0)</f>
        <v>169.46280000000002</v>
      </c>
      <c r="BF122" s="13">
        <f t="shared" si="91"/>
        <v>42.969686502194378</v>
      </c>
      <c r="BG122" s="20">
        <f t="shared" si="61"/>
        <v>369.98658065798855</v>
      </c>
      <c r="BH122" s="59">
        <f t="shared" si="62"/>
        <v>663.31991399132187</v>
      </c>
      <c r="BI122" s="59">
        <f ca="1">AVERAGE(OFFSET($BH$3,0,0,'Données projet'!$E$11+1,1))-AVERAGE(OFFSET($H$3,0,0,'Données projet'!$E$11+1,1))</f>
        <v>167.80254365106839</v>
      </c>
      <c r="BJ122" s="59">
        <f t="shared" si="92"/>
        <v>167.42302164950172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15.483240567067647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15.483240567067647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669.99999999999989</v>
      </c>
      <c r="BZ122" s="13">
        <f>BY122*VLOOKUP('Données projet'!$B$12,Paramètres!$A$1:$I$89,3,0)*VLOOKUP('Données projet'!$B$12,Paramètres!$A$1:$I$89,5,0)</f>
        <v>330.97999999999996</v>
      </c>
      <c r="CA122" s="13">
        <f t="shared" si="93"/>
        <v>77.633451096966454</v>
      </c>
      <c r="CB122" s="20">
        <f t="shared" si="64"/>
        <v>711.66842732721636</v>
      </c>
      <c r="CC122" s="59">
        <f t="shared" si="65"/>
        <v>1005.0017606605497</v>
      </c>
      <c r="CD122" s="59">
        <f ca="1">AVERAGE(OFFSET($CC$3,0,0,'Données projet'!$E$12+1,1))-AVERAGE(OFFSET($H$3,0,0,'Données projet'!$E$12+1,1))</f>
        <v>322.06606384496587</v>
      </c>
      <c r="CE122" s="59">
        <f t="shared" si="94"/>
        <v>267.71713177624713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53.738155356727134</v>
      </c>
      <c r="CL122" s="21">
        <f>EXP(-LN(2)/25)*CL121+(1-EXP(-LN(2)/25))/(LN(2)/25)*Calculateur!CG122*Calculateur!CI122*VLOOKUP('Données projet'!$B$12,Paramètres!$A$1:$I$89,3,0)*0.475*44/12</f>
        <v>1.7046133255676936</v>
      </c>
      <c r="CM122" s="21">
        <f>EXP(-LN(2)/2)*CM121+(1-EXP(-LN(2)/2))/(LN(2)/2)*CG122*CJ122*VLOOKUP('Données projet'!$B$12,Paramètres!$A$1:$I$89,3,0)*0.475*44/12</f>
        <v>1.5896908819800001E-13</v>
      </c>
      <c r="CN122" s="22">
        <f t="shared" si="66"/>
        <v>55.442768682294982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401</v>
      </c>
      <c r="CU122" s="17">
        <f>CT122*VLOOKUP('Données projet'!$B$13,Paramètres!$A$1:$I$89,3,0)*VLOOKUP('Données projet'!$B$13,Paramètres!$A$1:$I$89,5,0)</f>
        <v>250.22399999999999</v>
      </c>
      <c r="CV122" s="13">
        <f t="shared" si="95"/>
        <v>60.633904580527918</v>
      </c>
      <c r="CW122" s="20">
        <f t="shared" si="67"/>
        <v>541.41085047775289</v>
      </c>
      <c r="CX122" s="59">
        <f t="shared" si="68"/>
        <v>834.74418381108626</v>
      </c>
      <c r="CY122" s="59">
        <f ca="1">AVERAGE(OFFSET($CX$3,0,0,'Données projet'!$E$13+1,1))-AVERAGE(OFFSET($H$3,0,0,'Données projet'!$E$13+1,1))</f>
        <v>269.77739619445515</v>
      </c>
      <c r="CZ122" s="59">
        <f t="shared" si="96"/>
        <v>347.56964743629885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23.804301966506664</v>
      </c>
      <c r="DG122" s="21">
        <f>EXP(-LN(2)/25)*DG121+(1-EXP(-LN(2)/25))/(LN(2)/25)*Calculateur!DB122*Calculateur!DD122*VLOOKUP('Données projet'!$B$13,Paramètres!$A$1:$I$89,3,0)*0.475*44/12</f>
        <v>7.7786159140177471</v>
      </c>
      <c r="DH122" s="21">
        <f>EXP(-LN(2)/2)*DH121+(1-EXP(-LN(2)/2))/(LN(2)/2)*DB122*DE122*VLOOKUP('Données projet'!$B$13,Paramètres!$A$1:$I$89,3,0)*0.475*44/12</f>
        <v>9.9836159444864423E-16</v>
      </c>
      <c r="DI122" s="22">
        <f t="shared" si="69"/>
        <v>31.582917880524413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669.99999999999989</v>
      </c>
      <c r="DP122" s="17">
        <f>DO122*VLOOKUP('Données projet'!$B$14,Paramètres!$A$1:$I$89,3,0)*VLOOKUP('Données projet'!$B$14,Paramètres!$A$1:$I$89,5,0)</f>
        <v>322.26999999999992</v>
      </c>
      <c r="DQ122" s="13">
        <f t="shared" si="97"/>
        <v>75.825476822885776</v>
      </c>
      <c r="DR122" s="20">
        <f t="shared" si="70"/>
        <v>693.34962213319261</v>
      </c>
      <c r="DS122" s="59">
        <f t="shared" si="71"/>
        <v>986.68295546652598</v>
      </c>
      <c r="DT122" s="59">
        <f ca="1">AVERAGE(OFFSET($DS$3,0,0,'Données projet'!$E$14+1,1))-AVERAGE(OFFSET($H$3,0,0,'Données projet'!$E$14+1,1))</f>
        <v>312.64506496298173</v>
      </c>
      <c r="DU122" s="59">
        <f t="shared" si="98"/>
        <v>259.97532509897508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52.323993373655384</v>
      </c>
      <c r="EB122" s="21">
        <f>EXP(-LN(2)/25)*EB121+(1-EXP(-LN(2)/25))/(LN(2)/25)*Calculateur!DW122*Calculateur!DY122*VLOOKUP('Données projet'!$B$14,Paramètres!$A$1:$I$89,3,0)*0.475*44/12</f>
        <v>1.6597550801580194</v>
      </c>
      <c r="EC122" s="21">
        <f>EXP(-LN(2)/2)*EC121+(1-EXP(-LN(2)/2))/(LN(2)/2)*DW122*DZ122*VLOOKUP('Données projet'!$B$14,Paramètres!$A$1:$I$89,3,0)*0.475*44/12</f>
        <v>1.5478569114015672E-13</v>
      </c>
      <c r="ED122" s="22">
        <f t="shared" si="72"/>
        <v>53.983748453813561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267</v>
      </c>
      <c r="EK122" s="17">
        <f>EJ122*VLOOKUP('Données projet'!$B$15,Paramètres!$A$1:$I$89,3,0)*VLOOKUP('Données projet'!$B$15,Paramètres!$A$1:$I$89,5,0)</f>
        <v>241.58159999999998</v>
      </c>
      <c r="EL122" s="13">
        <f t="shared" si="99"/>
        <v>58.779689232021951</v>
      </c>
      <c r="EM122" s="20">
        <f t="shared" si="73"/>
        <v>523.12924541243819</v>
      </c>
      <c r="EN122" s="59">
        <f t="shared" si="74"/>
        <v>816.46257874577145</v>
      </c>
      <c r="EO122" s="59">
        <f ca="1">AVERAGE(OFFSET($EN$3,0,0,'Données projet'!$E$15+1,1))-AVERAGE(OFFSET($H$3,0,0,'Données projet'!$E$15+1,1))</f>
        <v>269.64423257646359</v>
      </c>
      <c r="EP122" s="59">
        <f t="shared" si="100"/>
        <v>161.0819079811821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69.82975843752169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69.82975843752169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349.00000000000017</v>
      </c>
      <c r="FF122" s="17">
        <f>FE122*VLOOKUP('Données projet'!$B$16,Paramètres!$A$1:$I$89,3,0)*VLOOKUP('Données projet'!$B$16,Paramètres!$A$1:$I$89,5,0)</f>
        <v>272.22000000000014</v>
      </c>
      <c r="FG122" s="13">
        <f t="shared" si="101"/>
        <v>65.320184547527205</v>
      </c>
      <c r="FH122" s="20">
        <f t="shared" si="76"/>
        <v>587.88248808694345</v>
      </c>
      <c r="FI122" s="59">
        <f t="shared" si="77"/>
        <v>881.21582142027682</v>
      </c>
      <c r="FJ122" s="59">
        <f ca="1">AVERAGE(OFFSET($FI$3,0,0,'Données projet'!$E$16+1,1))-AVERAGE(OFFSET($H$3,0,0,'Données projet'!$E$16+1,1))</f>
        <v>283.77864672734273</v>
      </c>
      <c r="FK122" s="59">
        <f t="shared" si="102"/>
        <v>270.94620935643866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32.842212720997459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32.842212720997459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319</v>
      </c>
      <c r="GA122" s="17">
        <f>FZ122*VLOOKUP('Données projet'!$B$17,Paramètres!$A$1:$I$89,3,0)*VLOOKUP('Données projet'!$B$17,Paramètres!$A$1:$I$89,5,0)</f>
        <v>308.53680000000003</v>
      </c>
      <c r="GB122" s="13">
        <f t="shared" si="103"/>
        <v>72.963171684496103</v>
      </c>
      <c r="GC122" s="20">
        <f t="shared" si="79"/>
        <v>664.4457840171641</v>
      </c>
      <c r="GD122" s="59">
        <f t="shared" si="80"/>
        <v>957.77911735049747</v>
      </c>
      <c r="GE122" s="59">
        <f ca="1">AVERAGE(OFFSET($GD$3,0,0,'Données projet'!$E$17+1,1))-AVERAGE(OFFSET($H$3,0,0,'Données projet'!$E$17+1,1))</f>
        <v>347.54503437087288</v>
      </c>
      <c r="GF122" s="59">
        <f t="shared" si="104"/>
        <v>340.05673244455954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24.223279523802109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24.223279523802109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735.00000000000011</v>
      </c>
      <c r="O123" s="13">
        <f>N123*VLOOKUP('Données projet'!$B$9,Paramètres!$A$1:$I$89,3,0)*VLOOKUP('Données projet'!$B$9,Paramètres!$A$1:$I$89,5,0)</f>
        <v>343.98</v>
      </c>
      <c r="P123" s="13">
        <f t="shared" si="87"/>
        <v>80.321681832084693</v>
      </c>
      <c r="Q123" s="20">
        <f t="shared" si="107"/>
        <v>738.9920958575475</v>
      </c>
      <c r="R123" s="59">
        <f t="shared" si="55"/>
        <v>1032.3254291908809</v>
      </c>
      <c r="S123" s="59">
        <f ca="1">AVERAGE(OFFSET($R$3,0,0,'Données projet'!$E$9+1,1))-AVERAGE(OFFSET($H$3,0,0,'Données projet'!$E$9+1,1))</f>
        <v>342.49944586217674</v>
      </c>
      <c r="T123" s="59">
        <f t="shared" si="88"/>
        <v>282.29766600872563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53.412072509666601</v>
      </c>
      <c r="AA123" s="21">
        <f>EXP(-LN(2)/25)*AA122+(1-EXP(-LN(2)/25))/(LN(2)/25)*Calculateur!V123*Calculateur!X123*VLOOKUP('Données projet'!$B$9,Paramètres!$A$1:$I$89,3,0)*0.475*44/12</f>
        <v>3.3054116857319866</v>
      </c>
      <c r="AB123" s="21">
        <f>EXP(-LN(2)/2)*AB122+(1-EXP(-LN(2)/2))/(LN(2)/2)*V123*Y123*VLOOKUP('Données projet'!$B$9,Paramètres!$A$1:$I$89,3,0)*0.475*44/12</f>
        <v>2.3531608450361693E-15</v>
      </c>
      <c r="AC123" s="22">
        <f t="shared" si="57"/>
        <v>56.71748419539859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739.99999999999966</v>
      </c>
      <c r="AJ123" s="13">
        <f>AI123*VLOOKUP('Données projet'!$B$10,Paramètres!$A$1:$I$89,3,0)*VLOOKUP('Données projet'!$B$10,Paramètres!$A$1:$I$89,5,0)</f>
        <v>413.65999999999985</v>
      </c>
      <c r="AK123" s="13">
        <f t="shared" si="89"/>
        <v>94.540585122244352</v>
      </c>
      <c r="AL123" s="20">
        <f t="shared" si="58"/>
        <v>885.11601908790863</v>
      </c>
      <c r="AM123" s="59">
        <f t="shared" si="59"/>
        <v>1178.4493524212419</v>
      </c>
      <c r="AN123" s="59">
        <f ca="1">AVERAGE(OFFSET($AM$3,0,0,'Données projet'!$E$10+1,1))-AVERAGE(OFFSET($H$3,0,0,'Données projet'!$E$10+1,1))</f>
        <v>490.96084572840579</v>
      </c>
      <c r="AO123" s="59">
        <f t="shared" si="90"/>
        <v>597.91658789908263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37.635853657338131</v>
      </c>
      <c r="AV123" s="21">
        <f>EXP(-LN(2)/25)*AV122+(1-EXP(-LN(2)/25))/(LN(2)/25)*Calculateur!AQ123*Calculateur!AS123*VLOOKUP('Données projet'!$B$10,Paramètres!$A$1:$I$89,3,0)*0.475*44/12</f>
        <v>4.7652093452191684</v>
      </c>
      <c r="AW123" s="21">
        <f>EXP(-LN(2)/2)*AW122+(1-EXP(-LN(2)/2))/(LN(2)/2)*AQ123*AT123*VLOOKUP('Données projet'!$B$10,Paramètres!$A$1:$I$89,3,0)*0.475*44/12</f>
        <v>2.4172191124843754E-14</v>
      </c>
      <c r="AX123" s="21">
        <f t="shared" si="60"/>
        <v>42.401063002557322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213.00000000000003</v>
      </c>
      <c r="BE123" s="13">
        <f>BD123*VLOOKUP('Données projet'!$B$11,Paramètres!$A$1:$I$89,3,0)*VLOOKUP('Données projet'!$B$11,Paramètres!$A$1:$I$89,5,0)</f>
        <v>169.46280000000002</v>
      </c>
      <c r="BF123" s="13">
        <f t="shared" si="91"/>
        <v>42.969686502194378</v>
      </c>
      <c r="BG123" s="20">
        <f t="shared" si="61"/>
        <v>369.98658065798855</v>
      </c>
      <c r="BH123" s="59">
        <f t="shared" si="62"/>
        <v>663.31991399132187</v>
      </c>
      <c r="BI123" s="59">
        <f ca="1">AVERAGE(OFFSET($BH$3,0,0,'Données projet'!$E$11+1,1))-AVERAGE(OFFSET($H$3,0,0,'Données projet'!$E$11+1,1))</f>
        <v>167.80254365106839</v>
      </c>
      <c r="BJ123" s="59">
        <f t="shared" si="92"/>
        <v>167.42302164950172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15.179623663391693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15.179623663391693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669.99999999999989</v>
      </c>
      <c r="BZ123" s="13">
        <f>BY123*VLOOKUP('Données projet'!$B$12,Paramètres!$A$1:$I$89,3,0)*VLOOKUP('Données projet'!$B$12,Paramètres!$A$1:$I$89,5,0)</f>
        <v>330.97999999999996</v>
      </c>
      <c r="CA123" s="13">
        <f t="shared" si="93"/>
        <v>77.633451096966454</v>
      </c>
      <c r="CB123" s="20">
        <f t="shared" si="64"/>
        <v>711.66842732721636</v>
      </c>
      <c r="CC123" s="59">
        <f t="shared" si="65"/>
        <v>1005.0017606605497</v>
      </c>
      <c r="CD123" s="59">
        <f ca="1">AVERAGE(OFFSET($CC$3,0,0,'Données projet'!$E$12+1,1))-AVERAGE(OFFSET($H$3,0,0,'Données projet'!$E$12+1,1))</f>
        <v>322.06606384496587</v>
      </c>
      <c r="CE123" s="59">
        <f t="shared" si="94"/>
        <v>267.71713177624713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52.684382907220019</v>
      </c>
      <c r="CL123" s="21">
        <f>EXP(-LN(2)/25)*CL122+(1-EXP(-LN(2)/25))/(LN(2)/25)*Calculateur!CG123*Calculateur!CI123*VLOOKUP('Données projet'!$B$12,Paramètres!$A$1:$I$89,3,0)*0.475*44/12</f>
        <v>1.6580005845383261</v>
      </c>
      <c r="CM123" s="21">
        <f>EXP(-LN(2)/2)*CM122+(1-EXP(-LN(2)/2))/(LN(2)/2)*CG123*CJ123*VLOOKUP('Données projet'!$B$12,Paramètres!$A$1:$I$89,3,0)*0.475*44/12</f>
        <v>1.1240812026384818E-13</v>
      </c>
      <c r="CN123" s="22">
        <f t="shared" si="66"/>
        <v>54.342383491758461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401</v>
      </c>
      <c r="CU123" s="17">
        <f>CT123*VLOOKUP('Données projet'!$B$13,Paramètres!$A$1:$I$89,3,0)*VLOOKUP('Données projet'!$B$13,Paramètres!$A$1:$I$89,5,0)</f>
        <v>250.22399999999999</v>
      </c>
      <c r="CV123" s="13">
        <f t="shared" si="95"/>
        <v>60.633904580527918</v>
      </c>
      <c r="CW123" s="20">
        <f t="shared" si="67"/>
        <v>541.41085047775289</v>
      </c>
      <c r="CX123" s="59">
        <f t="shared" si="68"/>
        <v>834.74418381108626</v>
      </c>
      <c r="CY123" s="59">
        <f ca="1">AVERAGE(OFFSET($CX$3,0,0,'Données projet'!$E$13+1,1))-AVERAGE(OFFSET($H$3,0,0,'Données projet'!$E$13+1,1))</f>
        <v>269.77739619445515</v>
      </c>
      <c r="CZ123" s="59">
        <f t="shared" si="96"/>
        <v>347.56964743629885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23.337514124134017</v>
      </c>
      <c r="DG123" s="21">
        <f>EXP(-LN(2)/25)*DG122+(1-EXP(-LN(2)/25))/(LN(2)/25)*Calculateur!DB123*Calculateur!DD123*VLOOKUP('Données projet'!$B$13,Paramètres!$A$1:$I$89,3,0)*0.475*44/12</f>
        <v>7.5659092527892993</v>
      </c>
      <c r="DH123" s="21">
        <f>EXP(-LN(2)/2)*DH122+(1-EXP(-LN(2)/2))/(LN(2)/2)*DB123*DE123*VLOOKUP('Données projet'!$B$13,Paramètres!$A$1:$I$89,3,0)*0.475*44/12</f>
        <v>7.0594825351085019E-16</v>
      </c>
      <c r="DI123" s="22">
        <f t="shared" si="69"/>
        <v>30.903423376923318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669.99999999999989</v>
      </c>
      <c r="DP123" s="17">
        <f>DO123*VLOOKUP('Données projet'!$B$14,Paramètres!$A$1:$I$89,3,0)*VLOOKUP('Données projet'!$B$14,Paramètres!$A$1:$I$89,5,0)</f>
        <v>322.26999999999992</v>
      </c>
      <c r="DQ123" s="13">
        <f t="shared" si="97"/>
        <v>75.825476822885776</v>
      </c>
      <c r="DR123" s="20">
        <f t="shared" si="70"/>
        <v>693.34962213319261</v>
      </c>
      <c r="DS123" s="59">
        <f t="shared" si="71"/>
        <v>986.68295546652598</v>
      </c>
      <c r="DT123" s="59">
        <f ca="1">AVERAGE(OFFSET($DS$3,0,0,'Données projet'!$E$14+1,1))-AVERAGE(OFFSET($H$3,0,0,'Données projet'!$E$14+1,1))</f>
        <v>312.64506496298173</v>
      </c>
      <c r="DU123" s="59">
        <f t="shared" si="98"/>
        <v>259.97532509897508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51.297951778082663</v>
      </c>
      <c r="EB123" s="21">
        <f>EXP(-LN(2)/25)*EB122+(1-EXP(-LN(2)/25))/(LN(2)/25)*Calculateur!DW123*Calculateur!DY123*VLOOKUP('Données projet'!$B$14,Paramètres!$A$1:$I$89,3,0)*0.475*44/12</f>
        <v>1.6143689902083722</v>
      </c>
      <c r="EC123" s="21">
        <f>EXP(-LN(2)/2)*EC122+(1-EXP(-LN(2)/2))/(LN(2)/2)*DW123*DZ123*VLOOKUP('Données projet'!$B$14,Paramètres!$A$1:$I$89,3,0)*0.475*44/12</f>
        <v>1.0945001183585132E-13</v>
      </c>
      <c r="ED123" s="22">
        <f t="shared" si="72"/>
        <v>52.912320768291139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267</v>
      </c>
      <c r="EK123" s="17">
        <f>EJ123*VLOOKUP('Données projet'!$B$15,Paramètres!$A$1:$I$89,3,0)*VLOOKUP('Données projet'!$B$15,Paramètres!$A$1:$I$89,5,0)</f>
        <v>241.58159999999998</v>
      </c>
      <c r="EL123" s="13">
        <f t="shared" si="99"/>
        <v>58.779689232021951</v>
      </c>
      <c r="EM123" s="20">
        <f t="shared" si="73"/>
        <v>523.12924541243819</v>
      </c>
      <c r="EN123" s="59">
        <f t="shared" si="74"/>
        <v>816.46257874577145</v>
      </c>
      <c r="EO123" s="59">
        <f ca="1">AVERAGE(OFFSET($EN$3,0,0,'Données projet'!$E$15+1,1))-AVERAGE(OFFSET($H$3,0,0,'Données projet'!$E$15+1,1))</f>
        <v>269.64423257646359</v>
      </c>
      <c r="EP123" s="59">
        <f t="shared" si="100"/>
        <v>161.0819079811821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68.46043946650893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68.46043946650893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349.00000000000017</v>
      </c>
      <c r="FF123" s="17">
        <f>FE123*VLOOKUP('Données projet'!$B$16,Paramètres!$A$1:$I$89,3,0)*VLOOKUP('Données projet'!$B$16,Paramètres!$A$1:$I$89,5,0)</f>
        <v>272.22000000000014</v>
      </c>
      <c r="FG123" s="13">
        <f t="shared" si="101"/>
        <v>65.320184547527205</v>
      </c>
      <c r="FH123" s="20">
        <f t="shared" si="76"/>
        <v>587.88248808694345</v>
      </c>
      <c r="FI123" s="59">
        <f t="shared" si="77"/>
        <v>881.21582142027682</v>
      </c>
      <c r="FJ123" s="59">
        <f ca="1">AVERAGE(OFFSET($FI$3,0,0,'Données projet'!$E$16+1,1))-AVERAGE(OFFSET($H$3,0,0,'Données projet'!$E$16+1,1))</f>
        <v>283.77864672734273</v>
      </c>
      <c r="FK123" s="59">
        <f t="shared" si="102"/>
        <v>270.94620935643866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32.198196961310487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32.198196961310487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319</v>
      </c>
      <c r="GA123" s="17">
        <f>FZ123*VLOOKUP('Données projet'!$B$17,Paramètres!$A$1:$I$89,3,0)*VLOOKUP('Données projet'!$B$17,Paramètres!$A$1:$I$89,5,0)</f>
        <v>308.53680000000003</v>
      </c>
      <c r="GB123" s="13">
        <f t="shared" si="103"/>
        <v>72.963171684496103</v>
      </c>
      <c r="GC123" s="20">
        <f t="shared" si="79"/>
        <v>664.4457840171641</v>
      </c>
      <c r="GD123" s="59">
        <f t="shared" si="80"/>
        <v>957.77911735049747</v>
      </c>
      <c r="GE123" s="59">
        <f ca="1">AVERAGE(OFFSET($GD$3,0,0,'Données projet'!$E$17+1,1))-AVERAGE(OFFSET($H$3,0,0,'Données projet'!$E$17+1,1))</f>
        <v>347.54503437087288</v>
      </c>
      <c r="GF123" s="59">
        <f t="shared" si="104"/>
        <v>340.05673244455954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23.748275787081976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23.748275787081976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735.00000000000011</v>
      </c>
      <c r="O124" s="13">
        <f>N124*VLOOKUP('Données projet'!$B$9,Paramètres!$A$1:$I$89,3,0)*VLOOKUP('Données projet'!$B$9,Paramètres!$A$1:$I$89,5,0)</f>
        <v>343.98</v>
      </c>
      <c r="P124" s="13">
        <f t="shared" si="87"/>
        <v>80.321681832084693</v>
      </c>
      <c r="Q124" s="20">
        <f t="shared" si="107"/>
        <v>738.9920958575475</v>
      </c>
      <c r="R124" s="59">
        <f t="shared" si="55"/>
        <v>1032.3254291908809</v>
      </c>
      <c r="S124" s="59">
        <f ca="1">AVERAGE(OFFSET($R$3,0,0,'Données projet'!$E$9+1,1))-AVERAGE(OFFSET($H$3,0,0,'Données projet'!$E$9+1,1))</f>
        <v>342.49944586217674</v>
      </c>
      <c r="T124" s="59">
        <f t="shared" si="88"/>
        <v>282.29766600872563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52.364694345899444</v>
      </c>
      <c r="AA124" s="21">
        <f>EXP(-LN(2)/25)*AA123+(1-EXP(-LN(2)/25))/(LN(2)/25)*Calculateur!V124*Calculateur!X124*VLOOKUP('Données projet'!$B$9,Paramètres!$A$1:$I$89,3,0)*0.475*44/12</f>
        <v>3.2150250293615996</v>
      </c>
      <c r="AB124" s="21">
        <f>EXP(-LN(2)/2)*AB123+(1-EXP(-LN(2)/2))/(LN(2)/2)*V124*Y124*VLOOKUP('Données projet'!$B$9,Paramètres!$A$1:$I$89,3,0)*0.475*44/12</f>
        <v>1.6639359907477418E-15</v>
      </c>
      <c r="AC124" s="22">
        <f t="shared" si="57"/>
        <v>55.579719375261043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739.99999999999966</v>
      </c>
      <c r="AJ124" s="13">
        <f>AI124*VLOOKUP('Données projet'!$B$10,Paramètres!$A$1:$I$89,3,0)*VLOOKUP('Données projet'!$B$10,Paramètres!$A$1:$I$89,5,0)</f>
        <v>413.65999999999985</v>
      </c>
      <c r="AK124" s="13">
        <f t="shared" si="89"/>
        <v>94.540585122244352</v>
      </c>
      <c r="AL124" s="20">
        <f t="shared" si="58"/>
        <v>885.11601908790863</v>
      </c>
      <c r="AM124" s="59">
        <f t="shared" si="59"/>
        <v>1178.4493524212419</v>
      </c>
      <c r="AN124" s="59">
        <f ca="1">AVERAGE(OFFSET($AM$3,0,0,'Données projet'!$E$10+1,1))-AVERAGE(OFFSET($H$3,0,0,'Données projet'!$E$10+1,1))</f>
        <v>490.96084572840579</v>
      </c>
      <c r="AO124" s="59">
        <f t="shared" si="90"/>
        <v>597.91658789908263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36.897837522721787</v>
      </c>
      <c r="AV124" s="21">
        <f>EXP(-LN(2)/25)*AV123+(1-EXP(-LN(2)/25))/(LN(2)/25)*Calculateur!AQ124*Calculateur!AS124*VLOOKUP('Données projet'!$B$10,Paramètres!$A$1:$I$89,3,0)*0.475*44/12</f>
        <v>4.6349044450826815</v>
      </c>
      <c r="AW124" s="21">
        <f>EXP(-LN(2)/2)*AW123+(1-EXP(-LN(2)/2))/(LN(2)/2)*AQ124*AT124*VLOOKUP('Données projet'!$B$10,Paramètres!$A$1:$I$89,3,0)*0.475*44/12</f>
        <v>1.7092320260514298E-14</v>
      </c>
      <c r="AX124" s="21">
        <f t="shared" si="60"/>
        <v>41.532741967804483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213.00000000000003</v>
      </c>
      <c r="BE124" s="13">
        <f>BD124*VLOOKUP('Données projet'!$B$11,Paramètres!$A$1:$I$89,3,0)*VLOOKUP('Données projet'!$B$11,Paramètres!$A$1:$I$89,5,0)</f>
        <v>169.46280000000002</v>
      </c>
      <c r="BF124" s="13">
        <f t="shared" si="91"/>
        <v>42.969686502194378</v>
      </c>
      <c r="BG124" s="20">
        <f t="shared" si="61"/>
        <v>369.98658065798855</v>
      </c>
      <c r="BH124" s="59">
        <f t="shared" si="62"/>
        <v>663.31991399132187</v>
      </c>
      <c r="BI124" s="59">
        <f ca="1">AVERAGE(OFFSET($BH$3,0,0,'Données projet'!$E$11+1,1))-AVERAGE(OFFSET($H$3,0,0,'Données projet'!$E$11+1,1))</f>
        <v>167.80254365106839</v>
      </c>
      <c r="BJ124" s="59">
        <f t="shared" si="92"/>
        <v>167.42302164950172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14.8819605020088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14.8819605020088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669.99999999999989</v>
      </c>
      <c r="BZ124" s="13">
        <f>BY124*VLOOKUP('Données projet'!$B$12,Paramètres!$A$1:$I$89,3,0)*VLOOKUP('Données projet'!$B$12,Paramètres!$A$1:$I$89,5,0)</f>
        <v>330.97999999999996</v>
      </c>
      <c r="CA124" s="13">
        <f t="shared" si="93"/>
        <v>77.633451096966454</v>
      </c>
      <c r="CB124" s="20">
        <f t="shared" si="64"/>
        <v>711.66842732721636</v>
      </c>
      <c r="CC124" s="59">
        <f t="shared" si="65"/>
        <v>1005.0017606605497</v>
      </c>
      <c r="CD124" s="59">
        <f ca="1">AVERAGE(OFFSET($CC$3,0,0,'Données projet'!$E$12+1,1))-AVERAGE(OFFSET($H$3,0,0,'Données projet'!$E$12+1,1))</f>
        <v>322.06606384496587</v>
      </c>
      <c r="CE124" s="59">
        <f t="shared" si="94"/>
        <v>267.71713177624713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51.651274292710006</v>
      </c>
      <c r="CL124" s="21">
        <f>EXP(-LN(2)/25)*CL123+(1-EXP(-LN(2)/25))/(LN(2)/25)*Calculateur!CG124*Calculateur!CI124*VLOOKUP('Données projet'!$B$12,Paramètres!$A$1:$I$89,3,0)*0.475*44/12</f>
        <v>1.6126624713636641</v>
      </c>
      <c r="CM124" s="21">
        <f>EXP(-LN(2)/2)*CM123+(1-EXP(-LN(2)/2))/(LN(2)/2)*CG124*CJ124*VLOOKUP('Données projet'!$B$12,Paramètres!$A$1:$I$89,3,0)*0.475*44/12</f>
        <v>7.9484544099000019E-14</v>
      </c>
      <c r="CN124" s="22">
        <f t="shared" si="66"/>
        <v>53.263936764073748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401</v>
      </c>
      <c r="CU124" s="17">
        <f>CT124*VLOOKUP('Données projet'!$B$13,Paramètres!$A$1:$I$89,3,0)*VLOOKUP('Données projet'!$B$13,Paramètres!$A$1:$I$89,5,0)</f>
        <v>250.22399999999999</v>
      </c>
      <c r="CV124" s="13">
        <f t="shared" si="95"/>
        <v>60.633904580527918</v>
      </c>
      <c r="CW124" s="20">
        <f t="shared" si="67"/>
        <v>541.41085047775289</v>
      </c>
      <c r="CX124" s="59">
        <f t="shared" si="68"/>
        <v>834.74418381108626</v>
      </c>
      <c r="CY124" s="59">
        <f ca="1">AVERAGE(OFFSET($CX$3,0,0,'Données projet'!$E$13+1,1))-AVERAGE(OFFSET($H$3,0,0,'Données projet'!$E$13+1,1))</f>
        <v>269.77739619445515</v>
      </c>
      <c r="CZ124" s="59">
        <f t="shared" si="96"/>
        <v>347.56964743629885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22.879879706637826</v>
      </c>
      <c r="DG124" s="21">
        <f>EXP(-LN(2)/25)*DG123+(1-EXP(-LN(2)/25))/(LN(2)/25)*Calculateur!DB124*Calculateur!DD124*VLOOKUP('Données projet'!$B$13,Paramètres!$A$1:$I$89,3,0)*0.475*44/12</f>
        <v>7.3590190663979005</v>
      </c>
      <c r="DH124" s="21">
        <f>EXP(-LN(2)/2)*DH123+(1-EXP(-LN(2)/2))/(LN(2)/2)*DB124*DE124*VLOOKUP('Données projet'!$B$13,Paramètres!$A$1:$I$89,3,0)*0.475*44/12</f>
        <v>4.9918079722432212E-16</v>
      </c>
      <c r="DI124" s="22">
        <f t="shared" si="69"/>
        <v>30.238898773035729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669.99999999999989</v>
      </c>
      <c r="DP124" s="17">
        <f>DO124*VLOOKUP('Données projet'!$B$14,Paramètres!$A$1:$I$89,3,0)*VLOOKUP('Données projet'!$B$14,Paramètres!$A$1:$I$89,5,0)</f>
        <v>322.26999999999992</v>
      </c>
      <c r="DQ124" s="13">
        <f t="shared" si="97"/>
        <v>75.825476822885776</v>
      </c>
      <c r="DR124" s="20">
        <f t="shared" si="70"/>
        <v>693.34962213319261</v>
      </c>
      <c r="DS124" s="59">
        <f t="shared" si="71"/>
        <v>986.68295546652598</v>
      </c>
      <c r="DT124" s="59">
        <f ca="1">AVERAGE(OFFSET($DS$3,0,0,'Données projet'!$E$14+1,1))-AVERAGE(OFFSET($H$3,0,0,'Données projet'!$E$14+1,1))</f>
        <v>312.64506496298173</v>
      </c>
      <c r="DU124" s="59">
        <f t="shared" si="98"/>
        <v>259.97532509897508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50.292030232375545</v>
      </c>
      <c r="EB124" s="21">
        <f>EXP(-LN(2)/25)*EB123+(1-EXP(-LN(2)/25))/(LN(2)/25)*Calculateur!DW124*Calculateur!DY124*VLOOKUP('Données projet'!$B$14,Paramètres!$A$1:$I$89,3,0)*0.475*44/12</f>
        <v>1.5702239852751487</v>
      </c>
      <c r="EC124" s="21">
        <f>EXP(-LN(2)/2)*EC123+(1-EXP(-LN(2)/2))/(LN(2)/2)*DW124*DZ124*VLOOKUP('Données projet'!$B$14,Paramètres!$A$1:$I$89,3,0)*0.475*44/12</f>
        <v>7.7392845570078358E-14</v>
      </c>
      <c r="ED124" s="22">
        <f t="shared" si="72"/>
        <v>51.862254217650772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267</v>
      </c>
      <c r="EK124" s="17">
        <f>EJ124*VLOOKUP('Données projet'!$B$15,Paramètres!$A$1:$I$89,3,0)*VLOOKUP('Données projet'!$B$15,Paramètres!$A$1:$I$89,5,0)</f>
        <v>241.58159999999998</v>
      </c>
      <c r="EL124" s="13">
        <f t="shared" si="99"/>
        <v>58.779689232021951</v>
      </c>
      <c r="EM124" s="20">
        <f t="shared" si="73"/>
        <v>523.12924541243819</v>
      </c>
      <c r="EN124" s="59">
        <f t="shared" si="74"/>
        <v>816.46257874577145</v>
      </c>
      <c r="EO124" s="59">
        <f ca="1">AVERAGE(OFFSET($EN$3,0,0,'Données projet'!$E$15+1,1))-AVERAGE(OFFSET($H$3,0,0,'Données projet'!$E$15+1,1))</f>
        <v>269.64423257646359</v>
      </c>
      <c r="EP124" s="59">
        <f t="shared" si="100"/>
        <v>161.0819079811821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67.117972005315622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67.117972005315622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349.00000000000017</v>
      </c>
      <c r="FF124" s="17">
        <f>FE124*VLOOKUP('Données projet'!$B$16,Paramètres!$A$1:$I$89,3,0)*VLOOKUP('Données projet'!$B$16,Paramètres!$A$1:$I$89,5,0)</f>
        <v>272.22000000000014</v>
      </c>
      <c r="FG124" s="13">
        <f t="shared" si="101"/>
        <v>65.320184547527205</v>
      </c>
      <c r="FH124" s="20">
        <f t="shared" si="76"/>
        <v>587.88248808694345</v>
      </c>
      <c r="FI124" s="59">
        <f t="shared" si="77"/>
        <v>881.21582142027682</v>
      </c>
      <c r="FJ124" s="59">
        <f ca="1">AVERAGE(OFFSET($FI$3,0,0,'Données projet'!$E$16+1,1))-AVERAGE(OFFSET($H$3,0,0,'Données projet'!$E$16+1,1))</f>
        <v>283.77864672734273</v>
      </c>
      <c r="FK124" s="59">
        <f t="shared" si="102"/>
        <v>270.94620935643866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31.566809957860148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31.566809957860148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319</v>
      </c>
      <c r="GA124" s="17">
        <f>FZ124*VLOOKUP('Données projet'!$B$17,Paramètres!$A$1:$I$89,3,0)*VLOOKUP('Données projet'!$B$17,Paramètres!$A$1:$I$89,5,0)</f>
        <v>308.53680000000003</v>
      </c>
      <c r="GB124" s="13">
        <f t="shared" si="103"/>
        <v>72.963171684496103</v>
      </c>
      <c r="GC124" s="20">
        <f t="shared" si="79"/>
        <v>664.4457840171641</v>
      </c>
      <c r="GD124" s="59">
        <f t="shared" si="80"/>
        <v>957.77911735049747</v>
      </c>
      <c r="GE124" s="59">
        <f ca="1">AVERAGE(OFFSET($GD$3,0,0,'Données projet'!$E$17+1,1))-AVERAGE(OFFSET($H$3,0,0,'Données projet'!$E$17+1,1))</f>
        <v>347.54503437087288</v>
      </c>
      <c r="GF124" s="59">
        <f t="shared" si="104"/>
        <v>340.05673244455954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23.282586583915251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23.282586583915251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735.00000000000011</v>
      </c>
      <c r="O125" s="13">
        <f>N125*VLOOKUP('Données projet'!$B$9,Paramètres!$A$1:$I$89,3,0)*VLOOKUP('Données projet'!$B$9,Paramètres!$A$1:$I$89,5,0)</f>
        <v>343.98</v>
      </c>
      <c r="P125" s="13">
        <f t="shared" si="87"/>
        <v>80.321681832084693</v>
      </c>
      <c r="Q125" s="20">
        <f t="shared" si="107"/>
        <v>738.9920958575475</v>
      </c>
      <c r="R125" s="59">
        <f t="shared" si="55"/>
        <v>1032.3254291908809</v>
      </c>
      <c r="S125" s="59">
        <f ca="1">AVERAGE(OFFSET($R$3,0,0,'Données projet'!$E$9+1,1))-AVERAGE(OFFSET($H$3,0,0,'Données projet'!$E$9+1,1))</f>
        <v>342.49944586217674</v>
      </c>
      <c r="T125" s="59">
        <f t="shared" si="88"/>
        <v>282.29766600872563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51.337854629086159</v>
      </c>
      <c r="AA125" s="21">
        <f>EXP(-LN(2)/25)*AA124+(1-EXP(-LN(2)/25))/(LN(2)/25)*Calculateur!V125*Calculateur!X125*VLOOKUP('Données projet'!$B$9,Paramètres!$A$1:$I$89,3,0)*0.475*44/12</f>
        <v>3.1271100008628885</v>
      </c>
      <c r="AB125" s="21">
        <f>EXP(-LN(2)/2)*AB124+(1-EXP(-LN(2)/2))/(LN(2)/2)*V125*Y125*VLOOKUP('Données projet'!$B$9,Paramètres!$A$1:$I$89,3,0)*0.475*44/12</f>
        <v>1.1765804225180846E-15</v>
      </c>
      <c r="AC125" s="22">
        <f t="shared" si="57"/>
        <v>54.464964629949051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739.99999999999966</v>
      </c>
      <c r="AJ125" s="13">
        <f>AI125*VLOOKUP('Données projet'!$B$10,Paramètres!$A$1:$I$89,3,0)*VLOOKUP('Données projet'!$B$10,Paramètres!$A$1:$I$89,5,0)</f>
        <v>413.65999999999985</v>
      </c>
      <c r="AK125" s="13">
        <f t="shared" si="89"/>
        <v>94.540585122244352</v>
      </c>
      <c r="AL125" s="20">
        <f t="shared" si="58"/>
        <v>885.11601908790863</v>
      </c>
      <c r="AM125" s="59">
        <f t="shared" si="59"/>
        <v>1178.4493524212419</v>
      </c>
      <c r="AN125" s="59">
        <f ca="1">AVERAGE(OFFSET($AM$3,0,0,'Données projet'!$E$10+1,1))-AVERAGE(OFFSET($H$3,0,0,'Données projet'!$E$10+1,1))</f>
        <v>490.96084572840579</v>
      </c>
      <c r="AO125" s="59">
        <f t="shared" si="90"/>
        <v>597.91658789908263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36.174293434359875</v>
      </c>
      <c r="AV125" s="21">
        <f>EXP(-LN(2)/25)*AV124+(1-EXP(-LN(2)/25))/(LN(2)/25)*Calculateur!AQ125*Calculateur!AS125*VLOOKUP('Données projet'!$B$10,Paramètres!$A$1:$I$89,3,0)*0.475*44/12</f>
        <v>4.5081627392928638</v>
      </c>
      <c r="AW125" s="21">
        <f>EXP(-LN(2)/2)*AW124+(1-EXP(-LN(2)/2))/(LN(2)/2)*AQ125*AT125*VLOOKUP('Données projet'!$B$10,Paramètres!$A$1:$I$89,3,0)*0.475*44/12</f>
        <v>1.2086095562421877E-14</v>
      </c>
      <c r="AX125" s="21">
        <f t="shared" si="60"/>
        <v>40.682456173652753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213.00000000000003</v>
      </c>
      <c r="BE125" s="13">
        <f>BD125*VLOOKUP('Données projet'!$B$11,Paramètres!$A$1:$I$89,3,0)*VLOOKUP('Données projet'!$B$11,Paramètres!$A$1:$I$89,5,0)</f>
        <v>169.46280000000002</v>
      </c>
      <c r="BF125" s="13">
        <f t="shared" si="91"/>
        <v>42.969686502194378</v>
      </c>
      <c r="BG125" s="20">
        <f t="shared" si="61"/>
        <v>369.98658065798855</v>
      </c>
      <c r="BH125" s="59">
        <f t="shared" si="62"/>
        <v>663.31991399132187</v>
      </c>
      <c r="BI125" s="59">
        <f ca="1">AVERAGE(OFFSET($BH$3,0,0,'Données projet'!$E$11+1,1))-AVERAGE(OFFSET($H$3,0,0,'Données projet'!$E$11+1,1))</f>
        <v>167.80254365106839</v>
      </c>
      <c r="BJ125" s="59">
        <f t="shared" si="92"/>
        <v>167.42302164950172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14.590134333664025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14.590134333664025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669.99999999999989</v>
      </c>
      <c r="BZ125" s="13">
        <f>BY125*VLOOKUP('Données projet'!$B$12,Paramètres!$A$1:$I$89,3,0)*VLOOKUP('Données projet'!$B$12,Paramètres!$A$1:$I$89,5,0)</f>
        <v>330.97999999999996</v>
      </c>
      <c r="CA125" s="13">
        <f t="shared" si="93"/>
        <v>77.633451096966454</v>
      </c>
      <c r="CB125" s="20">
        <f t="shared" si="64"/>
        <v>711.66842732721636</v>
      </c>
      <c r="CC125" s="59">
        <f t="shared" si="65"/>
        <v>1005.0017606605497</v>
      </c>
      <c r="CD125" s="59">
        <f ca="1">AVERAGE(OFFSET($CC$3,0,0,'Données projet'!$E$12+1,1))-AVERAGE(OFFSET($H$3,0,0,'Données projet'!$E$12+1,1))</f>
        <v>322.06606384496587</v>
      </c>
      <c r="CE125" s="59">
        <f t="shared" si="94"/>
        <v>267.71713177624713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50.638424307996502</v>
      </c>
      <c r="CL125" s="21">
        <f>EXP(-LN(2)/25)*CL124+(1-EXP(-LN(2)/25))/(LN(2)/25)*Calculateur!CG125*Calculateur!CI125*VLOOKUP('Données projet'!$B$12,Paramètres!$A$1:$I$89,3,0)*0.475*44/12</f>
        <v>1.5685641312779912</v>
      </c>
      <c r="CM125" s="21">
        <f>EXP(-LN(2)/2)*CM124+(1-EXP(-LN(2)/2))/(LN(2)/2)*CG125*CJ125*VLOOKUP('Données projet'!$B$12,Paramètres!$A$1:$I$89,3,0)*0.475*44/12</f>
        <v>5.6204060131924097E-14</v>
      </c>
      <c r="CN125" s="22">
        <f t="shared" si="66"/>
        <v>52.206988439274546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401</v>
      </c>
      <c r="CU125" s="17">
        <f>CT125*VLOOKUP('Données projet'!$B$13,Paramètres!$A$1:$I$89,3,0)*VLOOKUP('Données projet'!$B$13,Paramètres!$A$1:$I$89,5,0)</f>
        <v>250.22399999999999</v>
      </c>
      <c r="CV125" s="13">
        <f t="shared" si="95"/>
        <v>60.633904580527918</v>
      </c>
      <c r="CW125" s="20">
        <f t="shared" si="67"/>
        <v>541.41085047775289</v>
      </c>
      <c r="CX125" s="59">
        <f t="shared" si="68"/>
        <v>834.74418381108626</v>
      </c>
      <c r="CY125" s="59">
        <f ca="1">AVERAGE(OFFSET($CX$3,0,0,'Données projet'!$E$13+1,1))-AVERAGE(OFFSET($H$3,0,0,'Données projet'!$E$13+1,1))</f>
        <v>269.77739619445515</v>
      </c>
      <c r="CZ125" s="59">
        <f t="shared" si="96"/>
        <v>347.56964743629885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22.431219220939305</v>
      </c>
      <c r="DG125" s="21">
        <f>EXP(-LN(2)/25)*DG124+(1-EXP(-LN(2)/25))/(LN(2)/25)*Calculateur!DB125*Calculateur!DD125*VLOOKUP('Données projet'!$B$13,Paramètres!$A$1:$I$89,3,0)*0.475*44/12</f>
        <v>7.157786303033256</v>
      </c>
      <c r="DH125" s="21">
        <f>EXP(-LN(2)/2)*DH124+(1-EXP(-LN(2)/2))/(LN(2)/2)*DB125*DE125*VLOOKUP('Données projet'!$B$13,Paramètres!$A$1:$I$89,3,0)*0.475*44/12</f>
        <v>3.529741267554251E-16</v>
      </c>
      <c r="DI125" s="22">
        <f t="shared" si="69"/>
        <v>29.58900552397256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669.99999999999989</v>
      </c>
      <c r="DP125" s="17">
        <f>DO125*VLOOKUP('Données projet'!$B$14,Paramètres!$A$1:$I$89,3,0)*VLOOKUP('Données projet'!$B$14,Paramètres!$A$1:$I$89,5,0)</f>
        <v>322.26999999999992</v>
      </c>
      <c r="DQ125" s="13">
        <f t="shared" si="97"/>
        <v>75.825476822885776</v>
      </c>
      <c r="DR125" s="20">
        <f t="shared" si="70"/>
        <v>693.34962213319261</v>
      </c>
      <c r="DS125" s="59">
        <f t="shared" si="71"/>
        <v>986.68295546652598</v>
      </c>
      <c r="DT125" s="59">
        <f ca="1">AVERAGE(OFFSET($DS$3,0,0,'Données projet'!$E$14+1,1))-AVERAGE(OFFSET($H$3,0,0,'Données projet'!$E$14+1,1))</f>
        <v>312.64506496298173</v>
      </c>
      <c r="DU125" s="59">
        <f t="shared" si="98"/>
        <v>259.97532509897508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49.30583419462819</v>
      </c>
      <c r="EB125" s="21">
        <f>EXP(-LN(2)/25)*EB124+(1-EXP(-LN(2)/25))/(LN(2)/25)*Calculateur!DW125*Calculateur!DY125*VLOOKUP('Données projet'!$B$14,Paramètres!$A$1:$I$89,3,0)*0.475*44/12</f>
        <v>1.5272861278233092</v>
      </c>
      <c r="EC125" s="21">
        <f>EXP(-LN(2)/2)*EC124+(1-EXP(-LN(2)/2))/(LN(2)/2)*DW125*DZ125*VLOOKUP('Données projet'!$B$14,Paramètres!$A$1:$I$89,3,0)*0.475*44/12</f>
        <v>5.4725005917925662E-14</v>
      </c>
      <c r="ED125" s="22">
        <f t="shared" si="72"/>
        <v>50.833120322451556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267</v>
      </c>
      <c r="EK125" s="17">
        <f>EJ125*VLOOKUP('Données projet'!$B$15,Paramètres!$A$1:$I$89,3,0)*VLOOKUP('Données projet'!$B$15,Paramètres!$A$1:$I$89,5,0)</f>
        <v>241.58159999999998</v>
      </c>
      <c r="EL125" s="13">
        <f t="shared" si="99"/>
        <v>58.779689232021951</v>
      </c>
      <c r="EM125" s="20">
        <f t="shared" si="73"/>
        <v>523.12924541243819</v>
      </c>
      <c r="EN125" s="59">
        <f t="shared" si="74"/>
        <v>816.46257874577145</v>
      </c>
      <c r="EO125" s="59">
        <f ca="1">AVERAGE(OFFSET($EN$3,0,0,'Données projet'!$E$15+1,1))-AVERAGE(OFFSET($H$3,0,0,'Données projet'!$E$15+1,1))</f>
        <v>269.64423257646359</v>
      </c>
      <c r="EP125" s="59">
        <f t="shared" si="100"/>
        <v>161.0819079811821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65.801829512212024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65.801829512212024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349.00000000000017</v>
      </c>
      <c r="FF125" s="17">
        <f>FE125*VLOOKUP('Données projet'!$B$16,Paramètres!$A$1:$I$89,3,0)*VLOOKUP('Données projet'!$B$16,Paramètres!$A$1:$I$89,5,0)</f>
        <v>272.22000000000014</v>
      </c>
      <c r="FG125" s="13">
        <f t="shared" si="101"/>
        <v>65.320184547527205</v>
      </c>
      <c r="FH125" s="20">
        <f t="shared" si="76"/>
        <v>587.88248808694345</v>
      </c>
      <c r="FI125" s="59">
        <f t="shared" si="77"/>
        <v>881.21582142027682</v>
      </c>
      <c r="FJ125" s="59">
        <f ca="1">AVERAGE(OFFSET($FI$3,0,0,'Données projet'!$E$16+1,1))-AVERAGE(OFFSET($H$3,0,0,'Données projet'!$E$16+1,1))</f>
        <v>283.77864672734273</v>
      </c>
      <c r="FK125" s="59">
        <f t="shared" si="102"/>
        <v>270.94620935643866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30.947804068439424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30.947804068439424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319</v>
      </c>
      <c r="GA125" s="17">
        <f>FZ125*VLOOKUP('Données projet'!$B$17,Paramètres!$A$1:$I$89,3,0)*VLOOKUP('Données projet'!$B$17,Paramètres!$A$1:$I$89,5,0)</f>
        <v>308.53680000000003</v>
      </c>
      <c r="GB125" s="13">
        <f t="shared" si="103"/>
        <v>72.963171684496103</v>
      </c>
      <c r="GC125" s="20">
        <f t="shared" si="79"/>
        <v>664.4457840171641</v>
      </c>
      <c r="GD125" s="59">
        <f t="shared" si="80"/>
        <v>957.77911735049747</v>
      </c>
      <c r="GE125" s="59">
        <f ca="1">AVERAGE(OFFSET($GD$3,0,0,'Données projet'!$E$17+1,1))-AVERAGE(OFFSET($H$3,0,0,'Données projet'!$E$17+1,1))</f>
        <v>347.54503437087288</v>
      </c>
      <c r="GF125" s="59">
        <f t="shared" si="104"/>
        <v>340.05673244455954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22.82602926198026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22.82602926198026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735.00000000000011</v>
      </c>
      <c r="O126" s="13">
        <f>N126*VLOOKUP('Données projet'!$B$9,Paramètres!$A$1:$I$89,3,0)*VLOOKUP('Données projet'!$B$9,Paramètres!$A$1:$I$89,5,0)</f>
        <v>343.98</v>
      </c>
      <c r="P126" s="13">
        <f t="shared" si="87"/>
        <v>80.321681832084693</v>
      </c>
      <c r="Q126" s="20">
        <f t="shared" si="107"/>
        <v>738.9920958575475</v>
      </c>
      <c r="R126" s="59">
        <f t="shared" si="55"/>
        <v>1032.3254291908809</v>
      </c>
      <c r="S126" s="59">
        <f ca="1">AVERAGE(OFFSET($R$3,0,0,'Données projet'!$E$9+1,1))-AVERAGE(OFFSET($H$3,0,0,'Données projet'!$E$9+1,1))</f>
        <v>342.49944586217674</v>
      </c>
      <c r="T126" s="59">
        <f t="shared" si="88"/>
        <v>282.29766600872563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50.331150612809203</v>
      </c>
      <c r="AA126" s="21">
        <f>EXP(-LN(2)/25)*AA125+(1-EXP(-LN(2)/25))/(LN(2)/25)*Calculateur!V126*Calculateur!X126*VLOOKUP('Données projet'!$B$9,Paramètres!$A$1:$I$89,3,0)*0.475*44/12</f>
        <v>3.0415990134417248</v>
      </c>
      <c r="AB126" s="21">
        <f>EXP(-LN(2)/2)*AB125+(1-EXP(-LN(2)/2))/(LN(2)/2)*V126*Y126*VLOOKUP('Données projet'!$B$9,Paramètres!$A$1:$I$89,3,0)*0.475*44/12</f>
        <v>8.3196799537387092E-16</v>
      </c>
      <c r="AC126" s="22">
        <f t="shared" si="57"/>
        <v>53.372749626250929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739.99999999999966</v>
      </c>
      <c r="AJ126" s="13">
        <f>AI126*VLOOKUP('Données projet'!$B$10,Paramètres!$A$1:$I$89,3,0)*VLOOKUP('Données projet'!$B$10,Paramètres!$A$1:$I$89,5,0)</f>
        <v>413.65999999999985</v>
      </c>
      <c r="AK126" s="13">
        <f t="shared" si="89"/>
        <v>94.540585122244352</v>
      </c>
      <c r="AL126" s="20">
        <f t="shared" si="58"/>
        <v>885.11601908790863</v>
      </c>
      <c r="AM126" s="59">
        <f t="shared" si="59"/>
        <v>1178.4493524212419</v>
      </c>
      <c r="AN126" s="59">
        <f ca="1">AVERAGE(OFFSET($AM$3,0,0,'Données projet'!$E$10+1,1))-AVERAGE(OFFSET($H$3,0,0,'Données projet'!$E$10+1,1))</f>
        <v>490.96084572840579</v>
      </c>
      <c r="AO126" s="59">
        <f t="shared" si="90"/>
        <v>597.91658789908263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35.46493760425242</v>
      </c>
      <c r="AV126" s="21">
        <f>EXP(-LN(2)/25)*AV125+(1-EXP(-LN(2)/25))/(LN(2)/25)*Calculateur!AQ126*Calculateur!AS126*VLOOKUP('Données projet'!$B$10,Paramètres!$A$1:$I$89,3,0)*0.475*44/12</f>
        <v>4.3848867921129253</v>
      </c>
      <c r="AW126" s="21">
        <f>EXP(-LN(2)/2)*AW125+(1-EXP(-LN(2)/2))/(LN(2)/2)*AQ126*AT126*VLOOKUP('Données projet'!$B$10,Paramètres!$A$1:$I$89,3,0)*0.475*44/12</f>
        <v>8.5461601302571489E-15</v>
      </c>
      <c r="AX126" s="21">
        <f t="shared" si="60"/>
        <v>39.849824396365349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213.00000000000003</v>
      </c>
      <c r="BE126" s="13">
        <f>BD126*VLOOKUP('Données projet'!$B$11,Paramètres!$A$1:$I$89,3,0)*VLOOKUP('Données projet'!$B$11,Paramètres!$A$1:$I$89,5,0)</f>
        <v>169.46280000000002</v>
      </c>
      <c r="BF126" s="13">
        <f t="shared" si="91"/>
        <v>42.969686502194378</v>
      </c>
      <c r="BG126" s="20">
        <f t="shared" si="61"/>
        <v>369.98658065798855</v>
      </c>
      <c r="BH126" s="59">
        <f t="shared" si="62"/>
        <v>663.31991399132187</v>
      </c>
      <c r="BI126" s="59">
        <f ca="1">AVERAGE(OFFSET($BH$3,0,0,'Données projet'!$E$11+1,1))-AVERAGE(OFFSET($H$3,0,0,'Données projet'!$E$11+1,1))</f>
        <v>167.80254365106839</v>
      </c>
      <c r="BJ126" s="59">
        <f t="shared" si="92"/>
        <v>167.42302164950172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14.304030698484103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14.304030698484103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669.99999999999989</v>
      </c>
      <c r="BZ126" s="13">
        <f>BY126*VLOOKUP('Données projet'!$B$12,Paramètres!$A$1:$I$89,3,0)*VLOOKUP('Données projet'!$B$12,Paramètres!$A$1:$I$89,5,0)</f>
        <v>330.97999999999996</v>
      </c>
      <c r="CA126" s="13">
        <f t="shared" si="93"/>
        <v>77.633451096966454</v>
      </c>
      <c r="CB126" s="20">
        <f t="shared" si="64"/>
        <v>711.66842732721636</v>
      </c>
      <c r="CC126" s="59">
        <f t="shared" si="65"/>
        <v>1005.0017606605497</v>
      </c>
      <c r="CD126" s="59">
        <f ca="1">AVERAGE(OFFSET($CC$3,0,0,'Données projet'!$E$12+1,1))-AVERAGE(OFFSET($H$3,0,0,'Données projet'!$E$12+1,1))</f>
        <v>322.06606384496587</v>
      </c>
      <c r="CE126" s="59">
        <f t="shared" si="94"/>
        <v>267.71713177624713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49.645435693705743</v>
      </c>
      <c r="CL126" s="21">
        <f>EXP(-LN(2)/25)*CL125+(1-EXP(-LN(2)/25))/(LN(2)/25)*Calculateur!CG126*Calculateur!CI126*VLOOKUP('Données projet'!$B$12,Paramètres!$A$1:$I$89,3,0)*0.475*44/12</f>
        <v>1.5256716626209919</v>
      </c>
      <c r="CM126" s="21">
        <f>EXP(-LN(2)/2)*CM125+(1-EXP(-LN(2)/2))/(LN(2)/2)*CG126*CJ126*VLOOKUP('Données projet'!$B$12,Paramètres!$A$1:$I$89,3,0)*0.475*44/12</f>
        <v>3.9742272049500016E-14</v>
      </c>
      <c r="CN126" s="22">
        <f t="shared" si="66"/>
        <v>51.171107356326779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401</v>
      </c>
      <c r="CU126" s="17">
        <f>CT126*VLOOKUP('Données projet'!$B$13,Paramètres!$A$1:$I$89,3,0)*VLOOKUP('Données projet'!$B$13,Paramètres!$A$1:$I$89,5,0)</f>
        <v>250.22399999999999</v>
      </c>
      <c r="CV126" s="13">
        <f t="shared" si="95"/>
        <v>60.633904580527918</v>
      </c>
      <c r="CW126" s="20">
        <f t="shared" si="67"/>
        <v>541.41085047775289</v>
      </c>
      <c r="CX126" s="59">
        <f t="shared" si="68"/>
        <v>834.74418381108626</v>
      </c>
      <c r="CY126" s="59">
        <f ca="1">AVERAGE(OFFSET($CX$3,0,0,'Données projet'!$E$13+1,1))-AVERAGE(OFFSET($H$3,0,0,'Données projet'!$E$13+1,1))</f>
        <v>269.77739619445515</v>
      </c>
      <c r="CZ126" s="59">
        <f t="shared" si="96"/>
        <v>347.56964743629885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21.991356693709456</v>
      </c>
      <c r="DG126" s="21">
        <f>EXP(-LN(2)/25)*DG125+(1-EXP(-LN(2)/25))/(LN(2)/25)*Calculateur!DB126*Calculateur!DD126*VLOOKUP('Données projet'!$B$13,Paramètres!$A$1:$I$89,3,0)*0.475*44/12</f>
        <v>6.9620562601651894</v>
      </c>
      <c r="DH126" s="21">
        <f>EXP(-LN(2)/2)*DH125+(1-EXP(-LN(2)/2))/(LN(2)/2)*DB126*DE126*VLOOKUP('Données projet'!$B$13,Paramètres!$A$1:$I$89,3,0)*0.475*44/12</f>
        <v>2.4959039861216106E-16</v>
      </c>
      <c r="DI126" s="22">
        <f t="shared" si="69"/>
        <v>28.953412953874647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669.99999999999989</v>
      </c>
      <c r="DP126" s="17">
        <f>DO126*VLOOKUP('Données projet'!$B$14,Paramètres!$A$1:$I$89,3,0)*VLOOKUP('Données projet'!$B$14,Paramètres!$A$1:$I$89,5,0)</f>
        <v>322.26999999999992</v>
      </c>
      <c r="DQ126" s="13">
        <f t="shared" si="97"/>
        <v>75.825476822885776</v>
      </c>
      <c r="DR126" s="20">
        <f t="shared" si="70"/>
        <v>693.34962213319261</v>
      </c>
      <c r="DS126" s="59">
        <f t="shared" si="71"/>
        <v>986.68295546652598</v>
      </c>
      <c r="DT126" s="59">
        <f ca="1">AVERAGE(OFFSET($DS$3,0,0,'Données projet'!$E$14+1,1))-AVERAGE(OFFSET($H$3,0,0,'Données projet'!$E$14+1,1))</f>
        <v>312.64506496298173</v>
      </c>
      <c r="DU126" s="59">
        <f t="shared" si="98"/>
        <v>259.97532509897508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48.338976859660868</v>
      </c>
      <c r="EB126" s="21">
        <f>EXP(-LN(2)/25)*EB125+(1-EXP(-LN(2)/25))/(LN(2)/25)*Calculateur!DW126*Calculateur!DY126*VLOOKUP('Données projet'!$B$14,Paramètres!$A$1:$I$89,3,0)*0.475*44/12</f>
        <v>1.485522408341494</v>
      </c>
      <c r="EC126" s="21">
        <f>EXP(-LN(2)/2)*EC125+(1-EXP(-LN(2)/2))/(LN(2)/2)*DW126*DZ126*VLOOKUP('Données projet'!$B$14,Paramètres!$A$1:$I$89,3,0)*0.475*44/12</f>
        <v>3.8696422785039179E-14</v>
      </c>
      <c r="ED126" s="22">
        <f t="shared" si="72"/>
        <v>49.824499268002398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267</v>
      </c>
      <c r="EK126" s="17">
        <f>EJ126*VLOOKUP('Données projet'!$B$15,Paramètres!$A$1:$I$89,3,0)*VLOOKUP('Données projet'!$B$15,Paramètres!$A$1:$I$89,5,0)</f>
        <v>241.58159999999998</v>
      </c>
      <c r="EL126" s="13">
        <f t="shared" si="99"/>
        <v>58.779689232021951</v>
      </c>
      <c r="EM126" s="20">
        <f t="shared" si="73"/>
        <v>523.12924541243819</v>
      </c>
      <c r="EN126" s="59">
        <f t="shared" si="74"/>
        <v>816.46257874577145</v>
      </c>
      <c r="EO126" s="59">
        <f ca="1">AVERAGE(OFFSET($EN$3,0,0,'Données projet'!$E$15+1,1))-AVERAGE(OFFSET($H$3,0,0,'Données projet'!$E$15+1,1))</f>
        <v>269.64423257646359</v>
      </c>
      <c r="EP126" s="59">
        <f t="shared" si="100"/>
        <v>161.0819079811821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64.511495770630532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64.511495770630532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349.00000000000017</v>
      </c>
      <c r="FF126" s="17">
        <f>FE126*VLOOKUP('Données projet'!$B$16,Paramètres!$A$1:$I$89,3,0)*VLOOKUP('Données projet'!$B$16,Paramètres!$A$1:$I$89,5,0)</f>
        <v>272.22000000000014</v>
      </c>
      <c r="FG126" s="13">
        <f t="shared" si="101"/>
        <v>65.320184547527205</v>
      </c>
      <c r="FH126" s="20">
        <f t="shared" si="76"/>
        <v>587.88248808694345</v>
      </c>
      <c r="FI126" s="59">
        <f t="shared" si="77"/>
        <v>881.21582142027682</v>
      </c>
      <c r="FJ126" s="59">
        <f ca="1">AVERAGE(OFFSET($FI$3,0,0,'Données projet'!$E$16+1,1))-AVERAGE(OFFSET($H$3,0,0,'Données projet'!$E$16+1,1))</f>
        <v>283.77864672734273</v>
      </c>
      <c r="FK126" s="59">
        <f t="shared" si="102"/>
        <v>270.94620935643866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30.340936506953931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30.340936506953931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319</v>
      </c>
      <c r="GA126" s="17">
        <f>FZ126*VLOOKUP('Données projet'!$B$17,Paramètres!$A$1:$I$89,3,0)*VLOOKUP('Données projet'!$B$17,Paramètres!$A$1:$I$89,5,0)</f>
        <v>308.53680000000003</v>
      </c>
      <c r="GB126" s="13">
        <f t="shared" si="103"/>
        <v>72.963171684496103</v>
      </c>
      <c r="GC126" s="20">
        <f t="shared" si="79"/>
        <v>664.4457840171641</v>
      </c>
      <c r="GD126" s="59">
        <f t="shared" si="80"/>
        <v>957.77911735049747</v>
      </c>
      <c r="GE126" s="59">
        <f ca="1">AVERAGE(OFFSET($GD$3,0,0,'Données projet'!$E$17+1,1))-AVERAGE(OFFSET($H$3,0,0,'Données projet'!$E$17+1,1))</f>
        <v>347.54503437087288</v>
      </c>
      <c r="GF126" s="59">
        <f t="shared" si="104"/>
        <v>340.05673244455954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22.378424750655945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22.378424750655945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735.00000000000011</v>
      </c>
      <c r="O127" s="13">
        <f>N127*VLOOKUP('Données projet'!$B$9,Paramètres!$A$1:$I$89,3,0)*VLOOKUP('Données projet'!$B$9,Paramètres!$A$1:$I$89,5,0)</f>
        <v>343.98</v>
      </c>
      <c r="P127" s="13">
        <f t="shared" si="87"/>
        <v>80.321681832084693</v>
      </c>
      <c r="Q127" s="20">
        <f t="shared" si="107"/>
        <v>738.9920958575475</v>
      </c>
      <c r="R127" s="59">
        <f t="shared" si="55"/>
        <v>1032.3254291908809</v>
      </c>
      <c r="S127" s="59">
        <f ca="1">AVERAGE(OFFSET($R$3,0,0,'Données projet'!$E$9+1,1))-AVERAGE(OFFSET($H$3,0,0,'Données projet'!$E$9+1,1))</f>
        <v>342.49944586217674</v>
      </c>
      <c r="T127" s="59">
        <f t="shared" si="88"/>
        <v>282.29766600872563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49.344187448262616</v>
      </c>
      <c r="AA127" s="21">
        <f>EXP(-LN(2)/25)*AA126+(1-EXP(-LN(2)/25))/(LN(2)/25)*Calculateur!V127*Calculateur!X127*VLOOKUP('Données projet'!$B$9,Paramètres!$A$1:$I$89,3,0)*0.475*44/12</f>
        <v>2.9584263284684202</v>
      </c>
      <c r="AB127" s="21">
        <f>EXP(-LN(2)/2)*AB126+(1-EXP(-LN(2)/2))/(LN(2)/2)*V127*Y127*VLOOKUP('Données projet'!$B$9,Paramètres!$A$1:$I$89,3,0)*0.475*44/12</f>
        <v>5.8829021125904232E-16</v>
      </c>
      <c r="AC127" s="22">
        <f t="shared" si="57"/>
        <v>52.302613776731036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739.99999999999966</v>
      </c>
      <c r="AJ127" s="13">
        <f>AI127*VLOOKUP('Données projet'!$B$10,Paramètres!$A$1:$I$89,3,0)*VLOOKUP('Données projet'!$B$10,Paramètres!$A$1:$I$89,5,0)</f>
        <v>413.65999999999985</v>
      </c>
      <c r="AK127" s="13">
        <f t="shared" si="89"/>
        <v>94.540585122244352</v>
      </c>
      <c r="AL127" s="20">
        <f t="shared" si="58"/>
        <v>885.11601908790863</v>
      </c>
      <c r="AM127" s="59">
        <f t="shared" si="59"/>
        <v>1178.4493524212419</v>
      </c>
      <c r="AN127" s="59">
        <f ca="1">AVERAGE(OFFSET($AM$3,0,0,'Données projet'!$E$10+1,1))-AVERAGE(OFFSET($H$3,0,0,'Données projet'!$E$10+1,1))</f>
        <v>490.96084572840579</v>
      </c>
      <c r="AO127" s="59">
        <f t="shared" si="90"/>
        <v>597.91658789908263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34.769491809309038</v>
      </c>
      <c r="AV127" s="21">
        <f>EXP(-LN(2)/25)*AV126+(1-EXP(-LN(2)/25))/(LN(2)/25)*Calculateur!AQ127*Calculateur!AS127*VLOOKUP('Données projet'!$B$10,Paramètres!$A$1:$I$89,3,0)*0.475*44/12</f>
        <v>4.264981832191423</v>
      </c>
      <c r="AW127" s="21">
        <f>EXP(-LN(2)/2)*AW126+(1-EXP(-LN(2)/2))/(LN(2)/2)*AQ127*AT127*VLOOKUP('Données projet'!$B$10,Paramètres!$A$1:$I$89,3,0)*0.475*44/12</f>
        <v>6.0430477812109384E-15</v>
      </c>
      <c r="AX127" s="21">
        <f t="shared" si="60"/>
        <v>39.034473641500469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213.00000000000003</v>
      </c>
      <c r="BE127" s="13">
        <f>BD127*VLOOKUP('Données projet'!$B$11,Paramètres!$A$1:$I$89,3,0)*VLOOKUP('Données projet'!$B$11,Paramètres!$A$1:$I$89,5,0)</f>
        <v>169.46280000000002</v>
      </c>
      <c r="BF127" s="13">
        <f t="shared" si="91"/>
        <v>42.969686502194378</v>
      </c>
      <c r="BG127" s="20">
        <f t="shared" si="61"/>
        <v>369.98658065798855</v>
      </c>
      <c r="BH127" s="59">
        <f t="shared" si="62"/>
        <v>663.31991399132187</v>
      </c>
      <c r="BI127" s="59">
        <f ca="1">AVERAGE(OFFSET($BH$3,0,0,'Données projet'!$E$11+1,1))-AVERAGE(OFFSET($H$3,0,0,'Données projet'!$E$11+1,1))</f>
        <v>167.80254365106839</v>
      </c>
      <c r="BJ127" s="59">
        <f t="shared" si="92"/>
        <v>167.42302164950172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14.023537381084074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14.023537381084074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669.99999999999989</v>
      </c>
      <c r="BZ127" s="13">
        <f>BY127*VLOOKUP('Données projet'!$B$12,Paramètres!$A$1:$I$89,3,0)*VLOOKUP('Données projet'!$B$12,Paramètres!$A$1:$I$89,5,0)</f>
        <v>330.97999999999996</v>
      </c>
      <c r="CA127" s="13">
        <f t="shared" si="93"/>
        <v>77.633451096966454</v>
      </c>
      <c r="CB127" s="20">
        <f t="shared" si="64"/>
        <v>711.66842732721636</v>
      </c>
      <c r="CC127" s="59">
        <f t="shared" si="65"/>
        <v>1005.0017606605497</v>
      </c>
      <c r="CD127" s="59">
        <f ca="1">AVERAGE(OFFSET($CC$3,0,0,'Données projet'!$E$12+1,1))-AVERAGE(OFFSET($H$3,0,0,'Données projet'!$E$12+1,1))</f>
        <v>322.06606384496587</v>
      </c>
      <c r="CE127" s="59">
        <f t="shared" si="94"/>
        <v>267.71713177624713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48.671918980477976</v>
      </c>
      <c r="CL127" s="21">
        <f>EXP(-LN(2)/25)*CL126+(1-EXP(-LN(2)/25))/(LN(2)/25)*Calculateur!CG127*Calculateur!CI127*VLOOKUP('Données projet'!$B$12,Paramètres!$A$1:$I$89,3,0)*0.475*44/12</f>
        <v>1.483952090775035</v>
      </c>
      <c r="CM127" s="21">
        <f>EXP(-LN(2)/2)*CM126+(1-EXP(-LN(2)/2))/(LN(2)/2)*CG127*CJ127*VLOOKUP('Données projet'!$B$12,Paramètres!$A$1:$I$89,3,0)*0.475*44/12</f>
        <v>2.8102030065962055E-14</v>
      </c>
      <c r="CN127" s="22">
        <f t="shared" si="66"/>
        <v>50.155871071253038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401</v>
      </c>
      <c r="CU127" s="17">
        <f>CT127*VLOOKUP('Données projet'!$B$13,Paramètres!$A$1:$I$89,3,0)*VLOOKUP('Données projet'!$B$13,Paramètres!$A$1:$I$89,5,0)</f>
        <v>250.22399999999999</v>
      </c>
      <c r="CV127" s="13">
        <f t="shared" si="95"/>
        <v>60.633904580527918</v>
      </c>
      <c r="CW127" s="20">
        <f t="shared" si="67"/>
        <v>541.41085047775289</v>
      </c>
      <c r="CX127" s="59">
        <f t="shared" si="68"/>
        <v>834.74418381108626</v>
      </c>
      <c r="CY127" s="59">
        <f ca="1">AVERAGE(OFFSET($CX$3,0,0,'Données projet'!$E$13+1,1))-AVERAGE(OFFSET($H$3,0,0,'Données projet'!$E$13+1,1))</f>
        <v>269.77739619445515</v>
      </c>
      <c r="CZ127" s="59">
        <f t="shared" si="96"/>
        <v>347.56964743629885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21.560119602348934</v>
      </c>
      <c r="DG127" s="21">
        <f>EXP(-LN(2)/25)*DG126+(1-EXP(-LN(2)/25))/(LN(2)/25)*Calculateur!DB127*Calculateur!DD127*VLOOKUP('Données projet'!$B$13,Paramètres!$A$1:$I$89,3,0)*0.475*44/12</f>
        <v>6.7716784656123457</v>
      </c>
      <c r="DH127" s="21">
        <f>EXP(-LN(2)/2)*DH126+(1-EXP(-LN(2)/2))/(LN(2)/2)*DB127*DE127*VLOOKUP('Données projet'!$B$13,Paramètres!$A$1:$I$89,3,0)*0.475*44/12</f>
        <v>1.7648706337771255E-16</v>
      </c>
      <c r="DI127" s="22">
        <f t="shared" si="69"/>
        <v>28.33179806796128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669.99999999999989</v>
      </c>
      <c r="DP127" s="17">
        <f>DO127*VLOOKUP('Données projet'!$B$14,Paramètres!$A$1:$I$89,3,0)*VLOOKUP('Données projet'!$B$14,Paramètres!$A$1:$I$89,5,0)</f>
        <v>322.26999999999992</v>
      </c>
      <c r="DQ127" s="13">
        <f t="shared" si="97"/>
        <v>75.825476822885776</v>
      </c>
      <c r="DR127" s="20">
        <f t="shared" si="70"/>
        <v>693.34962213319261</v>
      </c>
      <c r="DS127" s="59">
        <f t="shared" si="71"/>
        <v>986.68295546652598</v>
      </c>
      <c r="DT127" s="59">
        <f ca="1">AVERAGE(OFFSET($DS$3,0,0,'Données projet'!$E$14+1,1))-AVERAGE(OFFSET($H$3,0,0,'Données projet'!$E$14+1,1))</f>
        <v>312.64506496298173</v>
      </c>
      <c r="DU127" s="59">
        <f t="shared" si="98"/>
        <v>259.97532509897508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47.391079007307511</v>
      </c>
      <c r="EB127" s="21">
        <f>EXP(-LN(2)/25)*EB126+(1-EXP(-LN(2)/25))/(LN(2)/25)*Calculateur!DW127*Calculateur!DY127*VLOOKUP('Données projet'!$B$14,Paramètres!$A$1:$I$89,3,0)*0.475*44/12</f>
        <v>1.4449007199651676</v>
      </c>
      <c r="EC127" s="21">
        <f>EXP(-LN(2)/2)*EC126+(1-EXP(-LN(2)/2))/(LN(2)/2)*DW127*DZ127*VLOOKUP('Données projet'!$B$14,Paramètres!$A$1:$I$89,3,0)*0.475*44/12</f>
        <v>2.7362502958962831E-14</v>
      </c>
      <c r="ED127" s="22">
        <f t="shared" si="72"/>
        <v>48.835979727272708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267</v>
      </c>
      <c r="EK127" s="17">
        <f>EJ127*VLOOKUP('Données projet'!$B$15,Paramètres!$A$1:$I$89,3,0)*VLOOKUP('Données projet'!$B$15,Paramètres!$A$1:$I$89,5,0)</f>
        <v>241.58159999999998</v>
      </c>
      <c r="EL127" s="13">
        <f t="shared" si="99"/>
        <v>58.779689232021951</v>
      </c>
      <c r="EM127" s="20">
        <f t="shared" si="73"/>
        <v>523.12924541243819</v>
      </c>
      <c r="EN127" s="59">
        <f t="shared" si="74"/>
        <v>816.46257874577145</v>
      </c>
      <c r="EO127" s="59">
        <f ca="1">AVERAGE(OFFSET($EN$3,0,0,'Données projet'!$E$15+1,1))-AVERAGE(OFFSET($H$3,0,0,'Données projet'!$E$15+1,1))</f>
        <v>269.64423257646359</v>
      </c>
      <c r="EP127" s="59">
        <f t="shared" si="100"/>
        <v>161.0819079811821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63.246464686695582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63.246464686695582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349.00000000000017</v>
      </c>
      <c r="FF127" s="17">
        <f>FE127*VLOOKUP('Données projet'!$B$16,Paramètres!$A$1:$I$89,3,0)*VLOOKUP('Données projet'!$B$16,Paramètres!$A$1:$I$89,5,0)</f>
        <v>272.22000000000014</v>
      </c>
      <c r="FG127" s="13">
        <f t="shared" si="101"/>
        <v>65.320184547527205</v>
      </c>
      <c r="FH127" s="20">
        <f t="shared" si="76"/>
        <v>587.88248808694345</v>
      </c>
      <c r="FI127" s="59">
        <f t="shared" si="77"/>
        <v>881.21582142027682</v>
      </c>
      <c r="FJ127" s="59">
        <f ca="1">AVERAGE(OFFSET($FI$3,0,0,'Données projet'!$E$16+1,1))-AVERAGE(OFFSET($H$3,0,0,'Données projet'!$E$16+1,1))</f>
        <v>283.77864672734273</v>
      </c>
      <c r="FK127" s="59">
        <f t="shared" si="102"/>
        <v>270.94620935643866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29.745969248196502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29.745969248196502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319</v>
      </c>
      <c r="GA127" s="17">
        <f>FZ127*VLOOKUP('Données projet'!$B$17,Paramètres!$A$1:$I$89,3,0)*VLOOKUP('Données projet'!$B$17,Paramètres!$A$1:$I$89,5,0)</f>
        <v>308.53680000000003</v>
      </c>
      <c r="GB127" s="13">
        <f t="shared" si="103"/>
        <v>72.963171684496103</v>
      </c>
      <c r="GC127" s="20">
        <f t="shared" si="79"/>
        <v>664.4457840171641</v>
      </c>
      <c r="GD127" s="59">
        <f t="shared" si="80"/>
        <v>957.77911735049747</v>
      </c>
      <c r="GE127" s="59">
        <f ca="1">AVERAGE(OFFSET($GD$3,0,0,'Données projet'!$E$17+1,1))-AVERAGE(OFFSET($H$3,0,0,'Données projet'!$E$17+1,1))</f>
        <v>347.54503437087288</v>
      </c>
      <c r="GF127" s="59">
        <f t="shared" si="104"/>
        <v>340.05673244455954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21.939597490786905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21.939597490786905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735.00000000000011</v>
      </c>
      <c r="O128" s="13">
        <f>N128*VLOOKUP('Données projet'!$B$9,Paramètres!$A$1:$I$89,3,0)*VLOOKUP('Données projet'!$B$9,Paramètres!$A$1:$I$89,5,0)</f>
        <v>343.98</v>
      </c>
      <c r="P128" s="13">
        <f t="shared" si="87"/>
        <v>80.321681832084693</v>
      </c>
      <c r="Q128" s="20">
        <f t="shared" si="107"/>
        <v>738.9920958575475</v>
      </c>
      <c r="R128" s="59">
        <f t="shared" si="55"/>
        <v>1032.3254291908809</v>
      </c>
      <c r="S128" s="59">
        <f ca="1">AVERAGE(OFFSET($R$3,0,0,'Données projet'!$E$9+1,1))-AVERAGE(OFFSET($H$3,0,0,'Données projet'!$E$9+1,1))</f>
        <v>342.49944586217674</v>
      </c>
      <c r="T128" s="59">
        <f t="shared" si="88"/>
        <v>282.29766600872563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48.376578029384703</v>
      </c>
      <c r="AA128" s="21">
        <f>EXP(-LN(2)/25)*AA127+(1-EXP(-LN(2)/25))/(LN(2)/25)*Calculateur!V128*Calculateur!X128*VLOOKUP('Données projet'!$B$9,Paramètres!$A$1:$I$89,3,0)*0.475*44/12</f>
        <v>2.8775280049395722</v>
      </c>
      <c r="AB128" s="21">
        <f>EXP(-LN(2)/2)*AB127+(1-EXP(-LN(2)/2))/(LN(2)/2)*V128*Y128*VLOOKUP('Données projet'!$B$9,Paramètres!$A$1:$I$89,3,0)*0.475*44/12</f>
        <v>4.1598399768693546E-16</v>
      </c>
      <c r="AC128" s="22">
        <f t="shared" si="57"/>
        <v>51.254106034324273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739.99999999999966</v>
      </c>
      <c r="AJ128" s="13">
        <f>AI128*VLOOKUP('Données projet'!$B$10,Paramètres!$A$1:$I$89,3,0)*VLOOKUP('Données projet'!$B$10,Paramètres!$A$1:$I$89,5,0)</f>
        <v>413.65999999999985</v>
      </c>
      <c r="AK128" s="13">
        <f t="shared" si="89"/>
        <v>94.540585122244352</v>
      </c>
      <c r="AL128" s="20">
        <f t="shared" si="58"/>
        <v>885.11601908790863</v>
      </c>
      <c r="AM128" s="59">
        <f t="shared" si="59"/>
        <v>1178.4493524212419</v>
      </c>
      <c r="AN128" s="59">
        <f ca="1">AVERAGE(OFFSET($AM$3,0,0,'Données projet'!$E$10+1,1))-AVERAGE(OFFSET($H$3,0,0,'Données projet'!$E$10+1,1))</f>
        <v>490.96084572840579</v>
      </c>
      <c r="AO128" s="59">
        <f t="shared" si="90"/>
        <v>597.91658789908263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34.087683282224447</v>
      </c>
      <c r="AV128" s="21">
        <f>EXP(-LN(2)/25)*AV127+(1-EXP(-LN(2)/25))/(LN(2)/25)*Calculateur!AQ128*Calculateur!AS128*VLOOKUP('Données projet'!$B$10,Paramètres!$A$1:$I$89,3,0)*0.475*44/12</f>
        <v>4.148355679704502</v>
      </c>
      <c r="AW128" s="21">
        <f>EXP(-LN(2)/2)*AW127+(1-EXP(-LN(2)/2))/(LN(2)/2)*AQ128*AT128*VLOOKUP('Données projet'!$B$10,Paramètres!$A$1:$I$89,3,0)*0.475*44/12</f>
        <v>4.2730800651285745E-15</v>
      </c>
      <c r="AX128" s="21">
        <f t="shared" si="60"/>
        <v>38.236038961928955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213.00000000000003</v>
      </c>
      <c r="BE128" s="13">
        <f>BD128*VLOOKUP('Données projet'!$B$11,Paramètres!$A$1:$I$89,3,0)*VLOOKUP('Données projet'!$B$11,Paramètres!$A$1:$I$89,5,0)</f>
        <v>169.46280000000002</v>
      </c>
      <c r="BF128" s="13">
        <f t="shared" si="91"/>
        <v>42.969686502194378</v>
      </c>
      <c r="BG128" s="20">
        <f t="shared" si="61"/>
        <v>369.98658065798855</v>
      </c>
      <c r="BH128" s="59">
        <f t="shared" si="62"/>
        <v>663.31991399132187</v>
      </c>
      <c r="BI128" s="59">
        <f ca="1">AVERAGE(OFFSET($BH$3,0,0,'Données projet'!$E$11+1,1))-AVERAGE(OFFSET($H$3,0,0,'Données projet'!$E$11+1,1))</f>
        <v>167.80254365106839</v>
      </c>
      <c r="BJ128" s="59">
        <f t="shared" si="92"/>
        <v>167.42302164950172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13.748544366554228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13.748544366554228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669.99999999999989</v>
      </c>
      <c r="BZ128" s="13">
        <f>BY128*VLOOKUP('Données projet'!$B$12,Paramètres!$A$1:$I$89,3,0)*VLOOKUP('Données projet'!$B$12,Paramètres!$A$1:$I$89,5,0)</f>
        <v>330.97999999999996</v>
      </c>
      <c r="CA128" s="13">
        <f t="shared" si="93"/>
        <v>77.633451096966454</v>
      </c>
      <c r="CB128" s="20">
        <f t="shared" si="64"/>
        <v>711.66842732721636</v>
      </c>
      <c r="CC128" s="59">
        <f t="shared" si="65"/>
        <v>1005.0017606605497</v>
      </c>
      <c r="CD128" s="59">
        <f ca="1">AVERAGE(OFFSET($CC$3,0,0,'Données projet'!$E$12+1,1))-AVERAGE(OFFSET($H$3,0,0,'Données projet'!$E$12+1,1))</f>
        <v>322.06606384496587</v>
      </c>
      <c r="CE128" s="59">
        <f t="shared" si="94"/>
        <v>267.71713177624713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47.717492336210036</v>
      </c>
      <c r="CL128" s="21">
        <f>EXP(-LN(2)/25)*CL127+(1-EXP(-LN(2)/25))/(LN(2)/25)*Calculateur!CG128*Calculateur!CI128*VLOOKUP('Données projet'!$B$12,Paramètres!$A$1:$I$89,3,0)*0.475*44/12</f>
        <v>1.4433733428151427</v>
      </c>
      <c r="CM128" s="21">
        <f>EXP(-LN(2)/2)*CM127+(1-EXP(-LN(2)/2))/(LN(2)/2)*CG128*CJ128*VLOOKUP('Données projet'!$B$12,Paramètres!$A$1:$I$89,3,0)*0.475*44/12</f>
        <v>1.9871136024750011E-14</v>
      </c>
      <c r="CN128" s="22">
        <f t="shared" si="66"/>
        <v>49.1608656790252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401</v>
      </c>
      <c r="CU128" s="17">
        <f>CT128*VLOOKUP('Données projet'!$B$13,Paramètres!$A$1:$I$89,3,0)*VLOOKUP('Données projet'!$B$13,Paramètres!$A$1:$I$89,5,0)</f>
        <v>250.22399999999999</v>
      </c>
      <c r="CV128" s="13">
        <f t="shared" si="95"/>
        <v>60.633904580527918</v>
      </c>
      <c r="CW128" s="20">
        <f t="shared" si="67"/>
        <v>541.41085047775289</v>
      </c>
      <c r="CX128" s="59">
        <f t="shared" si="68"/>
        <v>834.74418381108626</v>
      </c>
      <c r="CY128" s="59">
        <f ca="1">AVERAGE(OFFSET($CX$3,0,0,'Données projet'!$E$13+1,1))-AVERAGE(OFFSET($H$3,0,0,'Données projet'!$E$13+1,1))</f>
        <v>269.77739619445515</v>
      </c>
      <c r="CZ128" s="59">
        <f t="shared" si="96"/>
        <v>347.56964743629885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21.137338807321338</v>
      </c>
      <c r="DG128" s="21">
        <f>EXP(-LN(2)/25)*DG127+(1-EXP(-LN(2)/25))/(LN(2)/25)*Calculateur!DB128*Calculateur!DD128*VLOOKUP('Données projet'!$B$13,Paramètres!$A$1:$I$89,3,0)*0.475*44/12</f>
        <v>6.5865065618630823</v>
      </c>
      <c r="DH128" s="21">
        <f>EXP(-LN(2)/2)*DH127+(1-EXP(-LN(2)/2))/(LN(2)/2)*DB128*DE128*VLOOKUP('Données projet'!$B$13,Paramètres!$A$1:$I$89,3,0)*0.475*44/12</f>
        <v>1.2479519930608053E-16</v>
      </c>
      <c r="DI128" s="22">
        <f t="shared" si="69"/>
        <v>27.723845369184421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669.99999999999989</v>
      </c>
      <c r="DP128" s="17">
        <f>DO128*VLOOKUP('Données projet'!$B$14,Paramètres!$A$1:$I$89,3,0)*VLOOKUP('Données projet'!$B$14,Paramètres!$A$1:$I$89,5,0)</f>
        <v>322.26999999999992</v>
      </c>
      <c r="DQ128" s="13">
        <f t="shared" si="97"/>
        <v>75.825476822885776</v>
      </c>
      <c r="DR128" s="20">
        <f t="shared" si="70"/>
        <v>693.34962213319261</v>
      </c>
      <c r="DS128" s="59">
        <f t="shared" si="71"/>
        <v>986.68295546652598</v>
      </c>
      <c r="DT128" s="59">
        <f ca="1">AVERAGE(OFFSET($DS$3,0,0,'Données projet'!$E$14+1,1))-AVERAGE(OFFSET($H$3,0,0,'Données projet'!$E$14+1,1))</f>
        <v>312.64506496298173</v>
      </c>
      <c r="DU128" s="59">
        <f t="shared" si="98"/>
        <v>259.97532509897508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46.461768853678201</v>
      </c>
      <c r="EB128" s="21">
        <f>EXP(-LN(2)/25)*EB127+(1-EXP(-LN(2)/25))/(LN(2)/25)*Calculateur!DW128*Calculateur!DY128*VLOOKUP('Données projet'!$B$14,Paramètres!$A$1:$I$89,3,0)*0.475*44/12</f>
        <v>1.4053898337936936</v>
      </c>
      <c r="EC128" s="21">
        <f>EXP(-LN(2)/2)*EC127+(1-EXP(-LN(2)/2))/(LN(2)/2)*DW128*DZ128*VLOOKUP('Données projet'!$B$14,Paramètres!$A$1:$I$89,3,0)*0.475*44/12</f>
        <v>1.934821139251959E-14</v>
      </c>
      <c r="ED128" s="22">
        <f t="shared" si="72"/>
        <v>47.867158687471914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267</v>
      </c>
      <c r="EK128" s="17">
        <f>EJ128*VLOOKUP('Données projet'!$B$15,Paramètres!$A$1:$I$89,3,0)*VLOOKUP('Données projet'!$B$15,Paramètres!$A$1:$I$89,5,0)</f>
        <v>241.58159999999998</v>
      </c>
      <c r="EL128" s="13">
        <f t="shared" si="99"/>
        <v>58.779689232021951</v>
      </c>
      <c r="EM128" s="20">
        <f t="shared" si="73"/>
        <v>523.12924541243819</v>
      </c>
      <c r="EN128" s="59">
        <f t="shared" si="74"/>
        <v>816.46257874577145</v>
      </c>
      <c r="EO128" s="59">
        <f ca="1">AVERAGE(OFFSET($EN$3,0,0,'Données projet'!$E$15+1,1))-AVERAGE(OFFSET($H$3,0,0,'Données projet'!$E$15+1,1))</f>
        <v>269.64423257646359</v>
      </c>
      <c r="EP128" s="59">
        <f t="shared" si="100"/>
        <v>161.0819079811821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62.006240090723821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62.006240090723821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349.00000000000017</v>
      </c>
      <c r="FF128" s="17">
        <f>FE128*VLOOKUP('Données projet'!$B$16,Paramètres!$A$1:$I$89,3,0)*VLOOKUP('Données projet'!$B$16,Paramètres!$A$1:$I$89,5,0)</f>
        <v>272.22000000000014</v>
      </c>
      <c r="FG128" s="13">
        <f t="shared" si="101"/>
        <v>65.320184547527205</v>
      </c>
      <c r="FH128" s="20">
        <f t="shared" si="76"/>
        <v>587.88248808694345</v>
      </c>
      <c r="FI128" s="59">
        <f t="shared" si="77"/>
        <v>881.21582142027682</v>
      </c>
      <c r="FJ128" s="59">
        <f ca="1">AVERAGE(OFFSET($FI$3,0,0,'Données projet'!$E$16+1,1))-AVERAGE(OFFSET($H$3,0,0,'Données projet'!$E$16+1,1))</f>
        <v>283.77864672734273</v>
      </c>
      <c r="FK128" s="59">
        <f t="shared" si="102"/>
        <v>270.94620935643866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29.162668934489112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29.162668934489112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319</v>
      </c>
      <c r="GA128" s="17">
        <f>FZ128*VLOOKUP('Données projet'!$B$17,Paramètres!$A$1:$I$89,3,0)*VLOOKUP('Données projet'!$B$17,Paramètres!$A$1:$I$89,5,0)</f>
        <v>308.53680000000003</v>
      </c>
      <c r="GB128" s="13">
        <f t="shared" si="103"/>
        <v>72.963171684496103</v>
      </c>
      <c r="GC128" s="20">
        <f t="shared" si="79"/>
        <v>664.4457840171641</v>
      </c>
      <c r="GD128" s="59">
        <f t="shared" si="80"/>
        <v>957.77911735049747</v>
      </c>
      <c r="GE128" s="59">
        <f ca="1">AVERAGE(OFFSET($GD$3,0,0,'Données projet'!$E$17+1,1))-AVERAGE(OFFSET($H$3,0,0,'Données projet'!$E$17+1,1))</f>
        <v>347.54503437087288</v>
      </c>
      <c r="GF128" s="59">
        <f t="shared" si="104"/>
        <v>340.05673244455954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21.509375365825697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21.509375365825697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735.00000000000011</v>
      </c>
      <c r="O129" s="13">
        <f>N129*VLOOKUP('Données projet'!$B$9,Paramètres!$A$1:$I$89,3,0)*VLOOKUP('Données projet'!$B$9,Paramètres!$A$1:$I$89,5,0)</f>
        <v>343.98</v>
      </c>
      <c r="P129" s="13">
        <f t="shared" si="87"/>
        <v>80.321681832084693</v>
      </c>
      <c r="Q129" s="20">
        <f t="shared" si="107"/>
        <v>738.9920958575475</v>
      </c>
      <c r="R129" s="59">
        <f t="shared" si="55"/>
        <v>1032.3254291908809</v>
      </c>
      <c r="S129" s="59">
        <f ca="1">AVERAGE(OFFSET($R$3,0,0,'Données projet'!$E$9+1,1))-AVERAGE(OFFSET($H$3,0,0,'Données projet'!$E$9+1,1))</f>
        <v>342.49944586217674</v>
      </c>
      <c r="T129" s="59">
        <f t="shared" si="88"/>
        <v>282.29766600872563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47.427942841027516</v>
      </c>
      <c r="AA129" s="21">
        <f>EXP(-LN(2)/25)*AA128+(1-EXP(-LN(2)/25))/(LN(2)/25)*Calculateur!V129*Calculateur!X129*VLOOKUP('Données projet'!$B$9,Paramètres!$A$1:$I$89,3,0)*0.475*44/12</f>
        <v>2.7988418503218786</v>
      </c>
      <c r="AB129" s="21">
        <f>EXP(-LN(2)/2)*AB128+(1-EXP(-LN(2)/2))/(LN(2)/2)*V129*Y129*VLOOKUP('Données projet'!$B$9,Paramètres!$A$1:$I$89,3,0)*0.475*44/12</f>
        <v>2.9414510562952116E-16</v>
      </c>
      <c r="AC129" s="22">
        <f t="shared" si="57"/>
        <v>50.226784691349394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739.99999999999966</v>
      </c>
      <c r="AJ129" s="13">
        <f>AI129*VLOOKUP('Données projet'!$B$10,Paramètres!$A$1:$I$89,3,0)*VLOOKUP('Données projet'!$B$10,Paramètres!$A$1:$I$89,5,0)</f>
        <v>413.65999999999985</v>
      </c>
      <c r="AK129" s="13">
        <f t="shared" si="89"/>
        <v>94.540585122244352</v>
      </c>
      <c r="AL129" s="20">
        <f t="shared" si="58"/>
        <v>885.11601908790863</v>
      </c>
      <c r="AM129" s="59">
        <f t="shared" si="59"/>
        <v>1178.4493524212419</v>
      </c>
      <c r="AN129" s="59">
        <f ca="1">AVERAGE(OFFSET($AM$3,0,0,'Données projet'!$E$10+1,1))-AVERAGE(OFFSET($H$3,0,0,'Données projet'!$E$10+1,1))</f>
        <v>490.96084572840579</v>
      </c>
      <c r="AO129" s="59">
        <f t="shared" si="90"/>
        <v>597.91658789908263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33.419244604493841</v>
      </c>
      <c r="AV129" s="21">
        <f>EXP(-LN(2)/25)*AV128+(1-EXP(-LN(2)/25))/(LN(2)/25)*Calculateur!AQ129*Calculateur!AS129*VLOOKUP('Données projet'!$B$10,Paramètres!$A$1:$I$89,3,0)*0.475*44/12</f>
        <v>4.034918675490438</v>
      </c>
      <c r="AW129" s="21">
        <f>EXP(-LN(2)/2)*AW128+(1-EXP(-LN(2)/2))/(LN(2)/2)*AQ129*AT129*VLOOKUP('Données projet'!$B$10,Paramètres!$A$1:$I$89,3,0)*0.475*44/12</f>
        <v>3.0215238906054692E-15</v>
      </c>
      <c r="AX129" s="21">
        <f t="shared" si="60"/>
        <v>37.454163279984279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213.00000000000003</v>
      </c>
      <c r="BE129" s="13">
        <f>BD129*VLOOKUP('Données projet'!$B$11,Paramètres!$A$1:$I$89,3,0)*VLOOKUP('Données projet'!$B$11,Paramètres!$A$1:$I$89,5,0)</f>
        <v>169.46280000000002</v>
      </c>
      <c r="BF129" s="13">
        <f t="shared" si="91"/>
        <v>42.969686502194378</v>
      </c>
      <c r="BG129" s="20">
        <f t="shared" si="61"/>
        <v>369.98658065798855</v>
      </c>
      <c r="BH129" s="59">
        <f t="shared" si="62"/>
        <v>663.31991399132187</v>
      </c>
      <c r="BI129" s="59">
        <f ca="1">AVERAGE(OFFSET($BH$3,0,0,'Données projet'!$E$11+1,1))-AVERAGE(OFFSET($H$3,0,0,'Données projet'!$E$11+1,1))</f>
        <v>167.80254365106839</v>
      </c>
      <c r="BJ129" s="59">
        <f t="shared" si="92"/>
        <v>167.42302164950172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13.478943797310135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13.478943797310135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669.99999999999989</v>
      </c>
      <c r="BZ129" s="13">
        <f>BY129*VLOOKUP('Données projet'!$B$12,Paramètres!$A$1:$I$89,3,0)*VLOOKUP('Données projet'!$B$12,Paramètres!$A$1:$I$89,5,0)</f>
        <v>330.97999999999996</v>
      </c>
      <c r="CA129" s="13">
        <f t="shared" si="93"/>
        <v>77.633451096966454</v>
      </c>
      <c r="CB129" s="20">
        <f t="shared" si="64"/>
        <v>711.66842732721636</v>
      </c>
      <c r="CC129" s="59">
        <f t="shared" si="65"/>
        <v>1005.0017606605497</v>
      </c>
      <c r="CD129" s="59">
        <f ca="1">AVERAGE(OFFSET($CC$3,0,0,'Données projet'!$E$12+1,1))-AVERAGE(OFFSET($H$3,0,0,'Données projet'!$E$12+1,1))</f>
        <v>322.06606384496587</v>
      </c>
      <c r="CE129" s="59">
        <f t="shared" si="94"/>
        <v>267.71713177624713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46.78178141629342</v>
      </c>
      <c r="CL129" s="21">
        <f>EXP(-LN(2)/25)*CL128+(1-EXP(-LN(2)/25))/(LN(2)/25)*Calculateur!CG129*Calculateur!CI129*VLOOKUP('Données projet'!$B$12,Paramètres!$A$1:$I$89,3,0)*0.475*44/12</f>
        <v>1.4039042228521574</v>
      </c>
      <c r="CM129" s="21">
        <f>EXP(-LN(2)/2)*CM128+(1-EXP(-LN(2)/2))/(LN(2)/2)*CG129*CJ129*VLOOKUP('Données projet'!$B$12,Paramètres!$A$1:$I$89,3,0)*0.475*44/12</f>
        <v>1.4051015032981029E-14</v>
      </c>
      <c r="CN129" s="22">
        <f t="shared" si="66"/>
        <v>48.185685639145589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401</v>
      </c>
      <c r="CU129" s="17">
        <f>CT129*VLOOKUP('Données projet'!$B$13,Paramètres!$A$1:$I$89,3,0)*VLOOKUP('Données projet'!$B$13,Paramètres!$A$1:$I$89,5,0)</f>
        <v>250.22399999999999</v>
      </c>
      <c r="CV129" s="13">
        <f t="shared" si="95"/>
        <v>60.633904580527918</v>
      </c>
      <c r="CW129" s="20">
        <f t="shared" si="67"/>
        <v>541.41085047775289</v>
      </c>
      <c r="CX129" s="59">
        <f t="shared" si="68"/>
        <v>834.74418381108626</v>
      </c>
      <c r="CY129" s="59">
        <f ca="1">AVERAGE(OFFSET($CX$3,0,0,'Données projet'!$E$13+1,1))-AVERAGE(OFFSET($H$3,0,0,'Données projet'!$E$13+1,1))</f>
        <v>269.77739619445515</v>
      </c>
      <c r="CZ129" s="59">
        <f t="shared" si="96"/>
        <v>347.56964743629885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20.722848485813412</v>
      </c>
      <c r="DG129" s="21">
        <f>EXP(-LN(2)/25)*DG128+(1-EXP(-LN(2)/25))/(LN(2)/25)*Calculateur!DB129*Calculateur!DD129*VLOOKUP('Données projet'!$B$13,Paramètres!$A$1:$I$89,3,0)*0.475*44/12</f>
        <v>6.4063981935596095</v>
      </c>
      <c r="DH129" s="21">
        <f>EXP(-LN(2)/2)*DH128+(1-EXP(-LN(2)/2))/(LN(2)/2)*DB129*DE129*VLOOKUP('Données projet'!$B$13,Paramètres!$A$1:$I$89,3,0)*0.475*44/12</f>
        <v>8.8243531688856274E-17</v>
      </c>
      <c r="DI129" s="22">
        <f t="shared" si="69"/>
        <v>27.129246679373022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669.99999999999989</v>
      </c>
      <c r="DP129" s="17">
        <f>DO129*VLOOKUP('Données projet'!$B$14,Paramètres!$A$1:$I$89,3,0)*VLOOKUP('Données projet'!$B$14,Paramètres!$A$1:$I$89,5,0)</f>
        <v>322.26999999999992</v>
      </c>
      <c r="DQ129" s="13">
        <f t="shared" si="97"/>
        <v>75.825476822885776</v>
      </c>
      <c r="DR129" s="20">
        <f t="shared" si="70"/>
        <v>693.34962213319261</v>
      </c>
      <c r="DS129" s="59">
        <f t="shared" si="71"/>
        <v>986.68295546652598</v>
      </c>
      <c r="DT129" s="59">
        <f ca="1">AVERAGE(OFFSET($DS$3,0,0,'Données projet'!$E$14+1,1))-AVERAGE(OFFSET($H$3,0,0,'Données projet'!$E$14+1,1))</f>
        <v>312.64506496298173</v>
      </c>
      <c r="DU129" s="59">
        <f t="shared" si="98"/>
        <v>259.97532509897508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45.550681905338344</v>
      </c>
      <c r="EB129" s="21">
        <f>EXP(-LN(2)/25)*EB128+(1-EXP(-LN(2)/25))/(LN(2)/25)*Calculateur!DW129*Calculateur!DY129*VLOOKUP('Données projet'!$B$14,Paramètres!$A$1:$I$89,3,0)*0.475*44/12</f>
        <v>1.3669593748823659</v>
      </c>
      <c r="EC129" s="21">
        <f>EXP(-LN(2)/2)*EC128+(1-EXP(-LN(2)/2))/(LN(2)/2)*DW129*DZ129*VLOOKUP('Données projet'!$B$14,Paramètres!$A$1:$I$89,3,0)*0.475*44/12</f>
        <v>1.3681251479481416E-14</v>
      </c>
      <c r="ED129" s="22">
        <f t="shared" si="72"/>
        <v>46.917641280220721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267</v>
      </c>
      <c r="EK129" s="17">
        <f>EJ129*VLOOKUP('Données projet'!$B$15,Paramètres!$A$1:$I$89,3,0)*VLOOKUP('Données projet'!$B$15,Paramètres!$A$1:$I$89,5,0)</f>
        <v>241.58159999999998</v>
      </c>
      <c r="EL129" s="13">
        <f t="shared" si="99"/>
        <v>58.779689232021951</v>
      </c>
      <c r="EM129" s="20">
        <f t="shared" si="73"/>
        <v>523.12924541243819</v>
      </c>
      <c r="EN129" s="59">
        <f t="shared" si="74"/>
        <v>816.46257874577145</v>
      </c>
      <c r="EO129" s="59">
        <f ca="1">AVERAGE(OFFSET($EN$3,0,0,'Données projet'!$E$15+1,1))-AVERAGE(OFFSET($H$3,0,0,'Données projet'!$E$15+1,1))</f>
        <v>269.64423257646359</v>
      </c>
      <c r="EP129" s="59">
        <f t="shared" si="100"/>
        <v>161.0819079811821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60.790335542616759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60.790335542616759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349.00000000000017</v>
      </c>
      <c r="FF129" s="17">
        <f>FE129*VLOOKUP('Données projet'!$B$16,Paramètres!$A$1:$I$89,3,0)*VLOOKUP('Données projet'!$B$16,Paramètres!$A$1:$I$89,5,0)</f>
        <v>272.22000000000014</v>
      </c>
      <c r="FG129" s="13">
        <f t="shared" si="101"/>
        <v>65.320184547527205</v>
      </c>
      <c r="FH129" s="20">
        <f t="shared" si="76"/>
        <v>587.88248808694345</v>
      </c>
      <c r="FI129" s="59">
        <f t="shared" si="77"/>
        <v>881.21582142027682</v>
      </c>
      <c r="FJ129" s="59">
        <f ca="1">AVERAGE(OFFSET($FI$3,0,0,'Données projet'!$E$16+1,1))-AVERAGE(OFFSET($H$3,0,0,'Données projet'!$E$16+1,1))</f>
        <v>283.77864672734273</v>
      </c>
      <c r="FK129" s="59">
        <f t="shared" si="102"/>
        <v>270.94620935643866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28.590806784155465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28.590806784155465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319</v>
      </c>
      <c r="GA129" s="17">
        <f>FZ129*VLOOKUP('Données projet'!$B$17,Paramètres!$A$1:$I$89,3,0)*VLOOKUP('Données projet'!$B$17,Paramètres!$A$1:$I$89,5,0)</f>
        <v>308.53680000000003</v>
      </c>
      <c r="GB129" s="13">
        <f t="shared" si="103"/>
        <v>72.963171684496103</v>
      </c>
      <c r="GC129" s="20">
        <f t="shared" si="79"/>
        <v>664.4457840171641</v>
      </c>
      <c r="GD129" s="59">
        <f t="shared" si="80"/>
        <v>957.77911735049747</v>
      </c>
      <c r="GE129" s="59">
        <f ca="1">AVERAGE(OFFSET($GD$3,0,0,'Données projet'!$E$17+1,1))-AVERAGE(OFFSET($H$3,0,0,'Données projet'!$E$17+1,1))</f>
        <v>347.54503437087288</v>
      </c>
      <c r="GF129" s="59">
        <f t="shared" si="104"/>
        <v>340.05673244455954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21.087589634325393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21.087589634325393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735.00000000000011</v>
      </c>
      <c r="O130" s="13">
        <f>N130*VLOOKUP('Données projet'!$B$9,Paramètres!$A$1:$I$89,3,0)*VLOOKUP('Données projet'!$B$9,Paramètres!$A$1:$I$89,5,0)</f>
        <v>343.98</v>
      </c>
      <c r="P130" s="13">
        <f t="shared" si="87"/>
        <v>80.321681832084693</v>
      </c>
      <c r="Q130" s="20">
        <f t="shared" si="107"/>
        <v>738.9920958575475</v>
      </c>
      <c r="R130" s="59">
        <f t="shared" si="55"/>
        <v>1032.3254291908809</v>
      </c>
      <c r="S130" s="59">
        <f ca="1">AVERAGE(OFFSET($R$3,0,0,'Données projet'!$E$9+1,1))-AVERAGE(OFFSET($H$3,0,0,'Données projet'!$E$9+1,1))</f>
        <v>342.49944586217674</v>
      </c>
      <c r="T130" s="59">
        <f t="shared" si="88"/>
        <v>282.29766600872563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46.497909810103678</v>
      </c>
      <c r="AA130" s="21">
        <f>EXP(-LN(2)/25)*AA129+(1-EXP(-LN(2)/25))/(LN(2)/25)*Calculateur!V130*Calculateur!X130*VLOOKUP('Données projet'!$B$9,Paramètres!$A$1:$I$89,3,0)*0.475*44/12</f>
        <v>2.7223073727401306</v>
      </c>
      <c r="AB130" s="21">
        <f>EXP(-LN(2)/2)*AB129+(1-EXP(-LN(2)/2))/(LN(2)/2)*V130*Y130*VLOOKUP('Données projet'!$B$9,Paramètres!$A$1:$I$89,3,0)*0.475*44/12</f>
        <v>2.0799199884346773E-16</v>
      </c>
      <c r="AC130" s="22">
        <f t="shared" si="57"/>
        <v>49.220217182843811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739.99999999999966</v>
      </c>
      <c r="AJ130" s="13">
        <f>AI130*VLOOKUP('Données projet'!$B$10,Paramètres!$A$1:$I$89,3,0)*VLOOKUP('Données projet'!$B$10,Paramètres!$A$1:$I$89,5,0)</f>
        <v>413.65999999999985</v>
      </c>
      <c r="AK130" s="13">
        <f t="shared" si="89"/>
        <v>94.540585122244352</v>
      </c>
      <c r="AL130" s="20">
        <f t="shared" si="58"/>
        <v>885.11601908790863</v>
      </c>
      <c r="AM130" s="59">
        <f t="shared" si="59"/>
        <v>1178.4493524212419</v>
      </c>
      <c r="AN130" s="59">
        <f ca="1">AVERAGE(OFFSET($AM$3,0,0,'Données projet'!$E$10+1,1))-AVERAGE(OFFSET($H$3,0,0,'Données projet'!$E$10+1,1))</f>
        <v>490.96084572840579</v>
      </c>
      <c r="AO130" s="59">
        <f t="shared" si="90"/>
        <v>597.91658789908263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32.763913601526198</v>
      </c>
      <c r="AV130" s="21">
        <f>EXP(-LN(2)/25)*AV129+(1-EXP(-LN(2)/25))/(LN(2)/25)*Calculateur!AQ130*Calculateur!AS130*VLOOKUP('Données projet'!$B$10,Paramètres!$A$1:$I$89,3,0)*0.475*44/12</f>
        <v>3.9245836121220008</v>
      </c>
      <c r="AW130" s="21">
        <f>EXP(-LN(2)/2)*AW129+(1-EXP(-LN(2)/2))/(LN(2)/2)*AQ130*AT130*VLOOKUP('Données projet'!$B$10,Paramètres!$A$1:$I$89,3,0)*0.475*44/12</f>
        <v>2.1365400325642872E-15</v>
      </c>
      <c r="AX130" s="21">
        <f t="shared" si="60"/>
        <v>36.688497213648198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213.00000000000003</v>
      </c>
      <c r="BE130" s="13">
        <f>BD130*VLOOKUP('Données projet'!$B$11,Paramètres!$A$1:$I$89,3,0)*VLOOKUP('Données projet'!$B$11,Paramètres!$A$1:$I$89,5,0)</f>
        <v>169.46280000000002</v>
      </c>
      <c r="BF130" s="13">
        <f t="shared" si="91"/>
        <v>42.969686502194378</v>
      </c>
      <c r="BG130" s="20">
        <f t="shared" si="61"/>
        <v>369.98658065798855</v>
      </c>
      <c r="BH130" s="59">
        <f t="shared" si="62"/>
        <v>663.31991399132187</v>
      </c>
      <c r="BI130" s="59">
        <f ca="1">AVERAGE(OFFSET($BH$3,0,0,'Données projet'!$E$11+1,1))-AVERAGE(OFFSET($H$3,0,0,'Données projet'!$E$11+1,1))</f>
        <v>167.80254365106839</v>
      </c>
      <c r="BJ130" s="59">
        <f t="shared" si="92"/>
        <v>167.42302164950172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13.21462993078881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13.21462993078881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669.99999999999989</v>
      </c>
      <c r="BZ130" s="13">
        <f>BY130*VLOOKUP('Données projet'!$B$12,Paramètres!$A$1:$I$89,3,0)*VLOOKUP('Données projet'!$B$12,Paramètres!$A$1:$I$89,5,0)</f>
        <v>330.97999999999996</v>
      </c>
      <c r="CA130" s="13">
        <f t="shared" si="93"/>
        <v>77.633451096966454</v>
      </c>
      <c r="CB130" s="20">
        <f t="shared" si="64"/>
        <v>711.66842732721636</v>
      </c>
      <c r="CC130" s="59">
        <f t="shared" si="65"/>
        <v>1005.0017606605497</v>
      </c>
      <c r="CD130" s="59">
        <f ca="1">AVERAGE(OFFSET($CC$3,0,0,'Données projet'!$E$12+1,1))-AVERAGE(OFFSET($H$3,0,0,'Données projet'!$E$12+1,1))</f>
        <v>322.06606384496587</v>
      </c>
      <c r="CE130" s="59">
        <f t="shared" si="94"/>
        <v>267.71713177624713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45.864419216789067</v>
      </c>
      <c r="CL130" s="21">
        <f>EXP(-LN(2)/25)*CL129+(1-EXP(-LN(2)/25))/(LN(2)/25)*Calculateur!CG130*Calculateur!CI130*VLOOKUP('Données projet'!$B$12,Paramètres!$A$1:$I$89,3,0)*0.475*44/12</f>
        <v>1.3655143880501508</v>
      </c>
      <c r="CM130" s="21">
        <f>EXP(-LN(2)/2)*CM129+(1-EXP(-LN(2)/2))/(LN(2)/2)*CG130*CJ130*VLOOKUP('Données projet'!$B$12,Paramètres!$A$1:$I$89,3,0)*0.475*44/12</f>
        <v>9.9355680123750072E-15</v>
      </c>
      <c r="CN130" s="22">
        <f t="shared" si="66"/>
        <v>47.229933604839225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401</v>
      </c>
      <c r="CU130" s="17">
        <f>CT130*VLOOKUP('Données projet'!$B$13,Paramètres!$A$1:$I$89,3,0)*VLOOKUP('Données projet'!$B$13,Paramètres!$A$1:$I$89,5,0)</f>
        <v>250.22399999999999</v>
      </c>
      <c r="CV130" s="13">
        <f t="shared" si="95"/>
        <v>60.633904580527918</v>
      </c>
      <c r="CW130" s="20">
        <f t="shared" si="67"/>
        <v>541.41085047775289</v>
      </c>
      <c r="CX130" s="59">
        <f t="shared" si="68"/>
        <v>834.74418381108626</v>
      </c>
      <c r="CY130" s="59">
        <f ca="1">AVERAGE(OFFSET($CX$3,0,0,'Données projet'!$E$13+1,1))-AVERAGE(OFFSET($H$3,0,0,'Données projet'!$E$13+1,1))</f>
        <v>269.77739619445515</v>
      </c>
      <c r="CZ130" s="59">
        <f t="shared" si="96"/>
        <v>347.56964743629885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20.316486066696122</v>
      </c>
      <c r="DG130" s="21">
        <f>EXP(-LN(2)/25)*DG129+(1-EXP(-LN(2)/25))/(LN(2)/25)*Calculateur!DB130*Calculateur!DD130*VLOOKUP('Données projet'!$B$13,Paramètres!$A$1:$I$89,3,0)*0.475*44/12</f>
        <v>6.2312148980588828</v>
      </c>
      <c r="DH130" s="21">
        <f>EXP(-LN(2)/2)*DH129+(1-EXP(-LN(2)/2))/(LN(2)/2)*DB130*DE130*VLOOKUP('Données projet'!$B$13,Paramètres!$A$1:$I$89,3,0)*0.475*44/12</f>
        <v>6.2397599653040265E-17</v>
      </c>
      <c r="DI130" s="22">
        <f t="shared" si="69"/>
        <v>26.547700964755006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669.99999999999989</v>
      </c>
      <c r="DP130" s="17">
        <f>DO130*VLOOKUP('Données projet'!$B$14,Paramètres!$A$1:$I$89,3,0)*VLOOKUP('Données projet'!$B$14,Paramètres!$A$1:$I$89,5,0)</f>
        <v>322.26999999999992</v>
      </c>
      <c r="DQ130" s="13">
        <f t="shared" si="97"/>
        <v>75.825476822885776</v>
      </c>
      <c r="DR130" s="20">
        <f t="shared" si="70"/>
        <v>693.34962213319261</v>
      </c>
      <c r="DS130" s="59">
        <f t="shared" si="71"/>
        <v>986.68295546652598</v>
      </c>
      <c r="DT130" s="59">
        <f ca="1">AVERAGE(OFFSET($DS$3,0,0,'Données projet'!$E$14+1,1))-AVERAGE(OFFSET($H$3,0,0,'Données projet'!$E$14+1,1))</f>
        <v>312.64506496298173</v>
      </c>
      <c r="DU130" s="59">
        <f t="shared" si="98"/>
        <v>259.97532509897508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44.65746081634726</v>
      </c>
      <c r="EB130" s="21">
        <f>EXP(-LN(2)/25)*EB129+(1-EXP(-LN(2)/25))/(LN(2)/25)*Calculateur!DW130*Calculateur!DY130*VLOOKUP('Données projet'!$B$14,Paramètres!$A$1:$I$89,3,0)*0.475*44/12</f>
        <v>1.3295797988909384</v>
      </c>
      <c r="EC130" s="21">
        <f>EXP(-LN(2)/2)*EC129+(1-EXP(-LN(2)/2))/(LN(2)/2)*DW130*DZ130*VLOOKUP('Données projet'!$B$14,Paramètres!$A$1:$I$89,3,0)*0.475*44/12</f>
        <v>9.6741056962597948E-15</v>
      </c>
      <c r="ED130" s="22">
        <f t="shared" si="72"/>
        <v>45.987040615238207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267</v>
      </c>
      <c r="EK130" s="17">
        <f>EJ130*VLOOKUP('Données projet'!$B$15,Paramètres!$A$1:$I$89,3,0)*VLOOKUP('Données projet'!$B$15,Paramètres!$A$1:$I$89,5,0)</f>
        <v>241.58159999999998</v>
      </c>
      <c r="EL130" s="13">
        <f t="shared" si="99"/>
        <v>58.779689232021951</v>
      </c>
      <c r="EM130" s="20">
        <f t="shared" si="73"/>
        <v>523.12924541243819</v>
      </c>
      <c r="EN130" s="59">
        <f t="shared" si="74"/>
        <v>816.46257874577145</v>
      </c>
      <c r="EO130" s="59">
        <f ca="1">AVERAGE(OFFSET($EN$3,0,0,'Données projet'!$E$15+1,1))-AVERAGE(OFFSET($H$3,0,0,'Données projet'!$E$15+1,1))</f>
        <v>269.64423257646359</v>
      </c>
      <c r="EP130" s="59">
        <f t="shared" si="100"/>
        <v>161.0819079811821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59.598274141069531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59.598274141069531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349.00000000000017</v>
      </c>
      <c r="FF130" s="17">
        <f>FE130*VLOOKUP('Données projet'!$B$16,Paramètres!$A$1:$I$89,3,0)*VLOOKUP('Données projet'!$B$16,Paramètres!$A$1:$I$89,5,0)</f>
        <v>272.22000000000014</v>
      </c>
      <c r="FG130" s="13">
        <f t="shared" si="101"/>
        <v>65.320184547527205</v>
      </c>
      <c r="FH130" s="20">
        <f t="shared" si="76"/>
        <v>587.88248808694345</v>
      </c>
      <c r="FI130" s="59">
        <f t="shared" si="77"/>
        <v>881.21582142027682</v>
      </c>
      <c r="FJ130" s="59">
        <f ca="1">AVERAGE(OFFSET($FI$3,0,0,'Données projet'!$E$16+1,1))-AVERAGE(OFFSET($H$3,0,0,'Données projet'!$E$16+1,1))</f>
        <v>283.77864672734273</v>
      </c>
      <c r="FK130" s="59">
        <f t="shared" si="102"/>
        <v>270.94620935643866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28.030158501788389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28.030158501788389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319</v>
      </c>
      <c r="GA130" s="17">
        <f>FZ130*VLOOKUP('Données projet'!$B$17,Paramètres!$A$1:$I$89,3,0)*VLOOKUP('Données projet'!$B$17,Paramètres!$A$1:$I$89,5,0)</f>
        <v>308.53680000000003</v>
      </c>
      <c r="GB130" s="13">
        <f t="shared" si="103"/>
        <v>72.963171684496103</v>
      </c>
      <c r="GC130" s="20">
        <f t="shared" si="79"/>
        <v>664.4457840171641</v>
      </c>
      <c r="GD130" s="59">
        <f t="shared" si="80"/>
        <v>957.77911735049747</v>
      </c>
      <c r="GE130" s="59">
        <f ca="1">AVERAGE(OFFSET($GD$3,0,0,'Données projet'!$E$17+1,1))-AVERAGE(OFFSET($H$3,0,0,'Données projet'!$E$17+1,1))</f>
        <v>347.54503437087288</v>
      </c>
      <c r="GF130" s="59">
        <f t="shared" si="104"/>
        <v>340.05673244455954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20.674074863755916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20.674074863755916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735.00000000000011</v>
      </c>
      <c r="O131" s="13">
        <f>N131*VLOOKUP('Données projet'!$B$9,Paramètres!$A$1:$I$89,3,0)*VLOOKUP('Données projet'!$B$9,Paramètres!$A$1:$I$89,5,0)</f>
        <v>343.98</v>
      </c>
      <c r="P131" s="13">
        <f t="shared" si="87"/>
        <v>80.321681832084693</v>
      </c>
      <c r="Q131" s="20">
        <f t="shared" ref="Q131:Q153" si="108">(O131+P131)*0.475*44/12</f>
        <v>738.9920958575475</v>
      </c>
      <c r="R131" s="59">
        <f t="shared" ref="R131:R194" si="109">Q131+(I131+J131)*44/12</f>
        <v>1032.3254291908809</v>
      </c>
      <c r="S131" s="59">
        <f ca="1">AVERAGE(OFFSET($R$3,0,0,'Données projet'!$E$9+1,1))-AVERAGE(OFFSET($H$3,0,0,'Données projet'!$E$9+1,1))</f>
        <v>342.49944586217674</v>
      </c>
      <c r="T131" s="59">
        <f t="shared" si="88"/>
        <v>282.29766600872563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45.586114159652119</v>
      </c>
      <c r="AA131" s="21">
        <f>EXP(-LN(2)/25)*AA130+(1-EXP(-LN(2)/25))/(LN(2)/25)*Calculateur!V131*Calculateur!X131*VLOOKUP('Données projet'!$B$9,Paramètres!$A$1:$I$89,3,0)*0.475*44/12</f>
        <v>2.6478657344726289</v>
      </c>
      <c r="AB131" s="21">
        <f>EXP(-LN(2)/2)*AB130+(1-EXP(-LN(2)/2))/(LN(2)/2)*V131*Y131*VLOOKUP('Données projet'!$B$9,Paramètres!$A$1:$I$89,3,0)*0.475*44/12</f>
        <v>1.4707255281476058E-16</v>
      </c>
      <c r="AC131" s="22">
        <f t="shared" si="57"/>
        <v>48.233979894124751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739.99999999999966</v>
      </c>
      <c r="AJ131" s="13">
        <f>AI131*VLOOKUP('Données projet'!$B$10,Paramètres!$A$1:$I$89,3,0)*VLOOKUP('Données projet'!$B$10,Paramètres!$A$1:$I$89,5,0)</f>
        <v>413.65999999999985</v>
      </c>
      <c r="AK131" s="13">
        <f t="shared" si="89"/>
        <v>94.540585122244352</v>
      </c>
      <c r="AL131" s="20">
        <f t="shared" si="58"/>
        <v>885.11601908790863</v>
      </c>
      <c r="AM131" s="59">
        <f t="shared" si="59"/>
        <v>1178.4493524212419</v>
      </c>
      <c r="AN131" s="59">
        <f ca="1">AVERAGE(OFFSET($AM$3,0,0,'Données projet'!$E$10+1,1))-AVERAGE(OFFSET($H$3,0,0,'Données projet'!$E$10+1,1))</f>
        <v>490.96084572840579</v>
      </c>
      <c r="AO131" s="59">
        <f t="shared" si="90"/>
        <v>597.91658789908263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32.121433239814309</v>
      </c>
      <c r="AV131" s="21">
        <f>EXP(-LN(2)/25)*AV130+(1-EXP(-LN(2)/25))/(LN(2)/25)*Calculateur!AQ131*Calculateur!AS131*VLOOKUP('Données projet'!$B$10,Paramètres!$A$1:$I$89,3,0)*0.475*44/12</f>
        <v>3.8172656668636424</v>
      </c>
      <c r="AW131" s="21">
        <f>EXP(-LN(2)/2)*AW130+(1-EXP(-LN(2)/2))/(LN(2)/2)*AQ131*AT131*VLOOKUP('Données projet'!$B$10,Paramètres!$A$1:$I$89,3,0)*0.475*44/12</f>
        <v>1.5107619453027346E-15</v>
      </c>
      <c r="AX131" s="21">
        <f t="shared" si="60"/>
        <v>35.938698906677949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213.00000000000003</v>
      </c>
      <c r="BE131" s="13">
        <f>BD131*VLOOKUP('Données projet'!$B$11,Paramètres!$A$1:$I$89,3,0)*VLOOKUP('Données projet'!$B$11,Paramètres!$A$1:$I$89,5,0)</f>
        <v>169.46280000000002</v>
      </c>
      <c r="BF131" s="13">
        <f t="shared" si="91"/>
        <v>42.969686502194378</v>
      </c>
      <c r="BG131" s="20">
        <f t="shared" si="61"/>
        <v>369.98658065798855</v>
      </c>
      <c r="BH131" s="59">
        <f t="shared" si="62"/>
        <v>663.31991399132187</v>
      </c>
      <c r="BI131" s="59">
        <f ca="1">AVERAGE(OFFSET($BH$3,0,0,'Données projet'!$E$11+1,1))-AVERAGE(OFFSET($H$3,0,0,'Données projet'!$E$11+1,1))</f>
        <v>167.80254365106839</v>
      </c>
      <c r="BJ131" s="59">
        <f t="shared" si="92"/>
        <v>167.42302164950172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12.955499097974428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12.955499097974428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669.99999999999989</v>
      </c>
      <c r="BZ131" s="13">
        <f>BY131*VLOOKUP('Données projet'!$B$12,Paramètres!$A$1:$I$89,3,0)*VLOOKUP('Données projet'!$B$12,Paramètres!$A$1:$I$89,5,0)</f>
        <v>330.97999999999996</v>
      </c>
      <c r="CA131" s="13">
        <f t="shared" si="93"/>
        <v>77.633451096966454</v>
      </c>
      <c r="CB131" s="20">
        <f t="shared" si="64"/>
        <v>711.66842732721636</v>
      </c>
      <c r="CC131" s="59">
        <f t="shared" si="65"/>
        <v>1005.0017606605497</v>
      </c>
      <c r="CD131" s="59">
        <f ca="1">AVERAGE(OFFSET($CC$3,0,0,'Données projet'!$E$12+1,1))-AVERAGE(OFFSET($H$3,0,0,'Données projet'!$E$12+1,1))</f>
        <v>322.06606384496587</v>
      </c>
      <c r="CE131" s="59">
        <f t="shared" si="94"/>
        <v>267.71713177624713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44.965045930481303</v>
      </c>
      <c r="CL131" s="21">
        <f>EXP(-LN(2)/25)*CL130+(1-EXP(-LN(2)/25))/(LN(2)/25)*Calculateur!CG131*Calculateur!CI131*VLOOKUP('Données projet'!$B$12,Paramètres!$A$1:$I$89,3,0)*0.475*44/12</f>
        <v>1.3281743252996387</v>
      </c>
      <c r="CM131" s="21">
        <f>EXP(-LN(2)/2)*CM130+(1-EXP(-LN(2)/2))/(LN(2)/2)*CG131*CJ131*VLOOKUP('Données projet'!$B$12,Paramètres!$A$1:$I$89,3,0)*0.475*44/12</f>
        <v>7.0255075164905153E-15</v>
      </c>
      <c r="CN131" s="22">
        <f t="shared" si="66"/>
        <v>46.293220255780952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401</v>
      </c>
      <c r="CU131" s="17">
        <f>CT131*VLOOKUP('Données projet'!$B$13,Paramètres!$A$1:$I$89,3,0)*VLOOKUP('Données projet'!$B$13,Paramètres!$A$1:$I$89,5,0)</f>
        <v>250.22399999999999</v>
      </c>
      <c r="CV131" s="13">
        <f t="shared" si="95"/>
        <v>60.633904580527918</v>
      </c>
      <c r="CW131" s="20">
        <f t="shared" si="67"/>
        <v>541.41085047775289</v>
      </c>
      <c r="CX131" s="59">
        <f t="shared" si="68"/>
        <v>834.74418381108626</v>
      </c>
      <c r="CY131" s="59">
        <f ca="1">AVERAGE(OFFSET($CX$3,0,0,'Données projet'!$E$13+1,1))-AVERAGE(OFFSET($H$3,0,0,'Données projet'!$E$13+1,1))</f>
        <v>269.77739619445515</v>
      </c>
      <c r="CZ131" s="59">
        <f t="shared" si="96"/>
        <v>347.56964743629885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19.91809216676112</v>
      </c>
      <c r="DG131" s="21">
        <f>EXP(-LN(2)/25)*DG130+(1-EXP(-LN(2)/25))/(LN(2)/25)*Calculateur!DB131*Calculateur!DD131*VLOOKUP('Données projet'!$B$13,Paramètres!$A$1:$I$89,3,0)*0.475*44/12</f>
        <v>6.0608219989861132</v>
      </c>
      <c r="DH131" s="21">
        <f>EXP(-LN(2)/2)*DH130+(1-EXP(-LN(2)/2))/(LN(2)/2)*DB131*DE131*VLOOKUP('Données projet'!$B$13,Paramètres!$A$1:$I$89,3,0)*0.475*44/12</f>
        <v>4.4121765844428137E-17</v>
      </c>
      <c r="DI131" s="22">
        <f t="shared" si="69"/>
        <v>25.978914165747234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669.99999999999989</v>
      </c>
      <c r="DP131" s="17">
        <f>DO131*VLOOKUP('Données projet'!$B$14,Paramètres!$A$1:$I$89,3,0)*VLOOKUP('Données projet'!$B$14,Paramètres!$A$1:$I$89,5,0)</f>
        <v>322.26999999999992</v>
      </c>
      <c r="DQ131" s="13">
        <f t="shared" si="97"/>
        <v>75.825476822885776</v>
      </c>
      <c r="DR131" s="20">
        <f t="shared" si="70"/>
        <v>693.34962213319261</v>
      </c>
      <c r="DS131" s="59">
        <f t="shared" si="71"/>
        <v>986.68295546652598</v>
      </c>
      <c r="DT131" s="59">
        <f ca="1">AVERAGE(OFFSET($DS$3,0,0,'Données projet'!$E$14+1,1))-AVERAGE(OFFSET($H$3,0,0,'Données projet'!$E$14+1,1))</f>
        <v>312.64506496298173</v>
      </c>
      <c r="DU131" s="59">
        <f t="shared" si="98"/>
        <v>259.97532509897508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43.781755248100225</v>
      </c>
      <c r="EB131" s="21">
        <f>EXP(-LN(2)/25)*EB130+(1-EXP(-LN(2)/25))/(LN(2)/25)*Calculateur!DW131*Calculateur!DY131*VLOOKUP('Données projet'!$B$14,Paramètres!$A$1:$I$89,3,0)*0.475*44/12</f>
        <v>1.2932223693707028</v>
      </c>
      <c r="EC131" s="21">
        <f>EXP(-LN(2)/2)*EC130+(1-EXP(-LN(2)/2))/(LN(2)/2)*DW131*DZ131*VLOOKUP('Données projet'!$B$14,Paramètres!$A$1:$I$89,3,0)*0.475*44/12</f>
        <v>6.8406257397407078E-15</v>
      </c>
      <c r="ED131" s="22">
        <f t="shared" si="72"/>
        <v>45.074977617470935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267</v>
      </c>
      <c r="EK131" s="17">
        <f>EJ131*VLOOKUP('Données projet'!$B$15,Paramètres!$A$1:$I$89,3,0)*VLOOKUP('Données projet'!$B$15,Paramètres!$A$1:$I$89,5,0)</f>
        <v>241.58159999999998</v>
      </c>
      <c r="EL131" s="13">
        <f t="shared" si="99"/>
        <v>58.779689232021951</v>
      </c>
      <c r="EM131" s="20">
        <f t="shared" si="73"/>
        <v>523.12924541243819</v>
      </c>
      <c r="EN131" s="59">
        <f t="shared" si="74"/>
        <v>816.46257874577145</v>
      </c>
      <c r="EO131" s="59">
        <f ca="1">AVERAGE(OFFSET($EN$3,0,0,'Données projet'!$E$15+1,1))-AVERAGE(OFFSET($H$3,0,0,'Données projet'!$E$15+1,1))</f>
        <v>269.64423257646359</v>
      </c>
      <c r="EP131" s="59">
        <f t="shared" si="100"/>
        <v>161.0819079811821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58.429588336520986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58.429588336520986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349.00000000000017</v>
      </c>
      <c r="FF131" s="17">
        <f>FE131*VLOOKUP('Données projet'!$B$16,Paramètres!$A$1:$I$89,3,0)*VLOOKUP('Données projet'!$B$16,Paramètres!$A$1:$I$89,5,0)</f>
        <v>272.22000000000014</v>
      </c>
      <c r="FG131" s="13">
        <f t="shared" si="101"/>
        <v>65.320184547527205</v>
      </c>
      <c r="FH131" s="20">
        <f t="shared" si="76"/>
        <v>587.88248808694345</v>
      </c>
      <c r="FI131" s="59">
        <f t="shared" si="77"/>
        <v>881.21582142027682</v>
      </c>
      <c r="FJ131" s="59">
        <f ca="1">AVERAGE(OFFSET($FI$3,0,0,'Données projet'!$E$16+1,1))-AVERAGE(OFFSET($H$3,0,0,'Données projet'!$E$16+1,1))</f>
        <v>283.77864672734273</v>
      </c>
      <c r="FK131" s="59">
        <f t="shared" si="102"/>
        <v>270.94620935643866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27.480504190276847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27.480504190276847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319</v>
      </c>
      <c r="GA131" s="17">
        <f>FZ131*VLOOKUP('Données projet'!$B$17,Paramètres!$A$1:$I$89,3,0)*VLOOKUP('Données projet'!$B$17,Paramètres!$A$1:$I$89,5,0)</f>
        <v>308.53680000000003</v>
      </c>
      <c r="GB131" s="13">
        <f t="shared" si="103"/>
        <v>72.963171684496103</v>
      </c>
      <c r="GC131" s="20">
        <f t="shared" si="79"/>
        <v>664.4457840171641</v>
      </c>
      <c r="GD131" s="59">
        <f t="shared" si="80"/>
        <v>957.77911735049747</v>
      </c>
      <c r="GE131" s="59">
        <f ca="1">AVERAGE(OFFSET($GD$3,0,0,'Données projet'!$E$17+1,1))-AVERAGE(OFFSET($H$3,0,0,'Données projet'!$E$17+1,1))</f>
        <v>347.54503437087288</v>
      </c>
      <c r="GF131" s="59">
        <f t="shared" si="104"/>
        <v>340.05673244455954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20.268668865618199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20.268668865618199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735.00000000000011</v>
      </c>
      <c r="O132" s="13">
        <f>N132*VLOOKUP('Données projet'!$B$9,Paramètres!$A$1:$I$89,3,0)*VLOOKUP('Données projet'!$B$9,Paramètres!$A$1:$I$89,5,0)</f>
        <v>343.98</v>
      </c>
      <c r="P132" s="13">
        <f t="shared" si="87"/>
        <v>80.321681832084693</v>
      </c>
      <c r="Q132" s="20">
        <f t="shared" si="108"/>
        <v>738.9920958575475</v>
      </c>
      <c r="R132" s="59">
        <f t="shared" si="109"/>
        <v>1032.3254291908809</v>
      </c>
      <c r="S132" s="59">
        <f ca="1">AVERAGE(OFFSET($R$3,0,0,'Données projet'!$E$9+1,1))-AVERAGE(OFFSET($H$3,0,0,'Données projet'!$E$9+1,1))</f>
        <v>342.49944586217674</v>
      </c>
      <c r="T132" s="59">
        <f t="shared" si="88"/>
        <v>282.29766600872563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44.692198265765484</v>
      </c>
      <c r="AA132" s="21">
        <f>EXP(-LN(2)/25)*AA131+(1-EXP(-LN(2)/25))/(LN(2)/25)*Calculateur!V132*Calculateur!X132*VLOOKUP('Données projet'!$B$9,Paramètres!$A$1:$I$89,3,0)*0.475*44/12</f>
        <v>2.5754597067182674</v>
      </c>
      <c r="AB132" s="21">
        <f>EXP(-LN(2)/2)*AB131+(1-EXP(-LN(2)/2))/(LN(2)/2)*V132*Y132*VLOOKUP('Données projet'!$B$9,Paramètres!$A$1:$I$89,3,0)*0.475*44/12</f>
        <v>1.0399599942173386E-16</v>
      </c>
      <c r="AC132" s="22">
        <f t="shared" ref="AC132:AC153" si="111">SUM(Z132:AB132)</f>
        <v>47.267657972483754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739.99999999999966</v>
      </c>
      <c r="AJ132" s="13">
        <f>AI132*VLOOKUP('Données projet'!$B$10,Paramètres!$A$1:$I$89,3,0)*VLOOKUP('Données projet'!$B$10,Paramètres!$A$1:$I$89,5,0)</f>
        <v>413.65999999999985</v>
      </c>
      <c r="AK132" s="13">
        <f t="shared" si="89"/>
        <v>94.540585122244352</v>
      </c>
      <c r="AL132" s="20">
        <f t="shared" ref="AL132:AL153" si="112">(AJ132+AK132)*0.475*44/12</f>
        <v>885.11601908790863</v>
      </c>
      <c r="AM132" s="59">
        <f t="shared" ref="AM132:AM195" si="113">AL132+(AD132+AE132)*44/12</f>
        <v>1178.4493524212419</v>
      </c>
      <c r="AN132" s="59">
        <f ca="1">AVERAGE(OFFSET($AM$3,0,0,'Données projet'!$E$10+1,1))-AVERAGE(OFFSET($H$3,0,0,'Données projet'!$E$10+1,1))</f>
        <v>490.96084572840579</v>
      </c>
      <c r="AO132" s="59">
        <f t="shared" si="90"/>
        <v>597.91658789908263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31.491551526121263</v>
      </c>
      <c r="AV132" s="21">
        <f>EXP(-LN(2)/25)*AV131+(1-EXP(-LN(2)/25))/(LN(2)/25)*Calculateur!AQ132*Calculateur!AS132*VLOOKUP('Données projet'!$B$10,Paramètres!$A$1:$I$89,3,0)*0.475*44/12</f>
        <v>3.7128823364619792</v>
      </c>
      <c r="AW132" s="21">
        <f>EXP(-LN(2)/2)*AW131+(1-EXP(-LN(2)/2))/(LN(2)/2)*AQ132*AT132*VLOOKUP('Données projet'!$B$10,Paramètres!$A$1:$I$89,3,0)*0.475*44/12</f>
        <v>1.0682700162821436E-15</v>
      </c>
      <c r="AX132" s="21">
        <f t="shared" ref="AX132:AX153" si="114">SUM(AU132:AW132)</f>
        <v>35.204433862583244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213.00000000000003</v>
      </c>
      <c r="BE132" s="13">
        <f>BD132*VLOOKUP('Données projet'!$B$11,Paramètres!$A$1:$I$89,3,0)*VLOOKUP('Données projet'!$B$11,Paramètres!$A$1:$I$89,5,0)</f>
        <v>169.46280000000002</v>
      </c>
      <c r="BF132" s="13">
        <f t="shared" si="91"/>
        <v>42.969686502194378</v>
      </c>
      <c r="BG132" s="20">
        <f t="shared" ref="BG132:BG153" si="115">(BE132+BF132)*0.475*44/12</f>
        <v>369.98658065798855</v>
      </c>
      <c r="BH132" s="59">
        <f t="shared" ref="BH132:BH195" si="116">BG132+(AY132+AZ132)*44/12</f>
        <v>663.31991399132187</v>
      </c>
      <c r="BI132" s="59">
        <f ca="1">AVERAGE(OFFSET($BH$3,0,0,'Données projet'!$E$11+1,1))-AVERAGE(OFFSET($H$3,0,0,'Données projet'!$E$11+1,1))</f>
        <v>167.80254365106839</v>
      </c>
      <c r="BJ132" s="59">
        <f t="shared" si="92"/>
        <v>167.42302164950172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12.701449662737334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12.701449662737334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669.99999999999989</v>
      </c>
      <c r="BZ132" s="13">
        <f>BY132*VLOOKUP('Données projet'!$B$12,Paramètres!$A$1:$I$89,3,0)*VLOOKUP('Données projet'!$B$12,Paramètres!$A$1:$I$89,5,0)</f>
        <v>330.97999999999996</v>
      </c>
      <c r="CA132" s="13">
        <f t="shared" si="93"/>
        <v>77.633451096966454</v>
      </c>
      <c r="CB132" s="20">
        <f t="shared" ref="CB132:CB153" si="118">(BZ132+CA132)*0.475*44/12</f>
        <v>711.66842732721636</v>
      </c>
      <c r="CC132" s="59">
        <f t="shared" ref="CC132:CC195" si="119">CB132+(BT132+BU132)*44/12</f>
        <v>1005.0017606605497</v>
      </c>
      <c r="CD132" s="59">
        <f ca="1">AVERAGE(OFFSET($CC$3,0,0,'Données projet'!$E$12+1,1))-AVERAGE(OFFSET($H$3,0,0,'Données projet'!$E$12+1,1))</f>
        <v>322.06606384496587</v>
      </c>
      <c r="CE132" s="59">
        <f t="shared" si="94"/>
        <v>267.71713177624713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44.083308805754491</v>
      </c>
      <c r="CL132" s="21">
        <f>EXP(-LN(2)/25)*CL131+(1-EXP(-LN(2)/25))/(LN(2)/25)*Calculateur!CG132*Calculateur!CI132*VLOOKUP('Données projet'!$B$12,Paramètres!$A$1:$I$89,3,0)*0.475*44/12</f>
        <v>1.291855328528668</v>
      </c>
      <c r="CM132" s="21">
        <f>EXP(-LN(2)/2)*CM131+(1-EXP(-LN(2)/2))/(LN(2)/2)*CG132*CJ132*VLOOKUP('Données projet'!$B$12,Paramètres!$A$1:$I$89,3,0)*0.475*44/12</f>
        <v>4.9677840061875044E-15</v>
      </c>
      <c r="CN132" s="22">
        <f t="shared" ref="CN132:CN153" si="120">SUM(CK132:CM132)</f>
        <v>45.375164134283168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401</v>
      </c>
      <c r="CU132" s="17">
        <f>CT132*VLOOKUP('Données projet'!$B$13,Paramètres!$A$1:$I$89,3,0)*VLOOKUP('Données projet'!$B$13,Paramètres!$A$1:$I$89,5,0)</f>
        <v>250.22399999999999</v>
      </c>
      <c r="CV132" s="13">
        <f t="shared" si="95"/>
        <v>60.633904580527918</v>
      </c>
      <c r="CW132" s="20">
        <f t="shared" ref="CW132:CW153" si="121">(CU132+CV132)*0.475*44/12</f>
        <v>541.41085047775289</v>
      </c>
      <c r="CX132" s="59">
        <f t="shared" ref="CX132:CX195" si="122">CW132+(CO132+CP132)*44/12</f>
        <v>834.74418381108626</v>
      </c>
      <c r="CY132" s="59">
        <f ca="1">AVERAGE(OFFSET($CX$3,0,0,'Données projet'!$E$13+1,1))-AVERAGE(OFFSET($H$3,0,0,'Données projet'!$E$13+1,1))</f>
        <v>269.77739619445515</v>
      </c>
      <c r="CZ132" s="59">
        <f t="shared" si="96"/>
        <v>347.56964743629885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19.527510528207557</v>
      </c>
      <c r="DG132" s="21">
        <f>EXP(-LN(2)/25)*DG131+(1-EXP(-LN(2)/25))/(LN(2)/25)*Calculateur!DB132*Calculateur!DD132*VLOOKUP('Données projet'!$B$13,Paramètres!$A$1:$I$89,3,0)*0.475*44/12</f>
        <v>5.8950885026990614</v>
      </c>
      <c r="DH132" s="21">
        <f>EXP(-LN(2)/2)*DH131+(1-EXP(-LN(2)/2))/(LN(2)/2)*DB132*DE132*VLOOKUP('Données projet'!$B$13,Paramètres!$A$1:$I$89,3,0)*0.475*44/12</f>
        <v>3.1198799826520132E-17</v>
      </c>
      <c r="DI132" s="22">
        <f t="shared" ref="DI132:DI153" si="123">SUM(DF132:DH132)</f>
        <v>25.422599030906618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669.99999999999989</v>
      </c>
      <c r="DP132" s="17">
        <f>DO132*VLOOKUP('Données projet'!$B$14,Paramètres!$A$1:$I$89,3,0)*VLOOKUP('Données projet'!$B$14,Paramètres!$A$1:$I$89,5,0)</f>
        <v>322.26999999999992</v>
      </c>
      <c r="DQ132" s="13">
        <f t="shared" si="97"/>
        <v>75.825476822885776</v>
      </c>
      <c r="DR132" s="20">
        <f t="shared" ref="DR132:DR153" si="124">(DP132+DQ132)*0.475*44/12</f>
        <v>693.34962213319261</v>
      </c>
      <c r="DS132" s="59">
        <f t="shared" ref="DS132:DS195" si="125">DR132+(DJ132+DK132)*44/12</f>
        <v>986.68295546652598</v>
      </c>
      <c r="DT132" s="59">
        <f ca="1">AVERAGE(OFFSET($DS$3,0,0,'Données projet'!$E$14+1,1))-AVERAGE(OFFSET($H$3,0,0,'Données projet'!$E$14+1,1))</f>
        <v>312.64506496298173</v>
      </c>
      <c r="DU132" s="59">
        <f t="shared" si="98"/>
        <v>259.97532509897508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42.923221731918858</v>
      </c>
      <c r="EB132" s="21">
        <f>EXP(-LN(2)/25)*EB131+(1-EXP(-LN(2)/25))/(LN(2)/25)*Calculateur!DW132*Calculateur!DY132*VLOOKUP('Données projet'!$B$14,Paramètres!$A$1:$I$89,3,0)*0.475*44/12</f>
        <v>1.2578591356726523</v>
      </c>
      <c r="EC132" s="21">
        <f>EXP(-LN(2)/2)*EC131+(1-EXP(-LN(2)/2))/(LN(2)/2)*DW132*DZ132*VLOOKUP('Données projet'!$B$14,Paramètres!$A$1:$I$89,3,0)*0.475*44/12</f>
        <v>4.8370528481298974E-15</v>
      </c>
      <c r="ED132" s="22">
        <f t="shared" ref="ED132:ED153" si="126">SUM(EA132:EC132)</f>
        <v>44.181080867591518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267</v>
      </c>
      <c r="EK132" s="17">
        <f>EJ132*VLOOKUP('Données projet'!$B$15,Paramètres!$A$1:$I$89,3,0)*VLOOKUP('Données projet'!$B$15,Paramètres!$A$1:$I$89,5,0)</f>
        <v>241.58159999999998</v>
      </c>
      <c r="EL132" s="13">
        <f t="shared" si="99"/>
        <v>58.779689232021951</v>
      </c>
      <c r="EM132" s="20">
        <f t="shared" ref="EM132:EM153" si="127">(EK132+EL132)*0.475*44/12</f>
        <v>523.12924541243819</v>
      </c>
      <c r="EN132" s="59">
        <f t="shared" ref="EN132:EN195" si="128">EM132+(EE132+EF132)*44/12</f>
        <v>816.46257874577145</v>
      </c>
      <c r="EO132" s="59">
        <f ca="1">AVERAGE(OFFSET($EN$3,0,0,'Données projet'!$E$15+1,1))-AVERAGE(OFFSET($H$3,0,0,'Données projet'!$E$15+1,1))</f>
        <v>269.64423257646359</v>
      </c>
      <c r="EP132" s="59">
        <f t="shared" si="100"/>
        <v>161.0819079811821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57.28381974777168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57.28381974777168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349.00000000000017</v>
      </c>
      <c r="FF132" s="17">
        <f>FE132*VLOOKUP('Données projet'!$B$16,Paramètres!$A$1:$I$89,3,0)*VLOOKUP('Données projet'!$B$16,Paramètres!$A$1:$I$89,5,0)</f>
        <v>272.22000000000014</v>
      </c>
      <c r="FG132" s="13">
        <f t="shared" si="101"/>
        <v>65.320184547527205</v>
      </c>
      <c r="FH132" s="20">
        <f t="shared" ref="FH132:FH153" si="130">(FF132+FG132)*0.475*44/12</f>
        <v>587.88248808694345</v>
      </c>
      <c r="FI132" s="59">
        <f t="shared" ref="FI132:FI195" si="131">FH132+(EZ132+FA132)*44/12</f>
        <v>881.21582142027682</v>
      </c>
      <c r="FJ132" s="59">
        <f ca="1">AVERAGE(OFFSET($FI$3,0,0,'Données projet'!$E$16+1,1))-AVERAGE(OFFSET($H$3,0,0,'Données projet'!$E$16+1,1))</f>
        <v>283.77864672734273</v>
      </c>
      <c r="FK132" s="59">
        <f t="shared" si="102"/>
        <v>270.94620935643866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26.941628264558016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26.941628264558016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319</v>
      </c>
      <c r="GA132" s="17">
        <f>FZ132*VLOOKUP('Données projet'!$B$17,Paramètres!$A$1:$I$89,3,0)*VLOOKUP('Données projet'!$B$17,Paramètres!$A$1:$I$89,5,0)</f>
        <v>308.53680000000003</v>
      </c>
      <c r="GB132" s="13">
        <f t="shared" si="103"/>
        <v>72.963171684496103</v>
      </c>
      <c r="GC132" s="20">
        <f t="shared" ref="GC132:GC153" si="133">(GA132+GB132)*0.475*44/12</f>
        <v>664.4457840171641</v>
      </c>
      <c r="GD132" s="59">
        <f t="shared" ref="GD132:GD195" si="134">GC132+(FU132+FV132)*44/12</f>
        <v>957.77911735049747</v>
      </c>
      <c r="GE132" s="59">
        <f ca="1">AVERAGE(OFFSET($GD$3,0,0,'Données projet'!$E$17+1,1))-AVERAGE(OFFSET($H$3,0,0,'Données projet'!$E$17+1,1))</f>
        <v>347.54503437087288</v>
      </c>
      <c r="GF132" s="59">
        <f t="shared" si="104"/>
        <v>340.05673244455954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19.871212631830723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19.871212631830723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735.00000000000011</v>
      </c>
      <c r="O133" s="13">
        <f>N133*VLOOKUP('Données projet'!$B$9,Paramètres!$A$1:$I$89,3,0)*VLOOKUP('Données projet'!$B$9,Paramètres!$A$1:$I$89,5,0)</f>
        <v>343.98</v>
      </c>
      <c r="P133" s="13">
        <f t="shared" ref="P133:P196" si="141">EXP(-1.0587+0.8836*LN(O133)+0.284)</f>
        <v>80.321681832084693</v>
      </c>
      <c r="Q133" s="20">
        <f t="shared" si="108"/>
        <v>738.9920958575475</v>
      </c>
      <c r="R133" s="59">
        <f t="shared" si="109"/>
        <v>1032.3254291908809</v>
      </c>
      <c r="S133" s="59">
        <f ca="1">AVERAGE(OFFSET($R$3,0,0,'Données projet'!$E$9+1,1))-AVERAGE(OFFSET($H$3,0,0,'Données projet'!$E$9+1,1))</f>
        <v>342.49944586217674</v>
      </c>
      <c r="T133" s="59">
        <f t="shared" ref="T133:T196" si="142">$T$3</f>
        <v>282.29766600872563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43.815811517323105</v>
      </c>
      <c r="AA133" s="21">
        <f>EXP(-LN(2)/25)*AA132+(1-EXP(-LN(2)/25))/(LN(2)/25)*Calculateur!V133*Calculateur!X133*VLOOKUP('Données projet'!$B$9,Paramètres!$A$1:$I$89,3,0)*0.475*44/12</f>
        <v>2.5050336256005168</v>
      </c>
      <c r="AB133" s="21">
        <f>EXP(-LN(2)/2)*AB132+(1-EXP(-LN(2)/2))/(LN(2)/2)*V133*Y133*VLOOKUP('Données projet'!$B$9,Paramètres!$A$1:$I$89,3,0)*0.475*44/12</f>
        <v>7.353627640738029E-17</v>
      </c>
      <c r="AC133" s="22">
        <f t="shared" si="111"/>
        <v>46.320845142923623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739.99999999999966</v>
      </c>
      <c r="AJ133" s="13">
        <f>AI133*VLOOKUP('Données projet'!$B$10,Paramètres!$A$1:$I$89,3,0)*VLOOKUP('Données projet'!$B$10,Paramètres!$A$1:$I$89,5,0)</f>
        <v>413.65999999999985</v>
      </c>
      <c r="AK133" s="13">
        <f t="shared" ref="AK133:AK153" si="143">EXP(-1.0587+0.8836*LN(AJ133)+0.284)</f>
        <v>94.540585122244352</v>
      </c>
      <c r="AL133" s="20">
        <f t="shared" si="112"/>
        <v>885.11601908790863</v>
      </c>
      <c r="AM133" s="59">
        <f t="shared" si="113"/>
        <v>1178.4493524212419</v>
      </c>
      <c r="AN133" s="59">
        <f ca="1">AVERAGE(OFFSET($AM$3,0,0,'Données projet'!$E$10+1,1))-AVERAGE(OFFSET($H$3,0,0,'Données projet'!$E$10+1,1))</f>
        <v>490.96084572840579</v>
      </c>
      <c r="AO133" s="59">
        <f t="shared" ref="AO133:AO196" si="144">$AO$3</f>
        <v>597.91658789908263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30.874021408643827</v>
      </c>
      <c r="AV133" s="21">
        <f>EXP(-LN(2)/25)*AV132+(1-EXP(-LN(2)/25))/(LN(2)/25)*Calculateur!AQ133*Calculateur!AS133*VLOOKUP('Données projet'!$B$10,Paramètres!$A$1:$I$89,3,0)*0.475*44/12</f>
        <v>3.6113533737194303</v>
      </c>
      <c r="AW133" s="21">
        <f>EXP(-LN(2)/2)*AW132+(1-EXP(-LN(2)/2))/(LN(2)/2)*AQ133*AT133*VLOOKUP('Données projet'!$B$10,Paramètres!$A$1:$I$89,3,0)*0.475*44/12</f>
        <v>7.553809726513673E-16</v>
      </c>
      <c r="AX133" s="21">
        <f t="shared" si="114"/>
        <v>34.485374782363259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213.00000000000003</v>
      </c>
      <c r="BE133" s="13">
        <f>BD133*VLOOKUP('Données projet'!$B$11,Paramètres!$A$1:$I$89,3,0)*VLOOKUP('Données projet'!$B$11,Paramètres!$A$1:$I$89,5,0)</f>
        <v>169.46280000000002</v>
      </c>
      <c r="BF133" s="13">
        <f t="shared" ref="BF133:BF153" si="145">EXP(-1.0587+0.8836*LN(BE133)+0.284)</f>
        <v>42.969686502194378</v>
      </c>
      <c r="BG133" s="20">
        <f t="shared" si="115"/>
        <v>369.98658065798855</v>
      </c>
      <c r="BH133" s="59">
        <f t="shared" si="116"/>
        <v>663.31991399132187</v>
      </c>
      <c r="BI133" s="59">
        <f ca="1">AVERAGE(OFFSET($BH$3,0,0,'Données projet'!$E$11+1,1))-AVERAGE(OFFSET($H$3,0,0,'Données projet'!$E$11+1,1))</f>
        <v>167.80254365106839</v>
      </c>
      <c r="BJ133" s="59">
        <f t="shared" ref="BJ133:BJ196" si="146">$BJ$3</f>
        <v>167.42302164950172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12.452381981970385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12.452381981970385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669.99999999999989</v>
      </c>
      <c r="BZ133" s="13">
        <f>BY133*VLOOKUP('Données projet'!$B$12,Paramètres!$A$1:$I$89,3,0)*VLOOKUP('Données projet'!$B$12,Paramètres!$A$1:$I$89,5,0)</f>
        <v>330.97999999999996</v>
      </c>
      <c r="CA133" s="13">
        <f t="shared" ref="CA133:CA153" si="147">EXP(-1.0587+0.8836*LN(BZ133)+0.284)</f>
        <v>77.633451096966454</v>
      </c>
      <c r="CB133" s="20">
        <f t="shared" si="118"/>
        <v>711.66842732721636</v>
      </c>
      <c r="CC133" s="59">
        <f t="shared" si="119"/>
        <v>1005.0017606605497</v>
      </c>
      <c r="CD133" s="59">
        <f ca="1">AVERAGE(OFFSET($CC$3,0,0,'Données projet'!$E$12+1,1))-AVERAGE(OFFSET($H$3,0,0,'Données projet'!$E$12+1,1))</f>
        <v>322.06606384496587</v>
      </c>
      <c r="CE133" s="59">
        <f t="shared" ref="CE133:CE196" si="148">$CE$3</f>
        <v>267.71713177624713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43.218862008237032</v>
      </c>
      <c r="CL133" s="21">
        <f>EXP(-LN(2)/25)*CL132+(1-EXP(-LN(2)/25))/(LN(2)/25)*Calculateur!CG133*Calculateur!CI133*VLOOKUP('Données projet'!$B$12,Paramètres!$A$1:$I$89,3,0)*0.475*44/12</f>
        <v>1.2565294766343325</v>
      </c>
      <c r="CM133" s="21">
        <f>EXP(-LN(2)/2)*CM132+(1-EXP(-LN(2)/2))/(LN(2)/2)*CG133*CJ133*VLOOKUP('Données projet'!$B$12,Paramètres!$A$1:$I$89,3,0)*0.475*44/12</f>
        <v>3.5127537582452584E-15</v>
      </c>
      <c r="CN133" s="22">
        <f t="shared" si="120"/>
        <v>44.475391484871366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401</v>
      </c>
      <c r="CU133" s="17">
        <f>CT133*VLOOKUP('Données projet'!$B$13,Paramètres!$A$1:$I$89,3,0)*VLOOKUP('Données projet'!$B$13,Paramètres!$A$1:$I$89,5,0)</f>
        <v>250.22399999999999</v>
      </c>
      <c r="CV133" s="13">
        <f t="shared" ref="CV133:CV153" si="149">EXP(-1.0587+0.8836*LN(CU133)+0.284)</f>
        <v>60.633904580527918</v>
      </c>
      <c r="CW133" s="20">
        <f t="shared" si="121"/>
        <v>541.41085047775289</v>
      </c>
      <c r="CX133" s="59">
        <f t="shared" si="122"/>
        <v>834.74418381108626</v>
      </c>
      <c r="CY133" s="59">
        <f ca="1">AVERAGE(OFFSET($CX$3,0,0,'Données projet'!$E$13+1,1))-AVERAGE(OFFSET($H$3,0,0,'Données projet'!$E$13+1,1))</f>
        <v>269.77739619445515</v>
      </c>
      <c r="CZ133" s="59">
        <f t="shared" ref="CZ133:CZ196" si="150">$CZ$3</f>
        <v>347.56964743629885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19.144587957354755</v>
      </c>
      <c r="DG133" s="21">
        <f>EXP(-LN(2)/25)*DG132+(1-EXP(-LN(2)/25))/(LN(2)/25)*Calculateur!DB133*Calculateur!DD133*VLOOKUP('Données projet'!$B$13,Paramètres!$A$1:$I$89,3,0)*0.475*44/12</f>
        <v>5.7338869975835243</v>
      </c>
      <c r="DH133" s="21">
        <f>EXP(-LN(2)/2)*DH132+(1-EXP(-LN(2)/2))/(LN(2)/2)*DB133*DE133*VLOOKUP('Données projet'!$B$13,Paramètres!$A$1:$I$89,3,0)*0.475*44/12</f>
        <v>2.2060882922214069E-17</v>
      </c>
      <c r="DI133" s="22">
        <f t="shared" si="123"/>
        <v>24.87847495493828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669.99999999999989</v>
      </c>
      <c r="DP133" s="17">
        <f>DO133*VLOOKUP('Données projet'!$B$14,Paramètres!$A$1:$I$89,3,0)*VLOOKUP('Données projet'!$B$14,Paramètres!$A$1:$I$89,5,0)</f>
        <v>322.26999999999992</v>
      </c>
      <c r="DQ133" s="13">
        <f t="shared" ref="DQ133:DQ153" si="151">EXP(-1.0587+0.8836*LN(DP133)+0.284)</f>
        <v>75.825476822885776</v>
      </c>
      <c r="DR133" s="20">
        <f t="shared" si="124"/>
        <v>693.34962213319261</v>
      </c>
      <c r="DS133" s="59">
        <f t="shared" si="125"/>
        <v>986.68295546652598</v>
      </c>
      <c r="DT133" s="59">
        <f ca="1">AVERAGE(OFFSET($DS$3,0,0,'Données projet'!$E$14+1,1))-AVERAGE(OFFSET($H$3,0,0,'Données projet'!$E$14+1,1))</f>
        <v>312.64506496298173</v>
      </c>
      <c r="DU133" s="59">
        <f t="shared" ref="DU133:DU196" si="152">$DU$3</f>
        <v>259.97532509897508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42.081523534336071</v>
      </c>
      <c r="EB133" s="21">
        <f>EXP(-LN(2)/25)*EB132+(1-EXP(-LN(2)/25))/(LN(2)/25)*Calculateur!DW133*Calculateur!DY133*VLOOKUP('Données projet'!$B$14,Paramètres!$A$1:$I$89,3,0)*0.475*44/12</f>
        <v>1.2234629114597466</v>
      </c>
      <c r="EC133" s="21">
        <f>EXP(-LN(2)/2)*EC132+(1-EXP(-LN(2)/2))/(LN(2)/2)*DW133*DZ133*VLOOKUP('Données projet'!$B$14,Paramètres!$A$1:$I$89,3,0)*0.475*44/12</f>
        <v>3.4203128698703539E-15</v>
      </c>
      <c r="ED133" s="22">
        <f t="shared" si="126"/>
        <v>43.304986445795819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267</v>
      </c>
      <c r="EK133" s="17">
        <f>EJ133*VLOOKUP('Données projet'!$B$15,Paramètres!$A$1:$I$89,3,0)*VLOOKUP('Données projet'!$B$15,Paramètres!$A$1:$I$89,5,0)</f>
        <v>241.58159999999998</v>
      </c>
      <c r="EL133" s="13">
        <f t="shared" ref="EL133:EL153" si="153">EXP(-1.0587+0.8836*LN(EK133)+0.284)</f>
        <v>58.779689232021951</v>
      </c>
      <c r="EM133" s="20">
        <f t="shared" si="127"/>
        <v>523.12924541243819</v>
      </c>
      <c r="EN133" s="59">
        <f t="shared" si="128"/>
        <v>816.46257874577145</v>
      </c>
      <c r="EO133" s="59">
        <f ca="1">AVERAGE(OFFSET($EN$3,0,0,'Données projet'!$E$15+1,1))-AVERAGE(OFFSET($H$3,0,0,'Données projet'!$E$15+1,1))</f>
        <v>269.64423257646359</v>
      </c>
      <c r="EP133" s="59">
        <f t="shared" ref="EP133:EP196" si="154">$EP$3</f>
        <v>161.0819079811821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56.160518982197914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56.160518982197914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349.00000000000017</v>
      </c>
      <c r="FF133" s="17">
        <f>FE133*VLOOKUP('Données projet'!$B$16,Paramètres!$A$1:$I$89,3,0)*VLOOKUP('Données projet'!$B$16,Paramètres!$A$1:$I$89,5,0)</f>
        <v>272.22000000000014</v>
      </c>
      <c r="FG133" s="13">
        <f t="shared" ref="FG133:FG153" si="155">EXP(-1.0587+0.8836*LN(FF133)+0.284)</f>
        <v>65.320184547527205</v>
      </c>
      <c r="FH133" s="20">
        <f t="shared" si="130"/>
        <v>587.88248808694345</v>
      </c>
      <c r="FI133" s="59">
        <f t="shared" si="131"/>
        <v>881.21582142027682</v>
      </c>
      <c r="FJ133" s="59">
        <f ca="1">AVERAGE(OFFSET($FI$3,0,0,'Données projet'!$E$16+1,1))-AVERAGE(OFFSET($H$3,0,0,'Données projet'!$E$16+1,1))</f>
        <v>283.77864672734273</v>
      </c>
      <c r="FK133" s="59">
        <f t="shared" ref="FK133:FK196" si="156">$FK$3</f>
        <v>270.94620935643866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26.413319367060673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26.413319367060673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319</v>
      </c>
      <c r="GA133" s="17">
        <f>FZ133*VLOOKUP('Données projet'!$B$17,Paramètres!$A$1:$I$89,3,0)*VLOOKUP('Données projet'!$B$17,Paramètres!$A$1:$I$89,5,0)</f>
        <v>308.53680000000003</v>
      </c>
      <c r="GB133" s="13">
        <f t="shared" ref="GB133:GB153" si="157">EXP(-1.0587+0.8836*LN(GA133)+0.284)</f>
        <v>72.963171684496103</v>
      </c>
      <c r="GC133" s="20">
        <f t="shared" si="133"/>
        <v>664.4457840171641</v>
      </c>
      <c r="GD133" s="59">
        <f t="shared" si="134"/>
        <v>957.77911735049747</v>
      </c>
      <c r="GE133" s="59">
        <f ca="1">AVERAGE(OFFSET($GD$3,0,0,'Données projet'!$E$17+1,1))-AVERAGE(OFFSET($H$3,0,0,'Données projet'!$E$17+1,1))</f>
        <v>347.54503437087288</v>
      </c>
      <c r="GF133" s="59">
        <f t="shared" ref="GF133:GF196" si="158">$GF$3</f>
        <v>340.05673244455954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19.481550272363453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19.481550272363453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735.00000000000011</v>
      </c>
      <c r="O134" s="13">
        <f>N134*VLOOKUP('Données projet'!$B$9,Paramètres!$A$1:$I$89,3,0)*VLOOKUP('Données projet'!$B$9,Paramètres!$A$1:$I$89,5,0)</f>
        <v>343.98</v>
      </c>
      <c r="P134" s="13">
        <f t="shared" si="141"/>
        <v>80.321681832084693</v>
      </c>
      <c r="Q134" s="20">
        <f t="shared" si="108"/>
        <v>738.9920958575475</v>
      </c>
      <c r="R134" s="59">
        <f t="shared" si="109"/>
        <v>1032.3254291908809</v>
      </c>
      <c r="S134" s="59">
        <f ca="1">AVERAGE(OFFSET($R$3,0,0,'Données projet'!$E$9+1,1))-AVERAGE(OFFSET($H$3,0,0,'Données projet'!$E$9+1,1))</f>
        <v>342.49944586217674</v>
      </c>
      <c r="T134" s="59">
        <f t="shared" si="142"/>
        <v>282.29766600872563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42.956610178474548</v>
      </c>
      <c r="AA134" s="21">
        <f>EXP(-LN(2)/25)*AA133+(1-EXP(-LN(2)/25))/(LN(2)/25)*Calculateur!V134*Calculateur!X134*VLOOKUP('Données projet'!$B$9,Paramètres!$A$1:$I$89,3,0)*0.475*44/12</f>
        <v>2.4365333493744776</v>
      </c>
      <c r="AB134" s="21">
        <f>EXP(-LN(2)/2)*AB133+(1-EXP(-LN(2)/2))/(LN(2)/2)*V134*Y134*VLOOKUP('Données projet'!$B$9,Paramètres!$A$1:$I$89,3,0)*0.475*44/12</f>
        <v>5.1997999710866932E-17</v>
      </c>
      <c r="AC134" s="22">
        <f t="shared" si="111"/>
        <v>45.393143527849027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739.99999999999966</v>
      </c>
      <c r="AJ134" s="13">
        <f>AI134*VLOOKUP('Données projet'!$B$10,Paramètres!$A$1:$I$89,3,0)*VLOOKUP('Données projet'!$B$10,Paramètres!$A$1:$I$89,5,0)</f>
        <v>413.65999999999985</v>
      </c>
      <c r="AK134" s="13">
        <f t="shared" si="143"/>
        <v>94.540585122244352</v>
      </c>
      <c r="AL134" s="20">
        <f t="shared" si="112"/>
        <v>885.11601908790863</v>
      </c>
      <c r="AM134" s="59">
        <f t="shared" si="113"/>
        <v>1178.4493524212419</v>
      </c>
      <c r="AN134" s="59">
        <f ca="1">AVERAGE(OFFSET($AM$3,0,0,'Données projet'!$E$10+1,1))-AVERAGE(OFFSET($H$3,0,0,'Données projet'!$E$10+1,1))</f>
        <v>490.96084572840579</v>
      </c>
      <c r="AO134" s="59">
        <f t="shared" si="144"/>
        <v>597.91658789908263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30.268600680113945</v>
      </c>
      <c r="AV134" s="21">
        <f>EXP(-LN(2)/25)*AV133+(1-EXP(-LN(2)/25))/(LN(2)/25)*Calculateur!AQ134*Calculateur!AS134*VLOOKUP('Données projet'!$B$10,Paramètres!$A$1:$I$89,3,0)*0.475*44/12</f>
        <v>3.5126007258022525</v>
      </c>
      <c r="AW134" s="21">
        <f>EXP(-LN(2)/2)*AW133+(1-EXP(-LN(2)/2))/(LN(2)/2)*AQ134*AT134*VLOOKUP('Données projet'!$B$10,Paramètres!$A$1:$I$89,3,0)*0.475*44/12</f>
        <v>5.3413500814107181E-16</v>
      </c>
      <c r="AX134" s="21">
        <f t="shared" si="114"/>
        <v>33.7812014059162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213.00000000000003</v>
      </c>
      <c r="BE134" s="13">
        <f>BD134*VLOOKUP('Données projet'!$B$11,Paramètres!$A$1:$I$89,3,0)*VLOOKUP('Données projet'!$B$11,Paramètres!$A$1:$I$89,5,0)</f>
        <v>169.46280000000002</v>
      </c>
      <c r="BF134" s="13">
        <f t="shared" si="145"/>
        <v>42.969686502194378</v>
      </c>
      <c r="BG134" s="20">
        <f t="shared" si="115"/>
        <v>369.98658065798855</v>
      </c>
      <c r="BH134" s="59">
        <f t="shared" si="116"/>
        <v>663.31991399132187</v>
      </c>
      <c r="BI134" s="59">
        <f ca="1">AVERAGE(OFFSET($BH$3,0,0,'Données projet'!$E$11+1,1))-AVERAGE(OFFSET($H$3,0,0,'Données projet'!$E$11+1,1))</f>
        <v>167.80254365106839</v>
      </c>
      <c r="BJ134" s="59">
        <f t="shared" si="146"/>
        <v>167.42302164950172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12.208198366506991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12.208198366506991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669.99999999999989</v>
      </c>
      <c r="BZ134" s="13">
        <f>BY134*VLOOKUP('Données projet'!$B$12,Paramètres!$A$1:$I$89,3,0)*VLOOKUP('Données projet'!$B$12,Paramètres!$A$1:$I$89,5,0)</f>
        <v>330.97999999999996</v>
      </c>
      <c r="CA134" s="13">
        <f t="shared" si="147"/>
        <v>77.633451096966454</v>
      </c>
      <c r="CB134" s="20">
        <f t="shared" si="118"/>
        <v>711.66842732721636</v>
      </c>
      <c r="CC134" s="59">
        <f t="shared" si="119"/>
        <v>1005.0017606605497</v>
      </c>
      <c r="CD134" s="59">
        <f ca="1">AVERAGE(OFFSET($CC$3,0,0,'Données projet'!$E$12+1,1))-AVERAGE(OFFSET($H$3,0,0,'Données projet'!$E$12+1,1))</f>
        <v>322.06606384496587</v>
      </c>
      <c r="CE134" s="59">
        <f t="shared" si="148"/>
        <v>267.71713177624713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42.371366485158404</v>
      </c>
      <c r="CL134" s="21">
        <f>EXP(-LN(2)/25)*CL133+(1-EXP(-LN(2)/25))/(LN(2)/25)*Calculateur!CG134*Calculateur!CI134*VLOOKUP('Données projet'!$B$12,Paramètres!$A$1:$I$89,3,0)*0.475*44/12</f>
        <v>1.2221696120177532</v>
      </c>
      <c r="CM134" s="21">
        <f>EXP(-LN(2)/2)*CM133+(1-EXP(-LN(2)/2))/(LN(2)/2)*CG134*CJ134*VLOOKUP('Données projet'!$B$12,Paramètres!$A$1:$I$89,3,0)*0.475*44/12</f>
        <v>2.4838920030937526E-15</v>
      </c>
      <c r="CN134" s="22">
        <f t="shared" si="120"/>
        <v>43.593536097176155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401</v>
      </c>
      <c r="CU134" s="17">
        <f>CT134*VLOOKUP('Données projet'!$B$13,Paramètres!$A$1:$I$89,3,0)*VLOOKUP('Données projet'!$B$13,Paramètres!$A$1:$I$89,5,0)</f>
        <v>250.22399999999999</v>
      </c>
      <c r="CV134" s="13">
        <f t="shared" si="149"/>
        <v>60.633904580527918</v>
      </c>
      <c r="CW134" s="20">
        <f t="shared" si="121"/>
        <v>541.41085047775289</v>
      </c>
      <c r="CX134" s="59">
        <f t="shared" si="122"/>
        <v>834.74418381108626</v>
      </c>
      <c r="CY134" s="59">
        <f ca="1">AVERAGE(OFFSET($CX$3,0,0,'Données projet'!$E$13+1,1))-AVERAGE(OFFSET($H$3,0,0,'Données projet'!$E$13+1,1))</f>
        <v>269.77739619445515</v>
      </c>
      <c r="CZ134" s="59">
        <f t="shared" si="150"/>
        <v>347.56964743629885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18.769174264556671</v>
      </c>
      <c r="DG134" s="21">
        <f>EXP(-LN(2)/25)*DG133+(1-EXP(-LN(2)/25))/(LN(2)/25)*Calculateur!DB134*Calculateur!DD134*VLOOKUP('Données projet'!$B$13,Paramètres!$A$1:$I$89,3,0)*0.475*44/12</f>
        <v>5.5770935561025903</v>
      </c>
      <c r="DH134" s="21">
        <f>EXP(-LN(2)/2)*DH133+(1-EXP(-LN(2)/2))/(LN(2)/2)*DB134*DE134*VLOOKUP('Données projet'!$B$13,Paramètres!$A$1:$I$89,3,0)*0.475*44/12</f>
        <v>1.5599399913260066E-17</v>
      </c>
      <c r="DI134" s="22">
        <f t="shared" si="123"/>
        <v>24.346267820659261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669.99999999999989</v>
      </c>
      <c r="DP134" s="17">
        <f>DO134*VLOOKUP('Données projet'!$B$14,Paramètres!$A$1:$I$89,3,0)*VLOOKUP('Données projet'!$B$14,Paramètres!$A$1:$I$89,5,0)</f>
        <v>322.26999999999992</v>
      </c>
      <c r="DQ134" s="13">
        <f t="shared" si="151"/>
        <v>75.825476822885776</v>
      </c>
      <c r="DR134" s="20">
        <f t="shared" si="124"/>
        <v>693.34962213319261</v>
      </c>
      <c r="DS134" s="59">
        <f t="shared" si="125"/>
        <v>986.68295546652598</v>
      </c>
      <c r="DT134" s="59">
        <f ca="1">AVERAGE(OFFSET($DS$3,0,0,'Données projet'!$E$14+1,1))-AVERAGE(OFFSET($H$3,0,0,'Données projet'!$E$14+1,1))</f>
        <v>312.64506496298173</v>
      </c>
      <c r="DU134" s="59">
        <f t="shared" si="152"/>
        <v>259.97532509897508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41.256330525022669</v>
      </c>
      <c r="EB134" s="21">
        <f>EXP(-LN(2)/25)*EB133+(1-EXP(-LN(2)/25))/(LN(2)/25)*Calculateur!DW134*Calculateur!DY134*VLOOKUP('Données projet'!$B$14,Paramètres!$A$1:$I$89,3,0)*0.475*44/12</f>
        <v>1.1900072538067616</v>
      </c>
      <c r="EC134" s="21">
        <f>EXP(-LN(2)/2)*EC133+(1-EXP(-LN(2)/2))/(LN(2)/2)*DW134*DZ134*VLOOKUP('Données projet'!$B$14,Paramètres!$A$1:$I$89,3,0)*0.475*44/12</f>
        <v>2.4185264240649487E-15</v>
      </c>
      <c r="ED134" s="22">
        <f t="shared" si="126"/>
        <v>42.446337778829431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267</v>
      </c>
      <c r="EK134" s="17">
        <f>EJ134*VLOOKUP('Données projet'!$B$15,Paramètres!$A$1:$I$89,3,0)*VLOOKUP('Données projet'!$B$15,Paramètres!$A$1:$I$89,5,0)</f>
        <v>241.58159999999998</v>
      </c>
      <c r="EL134" s="13">
        <f t="shared" si="153"/>
        <v>58.779689232021951</v>
      </c>
      <c r="EM134" s="20">
        <f t="shared" si="127"/>
        <v>523.12924541243819</v>
      </c>
      <c r="EN134" s="59">
        <f t="shared" si="128"/>
        <v>816.46257874577145</v>
      </c>
      <c r="EO134" s="59">
        <f ca="1">AVERAGE(OFFSET($EN$3,0,0,'Données projet'!$E$15+1,1))-AVERAGE(OFFSET($H$3,0,0,'Données projet'!$E$15+1,1))</f>
        <v>269.64423257646359</v>
      </c>
      <c r="EP134" s="59">
        <f t="shared" si="154"/>
        <v>161.0819079811821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55.059245459491237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55.059245459491237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349.00000000000017</v>
      </c>
      <c r="FF134" s="17">
        <f>FE134*VLOOKUP('Données projet'!$B$16,Paramètres!$A$1:$I$89,3,0)*VLOOKUP('Données projet'!$B$16,Paramètres!$A$1:$I$89,5,0)</f>
        <v>272.22000000000014</v>
      </c>
      <c r="FG134" s="13">
        <f t="shared" si="155"/>
        <v>65.320184547527205</v>
      </c>
      <c r="FH134" s="20">
        <f t="shared" si="130"/>
        <v>587.88248808694345</v>
      </c>
      <c r="FI134" s="59">
        <f t="shared" si="131"/>
        <v>881.21582142027682</v>
      </c>
      <c r="FJ134" s="59">
        <f ca="1">AVERAGE(OFFSET($FI$3,0,0,'Données projet'!$E$16+1,1))-AVERAGE(OFFSET($H$3,0,0,'Données projet'!$E$16+1,1))</f>
        <v>283.77864672734273</v>
      </c>
      <c r="FK134" s="59">
        <f t="shared" si="156"/>
        <v>270.94620935643866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25.895370284806646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25.895370284806646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319</v>
      </c>
      <c r="GA134" s="17">
        <f>FZ134*VLOOKUP('Données projet'!$B$17,Paramètres!$A$1:$I$89,3,0)*VLOOKUP('Données projet'!$B$17,Paramètres!$A$1:$I$89,5,0)</f>
        <v>308.53680000000003</v>
      </c>
      <c r="GB134" s="13">
        <f t="shared" si="157"/>
        <v>72.963171684496103</v>
      </c>
      <c r="GC134" s="20">
        <f t="shared" si="133"/>
        <v>664.4457840171641</v>
      </c>
      <c r="GD134" s="59">
        <f t="shared" si="134"/>
        <v>957.77911735049747</v>
      </c>
      <c r="GE134" s="59">
        <f ca="1">AVERAGE(OFFSET($GD$3,0,0,'Données projet'!$E$17+1,1))-AVERAGE(OFFSET($H$3,0,0,'Données projet'!$E$17+1,1))</f>
        <v>347.54503437087288</v>
      </c>
      <c r="GF134" s="59">
        <f t="shared" si="158"/>
        <v>340.05673244455954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19.099528954094765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19.099528954094765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735.00000000000011</v>
      </c>
      <c r="O135" s="13">
        <f>N135*VLOOKUP('Données projet'!$B$9,Paramètres!$A$1:$I$89,3,0)*VLOOKUP('Données projet'!$B$9,Paramètres!$A$1:$I$89,5,0)</f>
        <v>343.98</v>
      </c>
      <c r="P135" s="13">
        <f t="shared" si="141"/>
        <v>80.321681832084693</v>
      </c>
      <c r="Q135" s="20">
        <f t="shared" si="108"/>
        <v>738.9920958575475</v>
      </c>
      <c r="R135" s="59">
        <f t="shared" si="109"/>
        <v>1032.3254291908809</v>
      </c>
      <c r="S135" s="59">
        <f ca="1">AVERAGE(OFFSET($R$3,0,0,'Données projet'!$E$9+1,1))-AVERAGE(OFFSET($H$3,0,0,'Données projet'!$E$9+1,1))</f>
        <v>342.49944586217674</v>
      </c>
      <c r="T135" s="59">
        <f t="shared" si="142"/>
        <v>282.29766600872563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42.114257253819744</v>
      </c>
      <c r="AA135" s="21">
        <f>EXP(-LN(2)/25)*AA134+(1-EXP(-LN(2)/25))/(LN(2)/25)*Calculateur!V135*Calculateur!X135*VLOOKUP('Données projet'!$B$9,Paramètres!$A$1:$I$89,3,0)*0.475*44/12</f>
        <v>2.3699062168041123</v>
      </c>
      <c r="AB135" s="21">
        <f>EXP(-LN(2)/2)*AB134+(1-EXP(-LN(2)/2))/(LN(2)/2)*V135*Y135*VLOOKUP('Données projet'!$B$9,Paramètres!$A$1:$I$89,3,0)*0.475*44/12</f>
        <v>3.6768138203690145E-17</v>
      </c>
      <c r="AC135" s="22">
        <f t="shared" si="111"/>
        <v>44.484163470623855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739.99999999999966</v>
      </c>
      <c r="AJ135" s="13">
        <f>AI135*VLOOKUP('Données projet'!$B$10,Paramètres!$A$1:$I$89,3,0)*VLOOKUP('Données projet'!$B$10,Paramètres!$A$1:$I$89,5,0)</f>
        <v>413.65999999999985</v>
      </c>
      <c r="AK135" s="13">
        <f t="shared" si="143"/>
        <v>94.540585122244352</v>
      </c>
      <c r="AL135" s="20">
        <f t="shared" si="112"/>
        <v>885.11601908790863</v>
      </c>
      <c r="AM135" s="59">
        <f t="shared" si="113"/>
        <v>1178.4493524212419</v>
      </c>
      <c r="AN135" s="59">
        <f ca="1">AVERAGE(OFFSET($AM$3,0,0,'Données projet'!$E$10+1,1))-AVERAGE(OFFSET($H$3,0,0,'Données projet'!$E$10+1,1))</f>
        <v>490.96084572840579</v>
      </c>
      <c r="AO135" s="59">
        <f t="shared" si="144"/>
        <v>597.91658789908263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29.675051882800354</v>
      </c>
      <c r="AV135" s="21">
        <f>EXP(-LN(2)/25)*AV134+(1-EXP(-LN(2)/25))/(LN(2)/25)*Calculateur!AQ135*Calculateur!AS135*VLOOKUP('Données projet'!$B$10,Paramètres!$A$1:$I$89,3,0)*0.475*44/12</f>
        <v>3.4165484742355456</v>
      </c>
      <c r="AW135" s="21">
        <f>EXP(-LN(2)/2)*AW134+(1-EXP(-LN(2)/2))/(LN(2)/2)*AQ135*AT135*VLOOKUP('Données projet'!$B$10,Paramètres!$A$1:$I$89,3,0)*0.475*44/12</f>
        <v>3.7769048632568365E-16</v>
      </c>
      <c r="AX135" s="21">
        <f t="shared" si="114"/>
        <v>33.091600357035901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213.00000000000003</v>
      </c>
      <c r="BE135" s="13">
        <f>BD135*VLOOKUP('Données projet'!$B$11,Paramètres!$A$1:$I$89,3,0)*VLOOKUP('Données projet'!$B$11,Paramètres!$A$1:$I$89,5,0)</f>
        <v>169.46280000000002</v>
      </c>
      <c r="BF135" s="13">
        <f t="shared" si="145"/>
        <v>42.969686502194378</v>
      </c>
      <c r="BG135" s="20">
        <f t="shared" si="115"/>
        <v>369.98658065798855</v>
      </c>
      <c r="BH135" s="59">
        <f t="shared" si="116"/>
        <v>663.31991399132187</v>
      </c>
      <c r="BI135" s="59">
        <f ca="1">AVERAGE(OFFSET($BH$3,0,0,'Données projet'!$E$11+1,1))-AVERAGE(OFFSET($H$3,0,0,'Données projet'!$E$11+1,1))</f>
        <v>167.80254365106839</v>
      </c>
      <c r="BJ135" s="59">
        <f t="shared" si="146"/>
        <v>167.42302164950172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11.968803042805535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11.968803042805535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669.99999999999989</v>
      </c>
      <c r="BZ135" s="13">
        <f>BY135*VLOOKUP('Données projet'!$B$12,Paramètres!$A$1:$I$89,3,0)*VLOOKUP('Données projet'!$B$12,Paramètres!$A$1:$I$89,5,0)</f>
        <v>330.97999999999996</v>
      </c>
      <c r="CA135" s="13">
        <f t="shared" si="147"/>
        <v>77.633451096966454</v>
      </c>
      <c r="CB135" s="20">
        <f t="shared" si="118"/>
        <v>711.66842732721636</v>
      </c>
      <c r="CC135" s="59">
        <f t="shared" si="119"/>
        <v>1005.0017606605497</v>
      </c>
      <c r="CD135" s="59">
        <f ca="1">AVERAGE(OFFSET($CC$3,0,0,'Données projet'!$E$12+1,1))-AVERAGE(OFFSET($H$3,0,0,'Données projet'!$E$12+1,1))</f>
        <v>322.06606384496587</v>
      </c>
      <c r="CE135" s="59">
        <f t="shared" si="148"/>
        <v>267.71713177624713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41.54048983236612</v>
      </c>
      <c r="CL135" s="21">
        <f>EXP(-LN(2)/25)*CL134+(1-EXP(-LN(2)/25))/(LN(2)/25)*Calculateur!CG135*Calculateur!CI135*VLOOKUP('Données projet'!$B$12,Paramètres!$A$1:$I$89,3,0)*0.475*44/12</f>
        <v>1.188749319706021</v>
      </c>
      <c r="CM135" s="21">
        <f>EXP(-LN(2)/2)*CM134+(1-EXP(-LN(2)/2))/(LN(2)/2)*CG135*CJ135*VLOOKUP('Données projet'!$B$12,Paramètres!$A$1:$I$89,3,0)*0.475*44/12</f>
        <v>1.7563768791226294E-15</v>
      </c>
      <c r="CN135" s="22">
        <f t="shared" si="120"/>
        <v>42.72923915207214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401</v>
      </c>
      <c r="CU135" s="17">
        <f>CT135*VLOOKUP('Données projet'!$B$13,Paramètres!$A$1:$I$89,3,0)*VLOOKUP('Données projet'!$B$13,Paramètres!$A$1:$I$89,5,0)</f>
        <v>250.22399999999999</v>
      </c>
      <c r="CV135" s="13">
        <f t="shared" si="149"/>
        <v>60.633904580527918</v>
      </c>
      <c r="CW135" s="20">
        <f t="shared" si="121"/>
        <v>541.41085047775289</v>
      </c>
      <c r="CX135" s="59">
        <f t="shared" si="122"/>
        <v>834.74418381108626</v>
      </c>
      <c r="CY135" s="59">
        <f ca="1">AVERAGE(OFFSET($CX$3,0,0,'Données projet'!$E$13+1,1))-AVERAGE(OFFSET($H$3,0,0,'Données projet'!$E$13+1,1))</f>
        <v>269.77739619445515</v>
      </c>
      <c r="CZ135" s="59">
        <f t="shared" si="150"/>
        <v>347.56964743629885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18.401122205294612</v>
      </c>
      <c r="DG135" s="21">
        <f>EXP(-LN(2)/25)*DG134+(1-EXP(-LN(2)/25))/(LN(2)/25)*Calculateur!DB135*Calculateur!DD135*VLOOKUP('Données projet'!$B$13,Paramètres!$A$1:$I$89,3,0)*0.475*44/12</f>
        <v>5.4245876395243613</v>
      </c>
      <c r="DH135" s="21">
        <f>EXP(-LN(2)/2)*DH134+(1-EXP(-LN(2)/2))/(LN(2)/2)*DB135*DE135*VLOOKUP('Données projet'!$B$13,Paramètres!$A$1:$I$89,3,0)*0.475*44/12</f>
        <v>1.1030441461107034E-17</v>
      </c>
      <c r="DI135" s="22">
        <f t="shared" si="123"/>
        <v>23.825709844818974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669.99999999999989</v>
      </c>
      <c r="DP135" s="17">
        <f>DO135*VLOOKUP('Données projet'!$B$14,Paramètres!$A$1:$I$89,3,0)*VLOOKUP('Données projet'!$B$14,Paramètres!$A$1:$I$89,5,0)</f>
        <v>322.26999999999992</v>
      </c>
      <c r="DQ135" s="13">
        <f t="shared" si="151"/>
        <v>75.825476822885776</v>
      </c>
      <c r="DR135" s="20">
        <f t="shared" si="124"/>
        <v>693.34962213319261</v>
      </c>
      <c r="DS135" s="59">
        <f t="shared" si="125"/>
        <v>986.68295546652598</v>
      </c>
      <c r="DT135" s="59">
        <f ca="1">AVERAGE(OFFSET($DS$3,0,0,'Données projet'!$E$14+1,1))-AVERAGE(OFFSET($H$3,0,0,'Données projet'!$E$14+1,1))</f>
        <v>312.64506496298173</v>
      </c>
      <c r="DU135" s="59">
        <f t="shared" si="152"/>
        <v>259.97532509897508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40.447319047303871</v>
      </c>
      <c r="EB135" s="21">
        <f>EXP(-LN(2)/25)*EB134+(1-EXP(-LN(2)/25))/(LN(2)/25)*Calculateur!DW135*Calculateur!DY135*VLOOKUP('Données projet'!$B$14,Paramètres!$A$1:$I$89,3,0)*0.475*44/12</f>
        <v>1.1574664428716541</v>
      </c>
      <c r="EC135" s="21">
        <f>EXP(-LN(2)/2)*EC134+(1-EXP(-LN(2)/2))/(LN(2)/2)*DW135*DZ135*VLOOKUP('Données projet'!$B$14,Paramètres!$A$1:$I$89,3,0)*0.475*44/12</f>
        <v>1.7101564349351769E-15</v>
      </c>
      <c r="ED135" s="22">
        <f t="shared" si="126"/>
        <v>41.604785490175523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267</v>
      </c>
      <c r="EK135" s="17">
        <f>EJ135*VLOOKUP('Données projet'!$B$15,Paramètres!$A$1:$I$89,3,0)*VLOOKUP('Données projet'!$B$15,Paramètres!$A$1:$I$89,5,0)</f>
        <v>241.58159999999998</v>
      </c>
      <c r="EL135" s="13">
        <f t="shared" si="153"/>
        <v>58.779689232021951</v>
      </c>
      <c r="EM135" s="20">
        <f t="shared" si="127"/>
        <v>523.12924541243819</v>
      </c>
      <c r="EN135" s="59">
        <f t="shared" si="128"/>
        <v>816.46257874577145</v>
      </c>
      <c r="EO135" s="59">
        <f ca="1">AVERAGE(OFFSET($EN$3,0,0,'Données projet'!$E$15+1,1))-AVERAGE(OFFSET($H$3,0,0,'Données projet'!$E$15+1,1))</f>
        <v>269.64423257646359</v>
      </c>
      <c r="EP135" s="59">
        <f t="shared" si="154"/>
        <v>161.0819079811821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53.979567238854315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53.979567238854315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349.00000000000017</v>
      </c>
      <c r="FF135" s="17">
        <f>FE135*VLOOKUP('Données projet'!$B$16,Paramètres!$A$1:$I$89,3,0)*VLOOKUP('Données projet'!$B$16,Paramètres!$A$1:$I$89,5,0)</f>
        <v>272.22000000000014</v>
      </c>
      <c r="FG135" s="13">
        <f t="shared" si="155"/>
        <v>65.320184547527205</v>
      </c>
      <c r="FH135" s="20">
        <f t="shared" si="130"/>
        <v>587.88248808694345</v>
      </c>
      <c r="FI135" s="59">
        <f t="shared" si="131"/>
        <v>881.21582142027682</v>
      </c>
      <c r="FJ135" s="59">
        <f ca="1">AVERAGE(OFFSET($FI$3,0,0,'Données projet'!$E$16+1,1))-AVERAGE(OFFSET($H$3,0,0,'Données projet'!$E$16+1,1))</f>
        <v>283.77864672734273</v>
      </c>
      <c r="FK135" s="59">
        <f t="shared" si="156"/>
        <v>270.94620935643866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25.387577868137871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25.387577868137871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319</v>
      </c>
      <c r="GA135" s="17">
        <f>FZ135*VLOOKUP('Données projet'!$B$17,Paramètres!$A$1:$I$89,3,0)*VLOOKUP('Données projet'!$B$17,Paramètres!$A$1:$I$89,5,0)</f>
        <v>308.53680000000003</v>
      </c>
      <c r="GB135" s="13">
        <f t="shared" si="157"/>
        <v>72.963171684496103</v>
      </c>
      <c r="GC135" s="20">
        <f t="shared" si="133"/>
        <v>664.4457840171641</v>
      </c>
      <c r="GD135" s="59">
        <f t="shared" si="134"/>
        <v>957.77911735049747</v>
      </c>
      <c r="GE135" s="59">
        <f ca="1">AVERAGE(OFFSET($GD$3,0,0,'Données projet'!$E$17+1,1))-AVERAGE(OFFSET($H$3,0,0,'Données projet'!$E$17+1,1))</f>
        <v>347.54503437087288</v>
      </c>
      <c r="GF135" s="59">
        <f t="shared" si="158"/>
        <v>340.05673244455954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18.724998840867329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18.724998840867329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735.00000000000011</v>
      </c>
      <c r="O136" s="13">
        <f>N136*VLOOKUP('Données projet'!$B$9,Paramètres!$A$1:$I$89,3,0)*VLOOKUP('Données projet'!$B$9,Paramètres!$A$1:$I$89,5,0)</f>
        <v>343.98</v>
      </c>
      <c r="P136" s="13">
        <f t="shared" si="141"/>
        <v>80.321681832084693</v>
      </c>
      <c r="Q136" s="20">
        <f t="shared" si="108"/>
        <v>738.9920958575475</v>
      </c>
      <c r="R136" s="59">
        <f t="shared" si="109"/>
        <v>1032.3254291908809</v>
      </c>
      <c r="S136" s="59">
        <f ca="1">AVERAGE(OFFSET($R$3,0,0,'Données projet'!$E$9+1,1))-AVERAGE(OFFSET($H$3,0,0,'Données projet'!$E$9+1,1))</f>
        <v>342.49944586217674</v>
      </c>
      <c r="T136" s="59">
        <f t="shared" si="142"/>
        <v>282.29766600872563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41.288422356232864</v>
      </c>
      <c r="AA136" s="21">
        <f>EXP(-LN(2)/25)*AA135+(1-EXP(-LN(2)/25))/(LN(2)/25)*Calculateur!V136*Calculateur!X136*VLOOKUP('Données projet'!$B$9,Paramètres!$A$1:$I$89,3,0)*0.475*44/12</f>
        <v>2.3051010066776523</v>
      </c>
      <c r="AB136" s="21">
        <f>EXP(-LN(2)/2)*AB135+(1-EXP(-LN(2)/2))/(LN(2)/2)*V136*Y136*VLOOKUP('Données projet'!$B$9,Paramètres!$A$1:$I$89,3,0)*0.475*44/12</f>
        <v>2.5998999855433466E-17</v>
      </c>
      <c r="AC136" s="22">
        <f t="shared" si="111"/>
        <v>43.593523362910517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739.99999999999966</v>
      </c>
      <c r="AJ136" s="13">
        <f>AI136*VLOOKUP('Données projet'!$B$10,Paramètres!$A$1:$I$89,3,0)*VLOOKUP('Données projet'!$B$10,Paramètres!$A$1:$I$89,5,0)</f>
        <v>413.65999999999985</v>
      </c>
      <c r="AK136" s="13">
        <f t="shared" si="143"/>
        <v>94.540585122244352</v>
      </c>
      <c r="AL136" s="20">
        <f t="shared" si="112"/>
        <v>885.11601908790863</v>
      </c>
      <c r="AM136" s="59">
        <f t="shared" si="113"/>
        <v>1178.4493524212419</v>
      </c>
      <c r="AN136" s="59">
        <f ca="1">AVERAGE(OFFSET($AM$3,0,0,'Données projet'!$E$10+1,1))-AVERAGE(OFFSET($H$3,0,0,'Données projet'!$E$10+1,1))</f>
        <v>490.96084572840579</v>
      </c>
      <c r="AO136" s="59">
        <f t="shared" si="144"/>
        <v>597.91658789908263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29.09314221537306</v>
      </c>
      <c r="AV136" s="21">
        <f>EXP(-LN(2)/25)*AV135+(1-EXP(-LN(2)/25))/(LN(2)/25)*Calculateur!AQ136*Calculateur!AS136*VLOOKUP('Données projet'!$B$10,Paramètres!$A$1:$I$89,3,0)*0.475*44/12</f>
        <v>3.3231227765390989</v>
      </c>
      <c r="AW136" s="21">
        <f>EXP(-LN(2)/2)*AW135+(1-EXP(-LN(2)/2))/(LN(2)/2)*AQ136*AT136*VLOOKUP('Données projet'!$B$10,Paramètres!$A$1:$I$89,3,0)*0.475*44/12</f>
        <v>2.670675040705359E-16</v>
      </c>
      <c r="AX136" s="21">
        <f t="shared" si="114"/>
        <v>32.416264991912158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213.00000000000003</v>
      </c>
      <c r="BE136" s="13">
        <f>BD136*VLOOKUP('Données projet'!$B$11,Paramètres!$A$1:$I$89,3,0)*VLOOKUP('Données projet'!$B$11,Paramètres!$A$1:$I$89,5,0)</f>
        <v>169.46280000000002</v>
      </c>
      <c r="BF136" s="13">
        <f t="shared" si="145"/>
        <v>42.969686502194378</v>
      </c>
      <c r="BG136" s="20">
        <f t="shared" si="115"/>
        <v>369.98658065798855</v>
      </c>
      <c r="BH136" s="59">
        <f t="shared" si="116"/>
        <v>663.31991399132187</v>
      </c>
      <c r="BI136" s="59">
        <f ca="1">AVERAGE(OFFSET($BH$3,0,0,'Données projet'!$E$11+1,1))-AVERAGE(OFFSET($H$3,0,0,'Données projet'!$E$11+1,1))</f>
        <v>167.80254365106839</v>
      </c>
      <c r="BJ136" s="59">
        <f t="shared" si="146"/>
        <v>167.42302164950172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11.734102115385134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11.734102115385134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669.99999999999989</v>
      </c>
      <c r="BZ136" s="13">
        <f>BY136*VLOOKUP('Données projet'!$B$12,Paramètres!$A$1:$I$89,3,0)*VLOOKUP('Données projet'!$B$12,Paramètres!$A$1:$I$89,5,0)</f>
        <v>330.97999999999996</v>
      </c>
      <c r="CA136" s="13">
        <f t="shared" si="147"/>
        <v>77.633451096966454</v>
      </c>
      <c r="CB136" s="20">
        <f t="shared" si="118"/>
        <v>711.66842732721636</v>
      </c>
      <c r="CC136" s="59">
        <f t="shared" si="119"/>
        <v>1005.0017606605497</v>
      </c>
      <c r="CD136" s="59">
        <f ca="1">AVERAGE(OFFSET($CC$3,0,0,'Données projet'!$E$12+1,1))-AVERAGE(OFFSET($H$3,0,0,'Données projet'!$E$12+1,1))</f>
        <v>322.06606384496587</v>
      </c>
      <c r="CE136" s="59">
        <f t="shared" si="148"/>
        <v>267.71713177624713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40.725906163950377</v>
      </c>
      <c r="CL136" s="21">
        <f>EXP(-LN(2)/25)*CL135+(1-EXP(-LN(2)/25))/(LN(2)/25)*Calculateur!CG136*Calculateur!CI136*VLOOKUP('Données projet'!$B$12,Paramètres!$A$1:$I$89,3,0)*0.475*44/12</f>
        <v>1.1562429070450502</v>
      </c>
      <c r="CM136" s="21">
        <f>EXP(-LN(2)/2)*CM135+(1-EXP(-LN(2)/2))/(LN(2)/2)*CG136*CJ136*VLOOKUP('Données projet'!$B$12,Paramètres!$A$1:$I$89,3,0)*0.475*44/12</f>
        <v>1.2419460015468765E-15</v>
      </c>
      <c r="CN136" s="22">
        <f t="shared" si="120"/>
        <v>41.882149070995425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401</v>
      </c>
      <c r="CU136" s="17">
        <f>CT136*VLOOKUP('Données projet'!$B$13,Paramètres!$A$1:$I$89,3,0)*VLOOKUP('Données projet'!$B$13,Paramètres!$A$1:$I$89,5,0)</f>
        <v>250.22399999999999</v>
      </c>
      <c r="CV136" s="13">
        <f t="shared" si="149"/>
        <v>60.633904580527918</v>
      </c>
      <c r="CW136" s="20">
        <f t="shared" si="121"/>
        <v>541.41085047775289</v>
      </c>
      <c r="CX136" s="59">
        <f t="shared" si="122"/>
        <v>834.74418381108626</v>
      </c>
      <c r="CY136" s="59">
        <f ca="1">AVERAGE(OFFSET($CX$3,0,0,'Données projet'!$E$13+1,1))-AVERAGE(OFFSET($H$3,0,0,'Données projet'!$E$13+1,1))</f>
        <v>269.77739619445515</v>
      </c>
      <c r="CZ136" s="59">
        <f t="shared" si="150"/>
        <v>347.56964743629885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18.040287422425095</v>
      </c>
      <c r="DG136" s="21">
        <f>EXP(-LN(2)/25)*DG135+(1-EXP(-LN(2)/25))/(LN(2)/25)*Calculateur!DB136*Calculateur!DD136*VLOOKUP('Données projet'!$B$13,Paramètres!$A$1:$I$89,3,0)*0.475*44/12</f>
        <v>5.2762520052549018</v>
      </c>
      <c r="DH136" s="21">
        <f>EXP(-LN(2)/2)*DH135+(1-EXP(-LN(2)/2))/(LN(2)/2)*DB136*DE136*VLOOKUP('Données projet'!$B$13,Paramètres!$A$1:$I$89,3,0)*0.475*44/12</f>
        <v>7.7996999566300331E-18</v>
      </c>
      <c r="DI136" s="22">
        <f t="shared" si="123"/>
        <v>23.316539427679999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669.99999999999989</v>
      </c>
      <c r="DP136" s="17">
        <f>DO136*VLOOKUP('Données projet'!$B$14,Paramètres!$A$1:$I$89,3,0)*VLOOKUP('Données projet'!$B$14,Paramètres!$A$1:$I$89,5,0)</f>
        <v>322.26999999999992</v>
      </c>
      <c r="DQ136" s="13">
        <f t="shared" si="151"/>
        <v>75.825476822885776</v>
      </c>
      <c r="DR136" s="20">
        <f t="shared" si="124"/>
        <v>693.34962213319261</v>
      </c>
      <c r="DS136" s="59">
        <f t="shared" si="125"/>
        <v>986.68295546652598</v>
      </c>
      <c r="DT136" s="59">
        <f ca="1">AVERAGE(OFFSET($DS$3,0,0,'Données projet'!$E$14+1,1))-AVERAGE(OFFSET($H$3,0,0,'Données projet'!$E$14+1,1))</f>
        <v>312.64506496298173</v>
      </c>
      <c r="DU136" s="59">
        <f t="shared" si="152"/>
        <v>259.97532509897508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39.654171791214857</v>
      </c>
      <c r="EB136" s="21">
        <f>EXP(-LN(2)/25)*EB135+(1-EXP(-LN(2)/25))/(LN(2)/25)*Calculateur!DW136*Calculateur!DY136*VLOOKUP('Données projet'!$B$14,Paramètres!$A$1:$I$89,3,0)*0.475*44/12</f>
        <v>1.125815462122814</v>
      </c>
      <c r="EC136" s="21">
        <f>EXP(-LN(2)/2)*EC135+(1-EXP(-LN(2)/2))/(LN(2)/2)*DW136*DZ136*VLOOKUP('Données projet'!$B$14,Paramètres!$A$1:$I$89,3,0)*0.475*44/12</f>
        <v>1.2092632120324744E-15</v>
      </c>
      <c r="ED136" s="22">
        <f t="shared" si="126"/>
        <v>40.779987253337673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267</v>
      </c>
      <c r="EK136" s="17">
        <f>EJ136*VLOOKUP('Données projet'!$B$15,Paramètres!$A$1:$I$89,3,0)*VLOOKUP('Données projet'!$B$15,Paramètres!$A$1:$I$89,5,0)</f>
        <v>241.58159999999998</v>
      </c>
      <c r="EL136" s="13">
        <f t="shared" si="153"/>
        <v>58.779689232021951</v>
      </c>
      <c r="EM136" s="20">
        <f t="shared" si="127"/>
        <v>523.12924541243819</v>
      </c>
      <c r="EN136" s="59">
        <f t="shared" si="128"/>
        <v>816.46257874577145</v>
      </c>
      <c r="EO136" s="59">
        <f ca="1">AVERAGE(OFFSET($EN$3,0,0,'Données projet'!$E$15+1,1))-AVERAGE(OFFSET($H$3,0,0,'Données projet'!$E$15+1,1))</f>
        <v>269.64423257646359</v>
      </c>
      <c r="EP136" s="59">
        <f t="shared" si="154"/>
        <v>161.0819079811821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52.921060849585395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52.921060849585395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349.00000000000017</v>
      </c>
      <c r="FF136" s="17">
        <f>FE136*VLOOKUP('Données projet'!$B$16,Paramètres!$A$1:$I$89,3,0)*VLOOKUP('Données projet'!$B$16,Paramètres!$A$1:$I$89,5,0)</f>
        <v>272.22000000000014</v>
      </c>
      <c r="FG136" s="13">
        <f t="shared" si="155"/>
        <v>65.320184547527205</v>
      </c>
      <c r="FH136" s="20">
        <f t="shared" si="130"/>
        <v>587.88248808694345</v>
      </c>
      <c r="FI136" s="59">
        <f t="shared" si="131"/>
        <v>881.21582142027682</v>
      </c>
      <c r="FJ136" s="59">
        <f ca="1">AVERAGE(OFFSET($FI$3,0,0,'Données projet'!$E$16+1,1))-AVERAGE(OFFSET($H$3,0,0,'Données projet'!$E$16+1,1))</f>
        <v>283.77864672734273</v>
      </c>
      <c r="FK136" s="59">
        <f t="shared" si="156"/>
        <v>270.94620935643866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24.889742951037181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24.889742951037181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319</v>
      </c>
      <c r="GA136" s="17">
        <f>FZ136*VLOOKUP('Données projet'!$B$17,Paramètres!$A$1:$I$89,3,0)*VLOOKUP('Données projet'!$B$17,Paramètres!$A$1:$I$89,5,0)</f>
        <v>308.53680000000003</v>
      </c>
      <c r="GB136" s="13">
        <f t="shared" si="157"/>
        <v>72.963171684496103</v>
      </c>
      <c r="GC136" s="20">
        <f t="shared" si="133"/>
        <v>664.4457840171641</v>
      </c>
      <c r="GD136" s="59">
        <f t="shared" si="134"/>
        <v>957.77911735049747</v>
      </c>
      <c r="GE136" s="59">
        <f ca="1">AVERAGE(OFFSET($GD$3,0,0,'Données projet'!$E$17+1,1))-AVERAGE(OFFSET($H$3,0,0,'Données projet'!$E$17+1,1))</f>
        <v>347.54503437087288</v>
      </c>
      <c r="GF136" s="59">
        <f t="shared" si="158"/>
        <v>340.05673244455954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18.35781303471947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18.35781303471947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735.00000000000011</v>
      </c>
      <c r="O137" s="13">
        <f>N137*VLOOKUP('Données projet'!$B$9,Paramètres!$A$1:$I$89,3,0)*VLOOKUP('Données projet'!$B$9,Paramètres!$A$1:$I$89,5,0)</f>
        <v>343.98</v>
      </c>
      <c r="P137" s="13">
        <f t="shared" si="141"/>
        <v>80.321681832084693</v>
      </c>
      <c r="Q137" s="20">
        <f t="shared" si="108"/>
        <v>738.9920958575475</v>
      </c>
      <c r="R137" s="59">
        <f t="shared" si="109"/>
        <v>1032.3254291908809</v>
      </c>
      <c r="S137" s="59">
        <f ca="1">AVERAGE(OFFSET($R$3,0,0,'Données projet'!$E$9+1,1))-AVERAGE(OFFSET($H$3,0,0,'Données projet'!$E$9+1,1))</f>
        <v>342.49944586217674</v>
      </c>
      <c r="T137" s="59">
        <f t="shared" si="142"/>
        <v>282.29766600872563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40.478781577278113</v>
      </c>
      <c r="AA137" s="21">
        <f>EXP(-LN(2)/25)*AA136+(1-EXP(-LN(2)/25))/(LN(2)/25)*Calculateur!V137*Calculateur!X137*VLOOKUP('Données projet'!$B$9,Paramètres!$A$1:$I$89,3,0)*0.475*44/12</f>
        <v>2.2420678984300584</v>
      </c>
      <c r="AB137" s="21">
        <f>EXP(-LN(2)/2)*AB136+(1-EXP(-LN(2)/2))/(LN(2)/2)*V137*Y137*VLOOKUP('Données projet'!$B$9,Paramètres!$A$1:$I$89,3,0)*0.475*44/12</f>
        <v>1.8384069101845072E-17</v>
      </c>
      <c r="AC137" s="22">
        <f t="shared" si="111"/>
        <v>42.720849475708171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739.99999999999966</v>
      </c>
      <c r="AJ137" s="13">
        <f>AI137*VLOOKUP('Données projet'!$B$10,Paramètres!$A$1:$I$89,3,0)*VLOOKUP('Données projet'!$B$10,Paramètres!$A$1:$I$89,5,0)</f>
        <v>413.65999999999985</v>
      </c>
      <c r="AK137" s="13">
        <f t="shared" si="143"/>
        <v>94.540585122244352</v>
      </c>
      <c r="AL137" s="20">
        <f t="shared" si="112"/>
        <v>885.11601908790863</v>
      </c>
      <c r="AM137" s="59">
        <f t="shared" si="113"/>
        <v>1178.4493524212419</v>
      </c>
      <c r="AN137" s="59">
        <f ca="1">AVERAGE(OFFSET($AM$3,0,0,'Données projet'!$E$10+1,1))-AVERAGE(OFFSET($H$3,0,0,'Données projet'!$E$10+1,1))</f>
        <v>490.96084572840579</v>
      </c>
      <c r="AO137" s="59">
        <f t="shared" si="144"/>
        <v>597.91658789908263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28.522643441594166</v>
      </c>
      <c r="AV137" s="21">
        <f>EXP(-LN(2)/25)*AV136+(1-EXP(-LN(2)/25))/(LN(2)/25)*Calculateur!AQ137*Calculateur!AS137*VLOOKUP('Données projet'!$B$10,Paramètres!$A$1:$I$89,3,0)*0.475*44/12</f>
        <v>3.2322518094592056</v>
      </c>
      <c r="AW137" s="21">
        <f>EXP(-LN(2)/2)*AW136+(1-EXP(-LN(2)/2))/(LN(2)/2)*AQ137*AT137*VLOOKUP('Données projet'!$B$10,Paramètres!$A$1:$I$89,3,0)*0.475*44/12</f>
        <v>1.8884524316284183E-16</v>
      </c>
      <c r="AX137" s="21">
        <f t="shared" si="114"/>
        <v>31.754895251053373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213.00000000000003</v>
      </c>
      <c r="BE137" s="13">
        <f>BD137*VLOOKUP('Données projet'!$B$11,Paramètres!$A$1:$I$89,3,0)*VLOOKUP('Données projet'!$B$11,Paramètres!$A$1:$I$89,5,0)</f>
        <v>169.46280000000002</v>
      </c>
      <c r="BF137" s="13">
        <f t="shared" si="145"/>
        <v>42.969686502194378</v>
      </c>
      <c r="BG137" s="20">
        <f t="shared" si="115"/>
        <v>369.98658065798855</v>
      </c>
      <c r="BH137" s="59">
        <f t="shared" si="116"/>
        <v>663.31991399132187</v>
      </c>
      <c r="BI137" s="59">
        <f ca="1">AVERAGE(OFFSET($BH$3,0,0,'Données projet'!$E$11+1,1))-AVERAGE(OFFSET($H$3,0,0,'Données projet'!$E$11+1,1))</f>
        <v>167.80254365106839</v>
      </c>
      <c r="BJ137" s="59">
        <f t="shared" si="146"/>
        <v>167.42302164950172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11.504003529998018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11.504003529998018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669.99999999999989</v>
      </c>
      <c r="BZ137" s="13">
        <f>BY137*VLOOKUP('Données projet'!$B$12,Paramètres!$A$1:$I$89,3,0)*VLOOKUP('Données projet'!$B$12,Paramètres!$A$1:$I$89,5,0)</f>
        <v>330.97999999999996</v>
      </c>
      <c r="CA137" s="13">
        <f t="shared" si="147"/>
        <v>77.633451096966454</v>
      </c>
      <c r="CB137" s="20">
        <f t="shared" si="118"/>
        <v>711.66842732721636</v>
      </c>
      <c r="CC137" s="59">
        <f t="shared" si="119"/>
        <v>1005.0017606605497</v>
      </c>
      <c r="CD137" s="59">
        <f ca="1">AVERAGE(OFFSET($CC$3,0,0,'Données projet'!$E$12+1,1))-AVERAGE(OFFSET($H$3,0,0,'Données projet'!$E$12+1,1))</f>
        <v>322.06606384496587</v>
      </c>
      <c r="CE137" s="59">
        <f t="shared" si="148"/>
        <v>267.71713177624713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39.927295984425292</v>
      </c>
      <c r="CL137" s="21">
        <f>EXP(-LN(2)/25)*CL136+(1-EXP(-LN(2)/25))/(LN(2)/25)*Calculateur!CG137*Calculateur!CI137*VLOOKUP('Données projet'!$B$12,Paramètres!$A$1:$I$89,3,0)*0.475*44/12</f>
        <v>1.1246253839477314</v>
      </c>
      <c r="CM137" s="21">
        <f>EXP(-LN(2)/2)*CM136+(1-EXP(-LN(2)/2))/(LN(2)/2)*CG137*CJ137*VLOOKUP('Données projet'!$B$12,Paramètres!$A$1:$I$89,3,0)*0.475*44/12</f>
        <v>8.7818843956131491E-16</v>
      </c>
      <c r="CN137" s="22">
        <f t="shared" si="120"/>
        <v>41.051921368373023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401</v>
      </c>
      <c r="CU137" s="17">
        <f>CT137*VLOOKUP('Données projet'!$B$13,Paramètres!$A$1:$I$89,3,0)*VLOOKUP('Données projet'!$B$13,Paramètres!$A$1:$I$89,5,0)</f>
        <v>250.22399999999999</v>
      </c>
      <c r="CV137" s="13">
        <f t="shared" si="149"/>
        <v>60.633904580527918</v>
      </c>
      <c r="CW137" s="20">
        <f t="shared" si="121"/>
        <v>541.41085047775289</v>
      </c>
      <c r="CX137" s="59">
        <f t="shared" si="122"/>
        <v>834.74418381108626</v>
      </c>
      <c r="CY137" s="59">
        <f ca="1">AVERAGE(OFFSET($CX$3,0,0,'Données projet'!$E$13+1,1))-AVERAGE(OFFSET($H$3,0,0,'Données projet'!$E$13+1,1))</f>
        <v>269.77739619445515</v>
      </c>
      <c r="CZ137" s="59">
        <f t="shared" si="150"/>
        <v>347.56964743629885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17.686528389560163</v>
      </c>
      <c r="DG137" s="21">
        <f>EXP(-LN(2)/25)*DG136+(1-EXP(-LN(2)/25))/(LN(2)/25)*Calculateur!DB137*Calculateur!DD137*VLOOKUP('Données projet'!$B$13,Paramètres!$A$1:$I$89,3,0)*0.475*44/12</f>
        <v>5.1319726167051725</v>
      </c>
      <c r="DH137" s="21">
        <f>EXP(-LN(2)/2)*DH136+(1-EXP(-LN(2)/2))/(LN(2)/2)*DB137*DE137*VLOOKUP('Données projet'!$B$13,Paramètres!$A$1:$I$89,3,0)*0.475*44/12</f>
        <v>5.5152207305535171E-18</v>
      </c>
      <c r="DI137" s="22">
        <f t="shared" si="123"/>
        <v>22.818501006265336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669.99999999999989</v>
      </c>
      <c r="DP137" s="17">
        <f>DO137*VLOOKUP('Données projet'!$B$14,Paramètres!$A$1:$I$89,3,0)*VLOOKUP('Données projet'!$B$14,Paramètres!$A$1:$I$89,5,0)</f>
        <v>322.26999999999992</v>
      </c>
      <c r="DQ137" s="13">
        <f t="shared" si="151"/>
        <v>75.825476822885776</v>
      </c>
      <c r="DR137" s="20">
        <f t="shared" si="124"/>
        <v>693.34962213319261</v>
      </c>
      <c r="DS137" s="59">
        <f t="shared" si="125"/>
        <v>986.68295546652598</v>
      </c>
      <c r="DT137" s="59">
        <f ca="1">AVERAGE(OFFSET($DS$3,0,0,'Données projet'!$E$14+1,1))-AVERAGE(OFFSET($H$3,0,0,'Données projet'!$E$14+1,1))</f>
        <v>312.64506496298173</v>
      </c>
      <c r="DU137" s="59">
        <f t="shared" si="152"/>
        <v>259.97532509897508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38.876577669045695</v>
      </c>
      <c r="EB137" s="21">
        <f>EXP(-LN(2)/25)*EB136+(1-EXP(-LN(2)/25))/(LN(2)/25)*Calculateur!DW137*Calculateur!DY137*VLOOKUP('Données projet'!$B$14,Paramètres!$A$1:$I$89,3,0)*0.475*44/12</f>
        <v>1.0950299791070035</v>
      </c>
      <c r="EC137" s="21">
        <f>EXP(-LN(2)/2)*EC136+(1-EXP(-LN(2)/2))/(LN(2)/2)*DW137*DZ137*VLOOKUP('Données projet'!$B$14,Paramètres!$A$1:$I$89,3,0)*0.475*44/12</f>
        <v>8.5507821746758847E-16</v>
      </c>
      <c r="ED137" s="22">
        <f t="shared" si="126"/>
        <v>39.971607648152698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267</v>
      </c>
      <c r="EK137" s="17">
        <f>EJ137*VLOOKUP('Données projet'!$B$15,Paramètres!$A$1:$I$89,3,0)*VLOOKUP('Données projet'!$B$15,Paramètres!$A$1:$I$89,5,0)</f>
        <v>241.58159999999998</v>
      </c>
      <c r="EL137" s="13">
        <f t="shared" si="153"/>
        <v>58.779689232021951</v>
      </c>
      <c r="EM137" s="20">
        <f t="shared" si="127"/>
        <v>523.12924541243819</v>
      </c>
      <c r="EN137" s="59">
        <f t="shared" si="128"/>
        <v>816.46257874577145</v>
      </c>
      <c r="EO137" s="59">
        <f ca="1">AVERAGE(OFFSET($EN$3,0,0,'Données projet'!$E$15+1,1))-AVERAGE(OFFSET($H$3,0,0,'Données projet'!$E$15+1,1))</f>
        <v>269.64423257646359</v>
      </c>
      <c r="EP137" s="59">
        <f t="shared" si="154"/>
        <v>161.0819079811821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51.883311124984893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51.883311124984893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349.00000000000017</v>
      </c>
      <c r="FF137" s="17">
        <f>FE137*VLOOKUP('Données projet'!$B$16,Paramètres!$A$1:$I$89,3,0)*VLOOKUP('Données projet'!$B$16,Paramètres!$A$1:$I$89,5,0)</f>
        <v>272.22000000000014</v>
      </c>
      <c r="FG137" s="13">
        <f t="shared" si="155"/>
        <v>65.320184547527205</v>
      </c>
      <c r="FH137" s="20">
        <f t="shared" si="130"/>
        <v>587.88248808694345</v>
      </c>
      <c r="FI137" s="59">
        <f t="shared" si="131"/>
        <v>881.21582142027682</v>
      </c>
      <c r="FJ137" s="59">
        <f ca="1">AVERAGE(OFFSET($FI$3,0,0,'Données projet'!$E$16+1,1))-AVERAGE(OFFSET($H$3,0,0,'Données projet'!$E$16+1,1))</f>
        <v>283.77864672734273</v>
      </c>
      <c r="FK137" s="59">
        <f t="shared" si="156"/>
        <v>270.94620935643866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24.401670273011518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24.401670273011518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319</v>
      </c>
      <c r="GA137" s="17">
        <f>FZ137*VLOOKUP('Données projet'!$B$17,Paramètres!$A$1:$I$89,3,0)*VLOOKUP('Données projet'!$B$17,Paramètres!$A$1:$I$89,5,0)</f>
        <v>308.53680000000003</v>
      </c>
      <c r="GB137" s="13">
        <f t="shared" si="157"/>
        <v>72.963171684496103</v>
      </c>
      <c r="GC137" s="20">
        <f t="shared" si="133"/>
        <v>664.4457840171641</v>
      </c>
      <c r="GD137" s="59">
        <f t="shared" si="134"/>
        <v>957.77911735049747</v>
      </c>
      <c r="GE137" s="59">
        <f ca="1">AVERAGE(OFFSET($GD$3,0,0,'Données projet'!$E$17+1,1))-AVERAGE(OFFSET($H$3,0,0,'Données projet'!$E$17+1,1))</f>
        <v>347.54503437087288</v>
      </c>
      <c r="GF137" s="59">
        <f t="shared" si="158"/>
        <v>340.05673244455954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17.997827518268945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17.997827518268945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735.00000000000011</v>
      </c>
      <c r="O138" s="13">
        <f>N138*VLOOKUP('Données projet'!$B$9,Paramètres!$A$1:$I$89,3,0)*VLOOKUP('Données projet'!$B$9,Paramètres!$A$1:$I$89,5,0)</f>
        <v>343.98</v>
      </c>
      <c r="P138" s="13">
        <f t="shared" si="141"/>
        <v>80.321681832084693</v>
      </c>
      <c r="Q138" s="20">
        <f t="shared" si="108"/>
        <v>738.9920958575475</v>
      </c>
      <c r="R138" s="59">
        <f t="shared" si="109"/>
        <v>1032.3254291908809</v>
      </c>
      <c r="S138" s="59">
        <f ca="1">AVERAGE(OFFSET($R$3,0,0,'Données projet'!$E$9+1,1))-AVERAGE(OFFSET($H$3,0,0,'Données projet'!$E$9+1,1))</f>
        <v>342.49944586217674</v>
      </c>
      <c r="T138" s="59">
        <f t="shared" si="142"/>
        <v>282.29766600872563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39.685017360166555</v>
      </c>
      <c r="AA138" s="21">
        <f>EXP(-LN(2)/25)*AA137+(1-EXP(-LN(2)/25))/(LN(2)/25)*Calculateur!V138*Calculateur!X138*VLOOKUP('Données projet'!$B$9,Paramètres!$A$1:$I$89,3,0)*0.475*44/12</f>
        <v>2.1807584338422621</v>
      </c>
      <c r="AB138" s="21">
        <f>EXP(-LN(2)/2)*AB137+(1-EXP(-LN(2)/2))/(LN(2)/2)*V138*Y138*VLOOKUP('Données projet'!$B$9,Paramètres!$A$1:$I$89,3,0)*0.475*44/12</f>
        <v>1.2999499927716733E-17</v>
      </c>
      <c r="AC138" s="22">
        <f t="shared" si="111"/>
        <v>41.865775794008819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739.99999999999966</v>
      </c>
      <c r="AJ138" s="13">
        <f>AI138*VLOOKUP('Données projet'!$B$10,Paramètres!$A$1:$I$89,3,0)*VLOOKUP('Données projet'!$B$10,Paramètres!$A$1:$I$89,5,0)</f>
        <v>413.65999999999985</v>
      </c>
      <c r="AK138" s="13">
        <f t="shared" si="143"/>
        <v>94.540585122244352</v>
      </c>
      <c r="AL138" s="20">
        <f t="shared" si="112"/>
        <v>885.11601908790863</v>
      </c>
      <c r="AM138" s="59">
        <f t="shared" si="113"/>
        <v>1178.4493524212419</v>
      </c>
      <c r="AN138" s="59">
        <f ca="1">AVERAGE(OFFSET($AM$3,0,0,'Données projet'!$E$10+1,1))-AVERAGE(OFFSET($H$3,0,0,'Données projet'!$E$10+1,1))</f>
        <v>490.96084572840579</v>
      </c>
      <c r="AO138" s="59">
        <f t="shared" si="144"/>
        <v>597.91658789908263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27.963331800799182</v>
      </c>
      <c r="AV138" s="21">
        <f>EXP(-LN(2)/25)*AV137+(1-EXP(-LN(2)/25))/(LN(2)/25)*Calculateur!AQ138*Calculateur!AS138*VLOOKUP('Données projet'!$B$10,Paramètres!$A$1:$I$89,3,0)*0.475*44/12</f>
        <v>3.1438657137528083</v>
      </c>
      <c r="AW138" s="21">
        <f>EXP(-LN(2)/2)*AW137+(1-EXP(-LN(2)/2))/(LN(2)/2)*AQ138*AT138*VLOOKUP('Données projet'!$B$10,Paramètres!$A$1:$I$89,3,0)*0.475*44/12</f>
        <v>1.3353375203526795E-16</v>
      </c>
      <c r="AX138" s="21">
        <f t="shared" si="114"/>
        <v>31.107197514551991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213.00000000000003</v>
      </c>
      <c r="BE138" s="13">
        <f>BD138*VLOOKUP('Données projet'!$B$11,Paramètres!$A$1:$I$89,3,0)*VLOOKUP('Données projet'!$B$11,Paramètres!$A$1:$I$89,5,0)</f>
        <v>169.46280000000002</v>
      </c>
      <c r="BF138" s="13">
        <f t="shared" si="145"/>
        <v>42.969686502194378</v>
      </c>
      <c r="BG138" s="20">
        <f t="shared" si="115"/>
        <v>369.98658065798855</v>
      </c>
      <c r="BH138" s="59">
        <f t="shared" si="116"/>
        <v>663.31991399132187</v>
      </c>
      <c r="BI138" s="59">
        <f ca="1">AVERAGE(OFFSET($BH$3,0,0,'Données projet'!$E$11+1,1))-AVERAGE(OFFSET($H$3,0,0,'Données projet'!$E$11+1,1))</f>
        <v>167.80254365106839</v>
      </c>
      <c r="BJ138" s="59">
        <f t="shared" si="146"/>
        <v>167.42302164950172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11.278417037524063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11.278417037524063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669.99999999999989</v>
      </c>
      <c r="BZ138" s="13">
        <f>BY138*VLOOKUP('Données projet'!$B$12,Paramètres!$A$1:$I$89,3,0)*VLOOKUP('Données projet'!$B$12,Paramètres!$A$1:$I$89,5,0)</f>
        <v>330.97999999999996</v>
      </c>
      <c r="CA138" s="13">
        <f t="shared" si="147"/>
        <v>77.633451096966454</v>
      </c>
      <c r="CB138" s="20">
        <f t="shared" si="118"/>
        <v>711.66842732721636</v>
      </c>
      <c r="CC138" s="59">
        <f t="shared" si="119"/>
        <v>1005.0017606605497</v>
      </c>
      <c r="CD138" s="59">
        <f ca="1">AVERAGE(OFFSET($CC$3,0,0,'Données projet'!$E$12+1,1))-AVERAGE(OFFSET($H$3,0,0,'Données projet'!$E$12+1,1))</f>
        <v>322.06606384496587</v>
      </c>
      <c r="CE138" s="59">
        <f t="shared" si="148"/>
        <v>267.71713177624713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39.144346063416577</v>
      </c>
      <c r="CL138" s="21">
        <f>EXP(-LN(2)/25)*CL137+(1-EXP(-LN(2)/25))/(LN(2)/25)*Calculateur!CG138*Calculateur!CI138*VLOOKUP('Données projet'!$B$12,Paramètres!$A$1:$I$89,3,0)*0.475*44/12</f>
        <v>1.093872443682202</v>
      </c>
      <c r="CM138" s="21">
        <f>EXP(-LN(2)/2)*CM137+(1-EXP(-LN(2)/2))/(LN(2)/2)*CG138*CJ138*VLOOKUP('Données projet'!$B$12,Paramètres!$A$1:$I$89,3,0)*0.475*44/12</f>
        <v>6.2097300077343834E-16</v>
      </c>
      <c r="CN138" s="22">
        <f t="shared" si="120"/>
        <v>40.238218507098779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401</v>
      </c>
      <c r="CU138" s="17">
        <f>CT138*VLOOKUP('Données projet'!$B$13,Paramètres!$A$1:$I$89,3,0)*VLOOKUP('Données projet'!$B$13,Paramètres!$A$1:$I$89,5,0)</f>
        <v>250.22399999999999</v>
      </c>
      <c r="CV138" s="13">
        <f t="shared" si="149"/>
        <v>60.633904580527918</v>
      </c>
      <c r="CW138" s="20">
        <f t="shared" si="121"/>
        <v>541.41085047775289</v>
      </c>
      <c r="CX138" s="59">
        <f t="shared" si="122"/>
        <v>834.74418381108626</v>
      </c>
      <c r="CY138" s="59">
        <f ca="1">AVERAGE(OFFSET($CX$3,0,0,'Données projet'!$E$13+1,1))-AVERAGE(OFFSET($H$3,0,0,'Données projet'!$E$13+1,1))</f>
        <v>269.77739619445515</v>
      </c>
      <c r="CZ138" s="59">
        <f t="shared" si="150"/>
        <v>347.56964743629885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17.339706355558008</v>
      </c>
      <c r="DG138" s="21">
        <f>EXP(-LN(2)/25)*DG137+(1-EXP(-LN(2)/25))/(LN(2)/25)*Calculateur!DB138*Calculateur!DD138*VLOOKUP('Données projet'!$B$13,Paramètres!$A$1:$I$89,3,0)*0.475*44/12</f>
        <v>4.991638555622659</v>
      </c>
      <c r="DH138" s="21">
        <f>EXP(-LN(2)/2)*DH137+(1-EXP(-LN(2)/2))/(LN(2)/2)*DB138*DE138*VLOOKUP('Données projet'!$B$13,Paramètres!$A$1:$I$89,3,0)*0.475*44/12</f>
        <v>3.8998499783150165E-18</v>
      </c>
      <c r="DI138" s="22">
        <f t="shared" si="123"/>
        <v>22.331344911180665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669.99999999999989</v>
      </c>
      <c r="DP138" s="17">
        <f>DO138*VLOOKUP('Données projet'!$B$14,Paramètres!$A$1:$I$89,3,0)*VLOOKUP('Données projet'!$B$14,Paramètres!$A$1:$I$89,5,0)</f>
        <v>322.26999999999992</v>
      </c>
      <c r="DQ138" s="13">
        <f t="shared" si="151"/>
        <v>75.825476822885776</v>
      </c>
      <c r="DR138" s="20">
        <f t="shared" si="124"/>
        <v>693.34962213319261</v>
      </c>
      <c r="DS138" s="59">
        <f t="shared" si="125"/>
        <v>986.68295546652598</v>
      </c>
      <c r="DT138" s="59">
        <f ca="1">AVERAGE(OFFSET($DS$3,0,0,'Données projet'!$E$14+1,1))-AVERAGE(OFFSET($H$3,0,0,'Données projet'!$E$14+1,1))</f>
        <v>312.64506496298173</v>
      </c>
      <c r="DU138" s="59">
        <f t="shared" si="152"/>
        <v>259.97532509897508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38.114231693326687</v>
      </c>
      <c r="EB138" s="21">
        <f>EXP(-LN(2)/25)*EB137+(1-EXP(-LN(2)/25))/(LN(2)/25)*Calculateur!DW138*Calculateur!DY138*VLOOKUP('Données projet'!$B$14,Paramètres!$A$1:$I$89,3,0)*0.475*44/12</f>
        <v>1.0650863267431987</v>
      </c>
      <c r="EC138" s="21">
        <f>EXP(-LN(2)/2)*EC137+(1-EXP(-LN(2)/2))/(LN(2)/2)*DW138*DZ138*VLOOKUP('Données projet'!$B$14,Paramètres!$A$1:$I$89,3,0)*0.475*44/12</f>
        <v>6.0463160601623718E-16</v>
      </c>
      <c r="ED138" s="22">
        <f t="shared" si="126"/>
        <v>39.179318020069886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267</v>
      </c>
      <c r="EK138" s="17">
        <f>EJ138*VLOOKUP('Données projet'!$B$15,Paramètres!$A$1:$I$89,3,0)*VLOOKUP('Données projet'!$B$15,Paramètres!$A$1:$I$89,5,0)</f>
        <v>241.58159999999998</v>
      </c>
      <c r="EL138" s="13">
        <f t="shared" si="153"/>
        <v>58.779689232021951</v>
      </c>
      <c r="EM138" s="20">
        <f t="shared" si="127"/>
        <v>523.12924541243819</v>
      </c>
      <c r="EN138" s="59">
        <f t="shared" si="128"/>
        <v>816.46257874577145</v>
      </c>
      <c r="EO138" s="59">
        <f ca="1">AVERAGE(OFFSET($EN$3,0,0,'Données projet'!$E$15+1,1))-AVERAGE(OFFSET($H$3,0,0,'Données projet'!$E$15+1,1))</f>
        <v>269.64423257646359</v>
      </c>
      <c r="EP138" s="59">
        <f t="shared" si="154"/>
        <v>161.0819079811821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50.86591103951897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50.86591103951897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349.00000000000017</v>
      </c>
      <c r="FF138" s="17">
        <f>FE138*VLOOKUP('Données projet'!$B$16,Paramètres!$A$1:$I$89,3,0)*VLOOKUP('Données projet'!$B$16,Paramètres!$A$1:$I$89,5,0)</f>
        <v>272.22000000000014</v>
      </c>
      <c r="FG138" s="13">
        <f t="shared" si="155"/>
        <v>65.320184547527205</v>
      </c>
      <c r="FH138" s="20">
        <f t="shared" si="130"/>
        <v>587.88248808694345</v>
      </c>
      <c r="FI138" s="59">
        <f t="shared" si="131"/>
        <v>881.21582142027682</v>
      </c>
      <c r="FJ138" s="59">
        <f ca="1">AVERAGE(OFFSET($FI$3,0,0,'Données projet'!$E$16+1,1))-AVERAGE(OFFSET($H$3,0,0,'Données projet'!$E$16+1,1))</f>
        <v>283.77864672734273</v>
      </c>
      <c r="FK138" s="59">
        <f t="shared" si="156"/>
        <v>270.94620935643866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23.923168402507002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23.923168402507002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319</v>
      </c>
      <c r="GA138" s="17">
        <f>FZ138*VLOOKUP('Données projet'!$B$17,Paramètres!$A$1:$I$89,3,0)*VLOOKUP('Données projet'!$B$17,Paramètres!$A$1:$I$89,5,0)</f>
        <v>308.53680000000003</v>
      </c>
      <c r="GB138" s="13">
        <f t="shared" si="157"/>
        <v>72.963171684496103</v>
      </c>
      <c r="GC138" s="20">
        <f t="shared" si="133"/>
        <v>664.4457840171641</v>
      </c>
      <c r="GD138" s="59">
        <f t="shared" si="134"/>
        <v>957.77911735049747</v>
      </c>
      <c r="GE138" s="59">
        <f ca="1">AVERAGE(OFFSET($GD$3,0,0,'Données projet'!$E$17+1,1))-AVERAGE(OFFSET($H$3,0,0,'Données projet'!$E$17+1,1))</f>
        <v>347.54503437087288</v>
      </c>
      <c r="GF138" s="59">
        <f t="shared" si="158"/>
        <v>340.05673244455954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17.64490109822653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17.64490109822653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735.00000000000011</v>
      </c>
      <c r="O139" s="13">
        <f>N139*VLOOKUP('Données projet'!$B$9,Paramètres!$A$1:$I$89,3,0)*VLOOKUP('Données projet'!$B$9,Paramètres!$A$1:$I$89,5,0)</f>
        <v>343.98</v>
      </c>
      <c r="P139" s="13">
        <f t="shared" si="141"/>
        <v>80.321681832084693</v>
      </c>
      <c r="Q139" s="20">
        <f t="shared" si="108"/>
        <v>738.9920958575475</v>
      </c>
      <c r="R139" s="59">
        <f t="shared" si="109"/>
        <v>1032.3254291908809</v>
      </c>
      <c r="S139" s="59">
        <f ca="1">AVERAGE(OFFSET($R$3,0,0,'Données projet'!$E$9+1,1))-AVERAGE(OFFSET($H$3,0,0,'Données projet'!$E$9+1,1))</f>
        <v>342.49944586217674</v>
      </c>
      <c r="T139" s="59">
        <f t="shared" si="142"/>
        <v>282.29766600872563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38.906818375204189</v>
      </c>
      <c r="AA139" s="21">
        <f>EXP(-LN(2)/25)*AA138+(1-EXP(-LN(2)/25))/(LN(2)/25)*Calculateur!V139*Calculateur!X139*VLOOKUP('Données projet'!$B$9,Paramètres!$A$1:$I$89,3,0)*0.475*44/12</f>
        <v>2.1211254797877435</v>
      </c>
      <c r="AB139" s="21">
        <f>EXP(-LN(2)/2)*AB138+(1-EXP(-LN(2)/2))/(LN(2)/2)*V139*Y139*VLOOKUP('Données projet'!$B$9,Paramètres!$A$1:$I$89,3,0)*0.475*44/12</f>
        <v>9.1920345509225362E-18</v>
      </c>
      <c r="AC139" s="22">
        <f t="shared" si="111"/>
        <v>41.027943854991932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739.99999999999966</v>
      </c>
      <c r="AJ139" s="13">
        <f>AI139*VLOOKUP('Données projet'!$B$10,Paramètres!$A$1:$I$89,3,0)*VLOOKUP('Données projet'!$B$10,Paramètres!$A$1:$I$89,5,0)</f>
        <v>413.65999999999985</v>
      </c>
      <c r="AK139" s="13">
        <f t="shared" si="143"/>
        <v>94.540585122244352</v>
      </c>
      <c r="AL139" s="20">
        <f t="shared" si="112"/>
        <v>885.11601908790863</v>
      </c>
      <c r="AM139" s="59">
        <f t="shared" si="113"/>
        <v>1178.4493524212419</v>
      </c>
      <c r="AN139" s="59">
        <f ca="1">AVERAGE(OFFSET($AM$3,0,0,'Données projet'!$E$10+1,1))-AVERAGE(OFFSET($H$3,0,0,'Données projet'!$E$10+1,1))</f>
        <v>490.96084572840579</v>
      </c>
      <c r="AO139" s="59">
        <f t="shared" si="144"/>
        <v>597.91658789908263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27.414987920133772</v>
      </c>
      <c r="AV139" s="21">
        <f>EXP(-LN(2)/25)*AV138+(1-EXP(-LN(2)/25))/(LN(2)/25)*Calculateur!AQ139*Calculateur!AS139*VLOOKUP('Données projet'!$B$10,Paramètres!$A$1:$I$89,3,0)*0.475*44/12</f>
        <v>3.0578965404815253</v>
      </c>
      <c r="AW139" s="21">
        <f>EXP(-LN(2)/2)*AW138+(1-EXP(-LN(2)/2))/(LN(2)/2)*AQ139*AT139*VLOOKUP('Données projet'!$B$10,Paramètres!$A$1:$I$89,3,0)*0.475*44/12</f>
        <v>9.4422621581420913E-17</v>
      </c>
      <c r="AX139" s="21">
        <f t="shared" si="114"/>
        <v>30.472884460615298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213.00000000000003</v>
      </c>
      <c r="BE139" s="13">
        <f>BD139*VLOOKUP('Données projet'!$B$11,Paramètres!$A$1:$I$89,3,0)*VLOOKUP('Données projet'!$B$11,Paramètres!$A$1:$I$89,5,0)</f>
        <v>169.46280000000002</v>
      </c>
      <c r="BF139" s="13">
        <f t="shared" si="145"/>
        <v>42.969686502194378</v>
      </c>
      <c r="BG139" s="20">
        <f t="shared" si="115"/>
        <v>369.98658065798855</v>
      </c>
      <c r="BH139" s="59">
        <f t="shared" si="116"/>
        <v>663.31991399132187</v>
      </c>
      <c r="BI139" s="59">
        <f ca="1">AVERAGE(OFFSET($BH$3,0,0,'Données projet'!$E$11+1,1))-AVERAGE(OFFSET($H$3,0,0,'Données projet'!$E$11+1,1))</f>
        <v>167.80254365106839</v>
      </c>
      <c r="BJ139" s="59">
        <f t="shared" si="146"/>
        <v>167.42302164950172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11.057254158573349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11.057254158573349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669.99999999999989</v>
      </c>
      <c r="BZ139" s="13">
        <f>BY139*VLOOKUP('Données projet'!$B$12,Paramètres!$A$1:$I$89,3,0)*VLOOKUP('Données projet'!$B$12,Paramètres!$A$1:$I$89,5,0)</f>
        <v>330.97999999999996</v>
      </c>
      <c r="CA139" s="13">
        <f t="shared" si="147"/>
        <v>77.633451096966454</v>
      </c>
      <c r="CB139" s="20">
        <f t="shared" si="118"/>
        <v>711.66842732721636</v>
      </c>
      <c r="CC139" s="59">
        <f t="shared" si="119"/>
        <v>1005.0017606605497</v>
      </c>
      <c r="CD139" s="59">
        <f ca="1">AVERAGE(OFFSET($CC$3,0,0,'Données projet'!$E$12+1,1))-AVERAGE(OFFSET($H$3,0,0,'Données projet'!$E$12+1,1))</f>
        <v>322.06606384496587</v>
      </c>
      <c r="CE139" s="59">
        <f t="shared" si="148"/>
        <v>267.71713177624713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38.376749312806545</v>
      </c>
      <c r="CL139" s="21">
        <f>EXP(-LN(2)/25)*CL138+(1-EXP(-LN(2)/25))/(LN(2)/25)*Calculateur!CG139*Calculateur!CI139*VLOOKUP('Données projet'!$B$12,Paramètres!$A$1:$I$89,3,0)*0.475*44/12</f>
        <v>1.0639604441854604</v>
      </c>
      <c r="CM139" s="21">
        <f>EXP(-LN(2)/2)*CM138+(1-EXP(-LN(2)/2))/(LN(2)/2)*CG139*CJ139*VLOOKUP('Données projet'!$B$12,Paramètres!$A$1:$I$89,3,0)*0.475*44/12</f>
        <v>4.390942197806575E-16</v>
      </c>
      <c r="CN139" s="22">
        <f t="shared" si="120"/>
        <v>39.440709756992007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401</v>
      </c>
      <c r="CU139" s="17">
        <f>CT139*VLOOKUP('Données projet'!$B$13,Paramètres!$A$1:$I$89,3,0)*VLOOKUP('Données projet'!$B$13,Paramètres!$A$1:$I$89,5,0)</f>
        <v>250.22399999999999</v>
      </c>
      <c r="CV139" s="13">
        <f t="shared" si="149"/>
        <v>60.633904580527918</v>
      </c>
      <c r="CW139" s="20">
        <f t="shared" si="121"/>
        <v>541.41085047775289</v>
      </c>
      <c r="CX139" s="59">
        <f t="shared" si="122"/>
        <v>834.74418381108626</v>
      </c>
      <c r="CY139" s="59">
        <f ca="1">AVERAGE(OFFSET($CX$3,0,0,'Données projet'!$E$13+1,1))-AVERAGE(OFFSET($H$3,0,0,'Données projet'!$E$13+1,1))</f>
        <v>269.77739619445515</v>
      </c>
      <c r="CZ139" s="59">
        <f t="shared" si="150"/>
        <v>347.56964743629885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16.999685290102082</v>
      </c>
      <c r="DG139" s="21">
        <f>EXP(-LN(2)/25)*DG138+(1-EXP(-LN(2)/25))/(LN(2)/25)*Calculateur!DB139*Calculateur!DD139*VLOOKUP('Données projet'!$B$13,Paramètres!$A$1:$I$89,3,0)*0.475*44/12</f>
        <v>4.8551419368202939</v>
      </c>
      <c r="DH139" s="21">
        <f>EXP(-LN(2)/2)*DH138+(1-EXP(-LN(2)/2))/(LN(2)/2)*DB139*DE139*VLOOKUP('Données projet'!$B$13,Paramètres!$A$1:$I$89,3,0)*0.475*44/12</f>
        <v>2.7576103652767586E-18</v>
      </c>
      <c r="DI139" s="22">
        <f t="shared" si="123"/>
        <v>21.854827226922374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669.99999999999989</v>
      </c>
      <c r="DP139" s="17">
        <f>DO139*VLOOKUP('Données projet'!$B$14,Paramètres!$A$1:$I$89,3,0)*VLOOKUP('Données projet'!$B$14,Paramètres!$A$1:$I$89,5,0)</f>
        <v>322.26999999999992</v>
      </c>
      <c r="DQ139" s="13">
        <f t="shared" si="151"/>
        <v>75.825476822885776</v>
      </c>
      <c r="DR139" s="20">
        <f t="shared" si="124"/>
        <v>693.34962213319261</v>
      </c>
      <c r="DS139" s="59">
        <f t="shared" si="125"/>
        <v>986.68295546652598</v>
      </c>
      <c r="DT139" s="59">
        <f ca="1">AVERAGE(OFFSET($DS$3,0,0,'Données projet'!$E$14+1,1))-AVERAGE(OFFSET($H$3,0,0,'Données projet'!$E$14+1,1))</f>
        <v>312.64506496298173</v>
      </c>
      <c r="DU139" s="59">
        <f t="shared" si="152"/>
        <v>259.97532509897508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37.366834857206392</v>
      </c>
      <c r="EB139" s="21">
        <f>EXP(-LN(2)/25)*EB138+(1-EXP(-LN(2)/25))/(LN(2)/25)*Calculateur!DW139*Calculateur!DY139*VLOOKUP('Données projet'!$B$14,Paramètres!$A$1:$I$89,3,0)*0.475*44/12</f>
        <v>1.0359614851279504</v>
      </c>
      <c r="EC139" s="21">
        <f>EXP(-LN(2)/2)*EC138+(1-EXP(-LN(2)/2))/(LN(2)/2)*DW139*DZ139*VLOOKUP('Données projet'!$B$14,Paramètres!$A$1:$I$89,3,0)*0.475*44/12</f>
        <v>4.2753910873379424E-16</v>
      </c>
      <c r="ED139" s="22">
        <f t="shared" si="126"/>
        <v>38.402796342334341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267</v>
      </c>
      <c r="EK139" s="17">
        <f>EJ139*VLOOKUP('Données projet'!$B$15,Paramètres!$A$1:$I$89,3,0)*VLOOKUP('Données projet'!$B$15,Paramètres!$A$1:$I$89,5,0)</f>
        <v>241.58159999999998</v>
      </c>
      <c r="EL139" s="13">
        <f t="shared" si="153"/>
        <v>58.779689232021951</v>
      </c>
      <c r="EM139" s="20">
        <f t="shared" si="127"/>
        <v>523.12924541243819</v>
      </c>
      <c r="EN139" s="59">
        <f t="shared" si="128"/>
        <v>816.46257874577145</v>
      </c>
      <c r="EO139" s="59">
        <f ca="1">AVERAGE(OFFSET($EN$3,0,0,'Données projet'!$E$15+1,1))-AVERAGE(OFFSET($H$3,0,0,'Données projet'!$E$15+1,1))</f>
        <v>269.64423257646359</v>
      </c>
      <c r="EP139" s="59">
        <f t="shared" si="154"/>
        <v>161.0819079811821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49.86846154917626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49.86846154917626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349.00000000000017</v>
      </c>
      <c r="FF139" s="17">
        <f>FE139*VLOOKUP('Données projet'!$B$16,Paramètres!$A$1:$I$89,3,0)*VLOOKUP('Données projet'!$B$16,Paramètres!$A$1:$I$89,5,0)</f>
        <v>272.22000000000014</v>
      </c>
      <c r="FG139" s="13">
        <f t="shared" si="155"/>
        <v>65.320184547527205</v>
      </c>
      <c r="FH139" s="20">
        <f t="shared" si="130"/>
        <v>587.88248808694345</v>
      </c>
      <c r="FI139" s="59">
        <f t="shared" si="131"/>
        <v>881.21582142027682</v>
      </c>
      <c r="FJ139" s="59">
        <f ca="1">AVERAGE(OFFSET($FI$3,0,0,'Données projet'!$E$16+1,1))-AVERAGE(OFFSET($H$3,0,0,'Données projet'!$E$16+1,1))</f>
        <v>283.77864672734273</v>
      </c>
      <c r="FK139" s="59">
        <f t="shared" si="156"/>
        <v>270.94620935643866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23.454049661825756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23.454049661825756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319</v>
      </c>
      <c r="GA139" s="17">
        <f>FZ139*VLOOKUP('Données projet'!$B$17,Paramètres!$A$1:$I$89,3,0)*VLOOKUP('Données projet'!$B$17,Paramètres!$A$1:$I$89,5,0)</f>
        <v>308.53680000000003</v>
      </c>
      <c r="GB139" s="13">
        <f t="shared" si="157"/>
        <v>72.963171684496103</v>
      </c>
      <c r="GC139" s="20">
        <f t="shared" si="133"/>
        <v>664.4457840171641</v>
      </c>
      <c r="GD139" s="59">
        <f t="shared" si="134"/>
        <v>957.77911735049747</v>
      </c>
      <c r="GE139" s="59">
        <f ca="1">AVERAGE(OFFSET($GD$3,0,0,'Données projet'!$E$17+1,1))-AVERAGE(OFFSET($H$3,0,0,'Données projet'!$E$17+1,1))</f>
        <v>347.54503437087288</v>
      </c>
      <c r="GF139" s="59">
        <f t="shared" si="158"/>
        <v>340.05673244455954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17.298895350017286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17.298895350017286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735.00000000000011</v>
      </c>
      <c r="O140" s="13">
        <f>N140*VLOOKUP('Données projet'!$B$9,Paramètres!$A$1:$I$89,3,0)*VLOOKUP('Données projet'!$B$9,Paramètres!$A$1:$I$89,5,0)</f>
        <v>343.98</v>
      </c>
      <c r="P140" s="13">
        <f t="shared" si="141"/>
        <v>80.321681832084693</v>
      </c>
      <c r="Q140" s="20">
        <f t="shared" si="108"/>
        <v>738.9920958575475</v>
      </c>
      <c r="R140" s="59">
        <f t="shared" si="109"/>
        <v>1032.3254291908809</v>
      </c>
      <c r="S140" s="59">
        <f ca="1">AVERAGE(OFFSET($R$3,0,0,'Données projet'!$E$9+1,1))-AVERAGE(OFFSET($H$3,0,0,'Données projet'!$E$9+1,1))</f>
        <v>342.49944586217674</v>
      </c>
      <c r="T140" s="59">
        <f t="shared" si="142"/>
        <v>282.29766600872563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38.143879397682419</v>
      </c>
      <c r="AA140" s="21">
        <f>EXP(-LN(2)/25)*AA139+(1-EXP(-LN(2)/25))/(LN(2)/25)*Calculateur!V140*Calculateur!X140*VLOOKUP('Données projet'!$B$9,Paramètres!$A$1:$I$89,3,0)*0.475*44/12</f>
        <v>2.0631231919978066</v>
      </c>
      <c r="AB140" s="21">
        <f>EXP(-LN(2)/2)*AB139+(1-EXP(-LN(2)/2))/(LN(2)/2)*V140*Y140*VLOOKUP('Données projet'!$B$9,Paramètres!$A$1:$I$89,3,0)*0.475*44/12</f>
        <v>6.4997499638583665E-18</v>
      </c>
      <c r="AC140" s="22">
        <f t="shared" si="111"/>
        <v>40.207002589680222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739.99999999999966</v>
      </c>
      <c r="AJ140" s="13">
        <f>AI140*VLOOKUP('Données projet'!$B$10,Paramètres!$A$1:$I$89,3,0)*VLOOKUP('Données projet'!$B$10,Paramètres!$A$1:$I$89,5,0)</f>
        <v>413.65999999999985</v>
      </c>
      <c r="AK140" s="13">
        <f t="shared" si="143"/>
        <v>94.540585122244352</v>
      </c>
      <c r="AL140" s="20">
        <f t="shared" si="112"/>
        <v>885.11601908790863</v>
      </c>
      <c r="AM140" s="59">
        <f t="shared" si="113"/>
        <v>1178.4493524212419</v>
      </c>
      <c r="AN140" s="59">
        <f ca="1">AVERAGE(OFFSET($AM$3,0,0,'Données projet'!$E$10+1,1))-AVERAGE(OFFSET($H$3,0,0,'Données projet'!$E$10+1,1))</f>
        <v>490.96084572840579</v>
      </c>
      <c r="AO140" s="59">
        <f t="shared" si="144"/>
        <v>597.91658789908263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26.877396728511471</v>
      </c>
      <c r="AV140" s="21">
        <f>EXP(-LN(2)/25)*AV139+(1-EXP(-LN(2)/25))/(LN(2)/25)*Calculateur!AQ140*Calculateur!AS140*VLOOKUP('Données projet'!$B$10,Paramètres!$A$1:$I$89,3,0)*0.475*44/12</f>
        <v>2.9742781987742677</v>
      </c>
      <c r="AW140" s="21">
        <f>EXP(-LN(2)/2)*AW139+(1-EXP(-LN(2)/2))/(LN(2)/2)*AQ140*AT140*VLOOKUP('Données projet'!$B$10,Paramètres!$A$1:$I$89,3,0)*0.475*44/12</f>
        <v>6.6766876017633976E-17</v>
      </c>
      <c r="AX140" s="21">
        <f t="shared" si="114"/>
        <v>29.851674927285739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213.00000000000003</v>
      </c>
      <c r="BE140" s="13">
        <f>BD140*VLOOKUP('Données projet'!$B$11,Paramètres!$A$1:$I$89,3,0)*VLOOKUP('Données projet'!$B$11,Paramètres!$A$1:$I$89,5,0)</f>
        <v>169.46280000000002</v>
      </c>
      <c r="BF140" s="13">
        <f t="shared" si="145"/>
        <v>42.969686502194378</v>
      </c>
      <c r="BG140" s="20">
        <f t="shared" si="115"/>
        <v>369.98658065798855</v>
      </c>
      <c r="BH140" s="59">
        <f t="shared" si="116"/>
        <v>663.31991399132187</v>
      </c>
      <c r="BI140" s="59">
        <f ca="1">AVERAGE(OFFSET($BH$3,0,0,'Données projet'!$E$11+1,1))-AVERAGE(OFFSET($H$3,0,0,'Données projet'!$E$11+1,1))</f>
        <v>167.80254365106839</v>
      </c>
      <c r="BJ140" s="59">
        <f t="shared" si="146"/>
        <v>167.42302164950172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10.840428148782822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10.840428148782822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669.99999999999989</v>
      </c>
      <c r="BZ140" s="13">
        <f>BY140*VLOOKUP('Données projet'!$B$12,Paramètres!$A$1:$I$89,3,0)*VLOOKUP('Données projet'!$B$12,Paramètres!$A$1:$I$89,5,0)</f>
        <v>330.97999999999996</v>
      </c>
      <c r="CA140" s="13">
        <f t="shared" si="147"/>
        <v>77.633451096966454</v>
      </c>
      <c r="CB140" s="20">
        <f t="shared" si="118"/>
        <v>711.66842732721636</v>
      </c>
      <c r="CC140" s="59">
        <f t="shared" si="119"/>
        <v>1005.0017606605497</v>
      </c>
      <c r="CD140" s="59">
        <f ca="1">AVERAGE(OFFSET($CC$3,0,0,'Données projet'!$E$12+1,1))-AVERAGE(OFFSET($H$3,0,0,'Données projet'!$E$12+1,1))</f>
        <v>322.06606384496587</v>
      </c>
      <c r="CE140" s="59">
        <f t="shared" si="148"/>
        <v>267.71713177624713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37.624204666288193</v>
      </c>
      <c r="CL140" s="21">
        <f>EXP(-LN(2)/25)*CL139+(1-EXP(-LN(2)/25))/(LN(2)/25)*Calculateur!CG140*Calculateur!CI140*VLOOKUP('Données projet'!$B$12,Paramètres!$A$1:$I$89,3,0)*0.475*44/12</f>
        <v>1.0348663898879609</v>
      </c>
      <c r="CM140" s="21">
        <f>EXP(-LN(2)/2)*CM139+(1-EXP(-LN(2)/2))/(LN(2)/2)*CG140*CJ140*VLOOKUP('Données projet'!$B$12,Paramètres!$A$1:$I$89,3,0)*0.475*44/12</f>
        <v>3.1048650038671922E-16</v>
      </c>
      <c r="CN140" s="22">
        <f t="shared" si="120"/>
        <v>38.659071056176153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401</v>
      </c>
      <c r="CU140" s="17">
        <f>CT140*VLOOKUP('Données projet'!$B$13,Paramètres!$A$1:$I$89,3,0)*VLOOKUP('Données projet'!$B$13,Paramètres!$A$1:$I$89,5,0)</f>
        <v>250.22399999999999</v>
      </c>
      <c r="CV140" s="13">
        <f t="shared" si="149"/>
        <v>60.633904580527918</v>
      </c>
      <c r="CW140" s="20">
        <f t="shared" si="121"/>
        <v>541.41085047775289</v>
      </c>
      <c r="CX140" s="59">
        <f t="shared" si="122"/>
        <v>834.74418381108626</v>
      </c>
      <c r="CY140" s="59">
        <f ca="1">AVERAGE(OFFSET($CX$3,0,0,'Données projet'!$E$13+1,1))-AVERAGE(OFFSET($H$3,0,0,'Données projet'!$E$13+1,1))</f>
        <v>269.77739619445515</v>
      </c>
      <c r="CZ140" s="59">
        <f t="shared" si="150"/>
        <v>347.56964743629885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16.666331830347374</v>
      </c>
      <c r="DG140" s="21">
        <f>EXP(-LN(2)/25)*DG139+(1-EXP(-LN(2)/25))/(LN(2)/25)*Calculateur!DB140*Calculateur!DD140*VLOOKUP('Données projet'!$B$13,Paramètres!$A$1:$I$89,3,0)*0.475*44/12</f>
        <v>4.7223778252371247</v>
      </c>
      <c r="DH140" s="21">
        <f>EXP(-LN(2)/2)*DH139+(1-EXP(-LN(2)/2))/(LN(2)/2)*DB140*DE140*VLOOKUP('Données projet'!$B$13,Paramètres!$A$1:$I$89,3,0)*0.475*44/12</f>
        <v>1.9499249891575083E-18</v>
      </c>
      <c r="DI140" s="22">
        <f t="shared" si="123"/>
        <v>21.388709655584499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669.99999999999989</v>
      </c>
      <c r="DP140" s="17">
        <f>DO140*VLOOKUP('Données projet'!$B$14,Paramètres!$A$1:$I$89,3,0)*VLOOKUP('Données projet'!$B$14,Paramètres!$A$1:$I$89,5,0)</f>
        <v>322.26999999999992</v>
      </c>
      <c r="DQ140" s="13">
        <f t="shared" si="151"/>
        <v>75.825476822885776</v>
      </c>
      <c r="DR140" s="20">
        <f t="shared" si="124"/>
        <v>693.34962213319261</v>
      </c>
      <c r="DS140" s="59">
        <f t="shared" si="125"/>
        <v>986.68295546652598</v>
      </c>
      <c r="DT140" s="59">
        <f ca="1">AVERAGE(OFFSET($DS$3,0,0,'Données projet'!$E$14+1,1))-AVERAGE(OFFSET($H$3,0,0,'Données projet'!$E$14+1,1))</f>
        <v>312.64506496298173</v>
      </c>
      <c r="DU140" s="59">
        <f t="shared" si="152"/>
        <v>259.97532509897508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36.634094017175364</v>
      </c>
      <c r="EB140" s="21">
        <f>EXP(-LN(2)/25)*EB139+(1-EXP(-LN(2)/25))/(LN(2)/25)*Calculateur!DW140*Calculateur!DY140*VLOOKUP('Données projet'!$B$14,Paramètres!$A$1:$I$89,3,0)*0.475*44/12</f>
        <v>1.0076330638382798</v>
      </c>
      <c r="EC140" s="21">
        <f>EXP(-LN(2)/2)*EC139+(1-EXP(-LN(2)/2))/(LN(2)/2)*DW140*DZ140*VLOOKUP('Données projet'!$B$14,Paramètres!$A$1:$I$89,3,0)*0.475*44/12</f>
        <v>3.0231580300811859E-16</v>
      </c>
      <c r="ED140" s="22">
        <f t="shared" si="126"/>
        <v>37.641727081013642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267</v>
      </c>
      <c r="EK140" s="17">
        <f>EJ140*VLOOKUP('Données projet'!$B$15,Paramètres!$A$1:$I$89,3,0)*VLOOKUP('Données projet'!$B$15,Paramètres!$A$1:$I$89,5,0)</f>
        <v>241.58159999999998</v>
      </c>
      <c r="EL140" s="13">
        <f t="shared" si="153"/>
        <v>58.779689232021951</v>
      </c>
      <c r="EM140" s="20">
        <f t="shared" si="127"/>
        <v>523.12924541243819</v>
      </c>
      <c r="EN140" s="59">
        <f t="shared" si="128"/>
        <v>816.46257874577145</v>
      </c>
      <c r="EO140" s="59">
        <f ca="1">AVERAGE(OFFSET($EN$3,0,0,'Données projet'!$E$15+1,1))-AVERAGE(OFFSET($H$3,0,0,'Données projet'!$E$15+1,1))</f>
        <v>269.64423257646359</v>
      </c>
      <c r="EP140" s="59">
        <f t="shared" si="154"/>
        <v>161.0819079811821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48.890571434955056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48.890571434955056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349.00000000000017</v>
      </c>
      <c r="FF140" s="17">
        <f>FE140*VLOOKUP('Données projet'!$B$16,Paramètres!$A$1:$I$89,3,0)*VLOOKUP('Données projet'!$B$16,Paramètres!$A$1:$I$89,5,0)</f>
        <v>272.22000000000014</v>
      </c>
      <c r="FG140" s="13">
        <f t="shared" si="155"/>
        <v>65.320184547527205</v>
      </c>
      <c r="FH140" s="20">
        <f t="shared" si="130"/>
        <v>587.88248808694345</v>
      </c>
      <c r="FI140" s="59">
        <f t="shared" si="131"/>
        <v>881.21582142027682</v>
      </c>
      <c r="FJ140" s="59">
        <f ca="1">AVERAGE(OFFSET($FI$3,0,0,'Données projet'!$E$16+1,1))-AVERAGE(OFFSET($H$3,0,0,'Données projet'!$E$16+1,1))</f>
        <v>283.77864672734273</v>
      </c>
      <c r="FK140" s="59">
        <f t="shared" si="156"/>
        <v>270.94620935643866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22.994130053515089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22.994130053515089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319</v>
      </c>
      <c r="GA140" s="17">
        <f>FZ140*VLOOKUP('Données projet'!$B$17,Paramètres!$A$1:$I$89,3,0)*VLOOKUP('Données projet'!$B$17,Paramètres!$A$1:$I$89,5,0)</f>
        <v>308.53680000000003</v>
      </c>
      <c r="GB140" s="13">
        <f t="shared" si="157"/>
        <v>72.963171684496103</v>
      </c>
      <c r="GC140" s="20">
        <f t="shared" si="133"/>
        <v>664.4457840171641</v>
      </c>
      <c r="GD140" s="59">
        <f t="shared" si="134"/>
        <v>957.77911735049747</v>
      </c>
      <c r="GE140" s="59">
        <f ca="1">AVERAGE(OFFSET($GD$3,0,0,'Données projet'!$E$17+1,1))-AVERAGE(OFFSET($H$3,0,0,'Données projet'!$E$17+1,1))</f>
        <v>347.54503437087288</v>
      </c>
      <c r="GF140" s="59">
        <f t="shared" si="158"/>
        <v>340.05673244455954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16.959674563487759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16.959674563487759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735.00000000000011</v>
      </c>
      <c r="O141" s="13">
        <f>N141*VLOOKUP('Données projet'!$B$9,Paramètres!$A$1:$I$89,3,0)*VLOOKUP('Données projet'!$B$9,Paramètres!$A$1:$I$89,5,0)</f>
        <v>343.98</v>
      </c>
      <c r="P141" s="13">
        <f t="shared" si="141"/>
        <v>80.321681832084693</v>
      </c>
      <c r="Q141" s="20">
        <f t="shared" si="108"/>
        <v>738.9920958575475</v>
      </c>
      <c r="R141" s="59">
        <f t="shared" si="109"/>
        <v>1032.3254291908809</v>
      </c>
      <c r="S141" s="59">
        <f ca="1">AVERAGE(OFFSET($R$3,0,0,'Données projet'!$E$9+1,1))-AVERAGE(OFFSET($H$3,0,0,'Données projet'!$E$9+1,1))</f>
        <v>342.49944586217674</v>
      </c>
      <c r="T141" s="59">
        <f t="shared" si="142"/>
        <v>282.29766600872563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37.395901188163023</v>
      </c>
      <c r="AA141" s="21">
        <f>EXP(-LN(2)/25)*AA140+(1-EXP(-LN(2)/25))/(LN(2)/25)*Calculateur!V141*Calculateur!X141*VLOOKUP('Données projet'!$B$9,Paramètres!$A$1:$I$89,3,0)*0.475*44/12</f>
        <v>2.0067069798176931</v>
      </c>
      <c r="AB141" s="21">
        <f>EXP(-LN(2)/2)*AB140+(1-EXP(-LN(2)/2))/(LN(2)/2)*V141*Y141*VLOOKUP('Données projet'!$B$9,Paramètres!$A$1:$I$89,3,0)*0.475*44/12</f>
        <v>4.5960172754612681E-18</v>
      </c>
      <c r="AC141" s="22">
        <f t="shared" si="111"/>
        <v>39.402608167980716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739.99999999999966</v>
      </c>
      <c r="AJ141" s="13">
        <f>AI141*VLOOKUP('Données projet'!$B$10,Paramètres!$A$1:$I$89,3,0)*VLOOKUP('Données projet'!$B$10,Paramètres!$A$1:$I$89,5,0)</f>
        <v>413.65999999999985</v>
      </c>
      <c r="AK141" s="13">
        <f t="shared" si="143"/>
        <v>94.540585122244352</v>
      </c>
      <c r="AL141" s="20">
        <f t="shared" si="112"/>
        <v>885.11601908790863</v>
      </c>
      <c r="AM141" s="59">
        <f t="shared" si="113"/>
        <v>1178.4493524212419</v>
      </c>
      <c r="AN141" s="59">
        <f ca="1">AVERAGE(OFFSET($AM$3,0,0,'Données projet'!$E$10+1,1))-AVERAGE(OFFSET($H$3,0,0,'Données projet'!$E$10+1,1))</f>
        <v>490.96084572840579</v>
      </c>
      <c r="AO141" s="59">
        <f t="shared" si="144"/>
        <v>597.91658789908263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26.350347372258632</v>
      </c>
      <c r="AV141" s="21">
        <f>EXP(-LN(2)/25)*AV140+(1-EXP(-LN(2)/25))/(LN(2)/25)*Calculateur!AQ141*Calculateur!AS141*VLOOKUP('Données projet'!$B$10,Paramètres!$A$1:$I$89,3,0)*0.475*44/12</f>
        <v>2.8929464050182925</v>
      </c>
      <c r="AW141" s="21">
        <f>EXP(-LN(2)/2)*AW140+(1-EXP(-LN(2)/2))/(LN(2)/2)*AQ141*AT141*VLOOKUP('Données projet'!$B$10,Paramètres!$A$1:$I$89,3,0)*0.475*44/12</f>
        <v>4.7211310790710456E-17</v>
      </c>
      <c r="AX141" s="21">
        <f t="shared" si="114"/>
        <v>29.243293777276925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213.00000000000003</v>
      </c>
      <c r="BE141" s="13">
        <f>BD141*VLOOKUP('Données projet'!$B$11,Paramètres!$A$1:$I$89,3,0)*VLOOKUP('Données projet'!$B$11,Paramètres!$A$1:$I$89,5,0)</f>
        <v>169.46280000000002</v>
      </c>
      <c r="BF141" s="13">
        <f t="shared" si="145"/>
        <v>42.969686502194378</v>
      </c>
      <c r="BG141" s="20">
        <f t="shared" si="115"/>
        <v>369.98658065798855</v>
      </c>
      <c r="BH141" s="59">
        <f t="shared" si="116"/>
        <v>663.31991399132187</v>
      </c>
      <c r="BI141" s="59">
        <f ca="1">AVERAGE(OFFSET($BH$3,0,0,'Données projet'!$E$11+1,1))-AVERAGE(OFFSET($H$3,0,0,'Données projet'!$E$11+1,1))</f>
        <v>167.80254365106839</v>
      </c>
      <c r="BJ141" s="59">
        <f t="shared" si="146"/>
        <v>167.42302164950172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10.627853964793481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10.627853964793481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669.99999999999989</v>
      </c>
      <c r="BZ141" s="13">
        <f>BY141*VLOOKUP('Données projet'!$B$12,Paramètres!$A$1:$I$89,3,0)*VLOOKUP('Données projet'!$B$12,Paramètres!$A$1:$I$89,5,0)</f>
        <v>330.97999999999996</v>
      </c>
      <c r="CA141" s="13">
        <f t="shared" si="147"/>
        <v>77.633451096966454</v>
      </c>
      <c r="CB141" s="20">
        <f t="shared" si="118"/>
        <v>711.66842732721636</v>
      </c>
      <c r="CC141" s="59">
        <f t="shared" si="119"/>
        <v>1005.0017606605497</v>
      </c>
      <c r="CD141" s="59">
        <f ca="1">AVERAGE(OFFSET($CC$3,0,0,'Données projet'!$E$12+1,1))-AVERAGE(OFFSET($H$3,0,0,'Données projet'!$E$12+1,1))</f>
        <v>322.06606384496587</v>
      </c>
      <c r="CE141" s="59">
        <f t="shared" si="148"/>
        <v>267.71713177624713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36.886416961281149</v>
      </c>
      <c r="CL141" s="21">
        <f>EXP(-LN(2)/25)*CL140+(1-EXP(-LN(2)/25))/(LN(2)/25)*Calculateur!CG141*Calculateur!CI141*VLOOKUP('Données projet'!$B$12,Paramètres!$A$1:$I$89,3,0)*0.475*44/12</f>
        <v>1.0065679140352164</v>
      </c>
      <c r="CM141" s="21">
        <f>EXP(-LN(2)/2)*CM140+(1-EXP(-LN(2)/2))/(LN(2)/2)*CG141*CJ141*VLOOKUP('Données projet'!$B$12,Paramètres!$A$1:$I$89,3,0)*0.475*44/12</f>
        <v>2.1954710989032878E-16</v>
      </c>
      <c r="CN141" s="22">
        <f t="shared" si="120"/>
        <v>37.892984875316365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401</v>
      </c>
      <c r="CU141" s="17">
        <f>CT141*VLOOKUP('Données projet'!$B$13,Paramètres!$A$1:$I$89,3,0)*VLOOKUP('Données projet'!$B$13,Paramètres!$A$1:$I$89,5,0)</f>
        <v>250.22399999999999</v>
      </c>
      <c r="CV141" s="13">
        <f t="shared" si="149"/>
        <v>60.633904580527918</v>
      </c>
      <c r="CW141" s="20">
        <f t="shared" si="121"/>
        <v>541.41085047775289</v>
      </c>
      <c r="CX141" s="59">
        <f t="shared" si="122"/>
        <v>834.74418381108626</v>
      </c>
      <c r="CY141" s="59">
        <f ca="1">AVERAGE(OFFSET($CX$3,0,0,'Données projet'!$E$13+1,1))-AVERAGE(OFFSET($H$3,0,0,'Données projet'!$E$13+1,1))</f>
        <v>269.77739619445515</v>
      </c>
      <c r="CZ141" s="59">
        <f t="shared" si="150"/>
        <v>347.56964743629885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16.339515228612925</v>
      </c>
      <c r="DG141" s="21">
        <f>EXP(-LN(2)/25)*DG140+(1-EXP(-LN(2)/25))/(LN(2)/25)*Calculateur!DB141*Calculateur!DD141*VLOOKUP('Données projet'!$B$13,Paramètres!$A$1:$I$89,3,0)*0.475*44/12</f>
        <v>4.5932441552669587</v>
      </c>
      <c r="DH141" s="21">
        <f>EXP(-LN(2)/2)*DH140+(1-EXP(-LN(2)/2))/(LN(2)/2)*DB141*DE141*VLOOKUP('Données projet'!$B$13,Paramètres!$A$1:$I$89,3,0)*0.475*44/12</f>
        <v>1.3788051826383793E-18</v>
      </c>
      <c r="DI141" s="22">
        <f t="shared" si="123"/>
        <v>20.932759383879883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669.99999999999989</v>
      </c>
      <c r="DP141" s="17">
        <f>DO141*VLOOKUP('Données projet'!$B$14,Paramètres!$A$1:$I$89,3,0)*VLOOKUP('Données projet'!$B$14,Paramètres!$A$1:$I$89,5,0)</f>
        <v>322.26999999999992</v>
      </c>
      <c r="DQ141" s="13">
        <f t="shared" si="151"/>
        <v>75.825476822885776</v>
      </c>
      <c r="DR141" s="20">
        <f t="shared" si="124"/>
        <v>693.34962213319261</v>
      </c>
      <c r="DS141" s="59">
        <f t="shared" si="125"/>
        <v>986.68295546652598</v>
      </c>
      <c r="DT141" s="59">
        <f ca="1">AVERAGE(OFFSET($DS$3,0,0,'Données projet'!$E$14+1,1))-AVERAGE(OFFSET($H$3,0,0,'Données projet'!$E$14+1,1))</f>
        <v>312.64506496298173</v>
      </c>
      <c r="DU141" s="59">
        <f t="shared" si="152"/>
        <v>259.97532509897508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35.915721778089562</v>
      </c>
      <c r="EB141" s="21">
        <f>EXP(-LN(2)/25)*EB140+(1-EXP(-LN(2)/25))/(LN(2)/25)*Calculateur!DW141*Calculateur!DY141*VLOOKUP('Données projet'!$B$14,Paramètres!$A$1:$I$89,3,0)*0.475*44/12</f>
        <v>0.98007928471850214</v>
      </c>
      <c r="EC141" s="21">
        <f>EXP(-LN(2)/2)*EC140+(1-EXP(-LN(2)/2))/(LN(2)/2)*DW141*DZ141*VLOOKUP('Données projet'!$B$14,Paramètres!$A$1:$I$89,3,0)*0.475*44/12</f>
        <v>2.1376955436689712E-16</v>
      </c>
      <c r="ED141" s="22">
        <f t="shared" si="126"/>
        <v>36.895801062808061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267</v>
      </c>
      <c r="EK141" s="17">
        <f>EJ141*VLOOKUP('Données projet'!$B$15,Paramètres!$A$1:$I$89,3,0)*VLOOKUP('Données projet'!$B$15,Paramètres!$A$1:$I$89,5,0)</f>
        <v>241.58159999999998</v>
      </c>
      <c r="EL141" s="13">
        <f t="shared" si="153"/>
        <v>58.779689232021951</v>
      </c>
      <c r="EM141" s="20">
        <f t="shared" si="127"/>
        <v>523.12924541243819</v>
      </c>
      <c r="EN141" s="59">
        <f t="shared" si="128"/>
        <v>816.46257874577145</v>
      </c>
      <c r="EO141" s="59">
        <f ca="1">AVERAGE(OFFSET($EN$3,0,0,'Données projet'!$E$15+1,1))-AVERAGE(OFFSET($H$3,0,0,'Données projet'!$E$15+1,1))</f>
        <v>269.64423257646359</v>
      </c>
      <c r="EP141" s="59">
        <f t="shared" si="154"/>
        <v>161.0819079811821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47.931857149419656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47.931857149419656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349.00000000000017</v>
      </c>
      <c r="FF141" s="17">
        <f>FE141*VLOOKUP('Données projet'!$B$16,Paramètres!$A$1:$I$89,3,0)*VLOOKUP('Données projet'!$B$16,Paramètres!$A$1:$I$89,5,0)</f>
        <v>272.22000000000014</v>
      </c>
      <c r="FG141" s="13">
        <f t="shared" si="155"/>
        <v>65.320184547527205</v>
      </c>
      <c r="FH141" s="20">
        <f t="shared" si="130"/>
        <v>587.88248808694345</v>
      </c>
      <c r="FI141" s="59">
        <f t="shared" si="131"/>
        <v>881.21582142027682</v>
      </c>
      <c r="FJ141" s="59">
        <f ca="1">AVERAGE(OFFSET($FI$3,0,0,'Données projet'!$E$16+1,1))-AVERAGE(OFFSET($H$3,0,0,'Données projet'!$E$16+1,1))</f>
        <v>283.77864672734273</v>
      </c>
      <c r="FK141" s="59">
        <f t="shared" si="156"/>
        <v>270.94620935643866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22.543229188200133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22.543229188200133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319</v>
      </c>
      <c r="GA141" s="17">
        <f>FZ141*VLOOKUP('Données projet'!$B$17,Paramètres!$A$1:$I$89,3,0)*VLOOKUP('Données projet'!$B$17,Paramètres!$A$1:$I$89,5,0)</f>
        <v>308.53680000000003</v>
      </c>
      <c r="GB141" s="13">
        <f t="shared" si="157"/>
        <v>72.963171684496103</v>
      </c>
      <c r="GC141" s="20">
        <f t="shared" si="133"/>
        <v>664.4457840171641</v>
      </c>
      <c r="GD141" s="59">
        <f t="shared" si="134"/>
        <v>957.77911735049747</v>
      </c>
      <c r="GE141" s="59">
        <f ca="1">AVERAGE(OFFSET($GD$3,0,0,'Données projet'!$E$17+1,1))-AVERAGE(OFFSET($H$3,0,0,'Données projet'!$E$17+1,1))</f>
        <v>347.54503437087288</v>
      </c>
      <c r="GF141" s="59">
        <f t="shared" si="158"/>
        <v>340.05673244455954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16.627105689677826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16.627105689677826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735.00000000000011</v>
      </c>
      <c r="O142" s="13">
        <f>N142*VLOOKUP('Données projet'!$B$9,Paramètres!$A$1:$I$89,3,0)*VLOOKUP('Données projet'!$B$9,Paramètres!$A$1:$I$89,5,0)</f>
        <v>343.98</v>
      </c>
      <c r="P142" s="13">
        <f t="shared" si="141"/>
        <v>80.321681832084693</v>
      </c>
      <c r="Q142" s="20">
        <f t="shared" si="108"/>
        <v>738.9920958575475</v>
      </c>
      <c r="R142" s="59">
        <f t="shared" si="109"/>
        <v>1032.3254291908809</v>
      </c>
      <c r="S142" s="59">
        <f ca="1">AVERAGE(OFFSET($R$3,0,0,'Données projet'!$E$9+1,1))-AVERAGE(OFFSET($H$3,0,0,'Données projet'!$E$9+1,1))</f>
        <v>342.49944586217674</v>
      </c>
      <c r="T142" s="59">
        <f t="shared" si="142"/>
        <v>282.29766600872563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36.662590375110646</v>
      </c>
      <c r="AA142" s="21">
        <f>EXP(-LN(2)/25)*AA141+(1-EXP(-LN(2)/25))/(LN(2)/25)*Calculateur!V142*Calculateur!X142*VLOOKUP('Données projet'!$B$9,Paramètres!$A$1:$I$89,3,0)*0.475*44/12</f>
        <v>1.9518334719264445</v>
      </c>
      <c r="AB142" s="21">
        <f>EXP(-LN(2)/2)*AB141+(1-EXP(-LN(2)/2))/(LN(2)/2)*V142*Y142*VLOOKUP('Données projet'!$B$9,Paramètres!$A$1:$I$89,3,0)*0.475*44/12</f>
        <v>3.2498749819291833E-18</v>
      </c>
      <c r="AC142" s="22">
        <f t="shared" si="111"/>
        <v>38.614423847037088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739.99999999999966</v>
      </c>
      <c r="AJ142" s="13">
        <f>AI142*VLOOKUP('Données projet'!$B$10,Paramètres!$A$1:$I$89,3,0)*VLOOKUP('Données projet'!$B$10,Paramètres!$A$1:$I$89,5,0)</f>
        <v>413.65999999999985</v>
      </c>
      <c r="AK142" s="13">
        <f t="shared" si="143"/>
        <v>94.540585122244352</v>
      </c>
      <c r="AL142" s="20">
        <f t="shared" si="112"/>
        <v>885.11601908790863</v>
      </c>
      <c r="AM142" s="59">
        <f t="shared" si="113"/>
        <v>1178.4493524212419</v>
      </c>
      <c r="AN142" s="59">
        <f ca="1">AVERAGE(OFFSET($AM$3,0,0,'Données projet'!$E$10+1,1))-AVERAGE(OFFSET($H$3,0,0,'Données projet'!$E$10+1,1))</f>
        <v>490.96084572840579</v>
      </c>
      <c r="AO142" s="59">
        <f t="shared" si="144"/>
        <v>597.91658789908263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25.833633132413546</v>
      </c>
      <c r="AV142" s="21">
        <f>EXP(-LN(2)/25)*AV141+(1-EXP(-LN(2)/25))/(LN(2)/25)*Calculateur!AQ142*Calculateur!AS142*VLOOKUP('Données projet'!$B$10,Paramètres!$A$1:$I$89,3,0)*0.475*44/12</f>
        <v>2.8138386334396279</v>
      </c>
      <c r="AW142" s="21">
        <f>EXP(-LN(2)/2)*AW141+(1-EXP(-LN(2)/2))/(LN(2)/2)*AQ142*AT142*VLOOKUP('Données projet'!$B$10,Paramètres!$A$1:$I$89,3,0)*0.475*44/12</f>
        <v>3.3383438008816988E-17</v>
      </c>
      <c r="AX142" s="21">
        <f t="shared" si="114"/>
        <v>28.647471765853172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213.00000000000003</v>
      </c>
      <c r="BE142" s="13">
        <f>BD142*VLOOKUP('Données projet'!$B$11,Paramètres!$A$1:$I$89,3,0)*VLOOKUP('Données projet'!$B$11,Paramètres!$A$1:$I$89,5,0)</f>
        <v>169.46280000000002</v>
      </c>
      <c r="BF142" s="13">
        <f t="shared" si="145"/>
        <v>42.969686502194378</v>
      </c>
      <c r="BG142" s="20">
        <f t="shared" si="115"/>
        <v>369.98658065798855</v>
      </c>
      <c r="BH142" s="59">
        <f t="shared" si="116"/>
        <v>663.31991399132187</v>
      </c>
      <c r="BI142" s="59">
        <f ca="1">AVERAGE(OFFSET($BH$3,0,0,'Données projet'!$E$11+1,1))-AVERAGE(OFFSET($H$3,0,0,'Données projet'!$E$11+1,1))</f>
        <v>167.80254365106839</v>
      </c>
      <c r="BJ142" s="59">
        <f t="shared" si="146"/>
        <v>167.42302164950172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10.419448230894719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10.419448230894719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669.99999999999989</v>
      </c>
      <c r="BZ142" s="13">
        <f>BY142*VLOOKUP('Données projet'!$B$12,Paramètres!$A$1:$I$89,3,0)*VLOOKUP('Données projet'!$B$12,Paramètres!$A$1:$I$89,5,0)</f>
        <v>330.97999999999996</v>
      </c>
      <c r="CA142" s="13">
        <f t="shared" si="147"/>
        <v>77.633451096966454</v>
      </c>
      <c r="CB142" s="20">
        <f t="shared" si="118"/>
        <v>711.66842732721636</v>
      </c>
      <c r="CC142" s="59">
        <f t="shared" si="119"/>
        <v>1005.0017606605497</v>
      </c>
      <c r="CD142" s="59">
        <f ca="1">AVERAGE(OFFSET($CC$3,0,0,'Données projet'!$E$12+1,1))-AVERAGE(OFFSET($H$3,0,0,'Données projet'!$E$12+1,1))</f>
        <v>322.06606384496587</v>
      </c>
      <c r="CE142" s="59">
        <f t="shared" si="148"/>
        <v>267.71713177624713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36.163096823163229</v>
      </c>
      <c r="CL142" s="21">
        <f>EXP(-LN(2)/25)*CL141+(1-EXP(-LN(2)/25))/(LN(2)/25)*Calculateur!CG142*Calculateur!CI142*VLOOKUP('Données projet'!$B$12,Paramètres!$A$1:$I$89,3,0)*0.475*44/12</f>
        <v>0.9790432614928174</v>
      </c>
      <c r="CM142" s="21">
        <f>EXP(-LN(2)/2)*CM141+(1-EXP(-LN(2)/2))/(LN(2)/2)*CG142*CJ142*VLOOKUP('Données projet'!$B$12,Paramètres!$A$1:$I$89,3,0)*0.475*44/12</f>
        <v>1.5524325019335963E-16</v>
      </c>
      <c r="CN142" s="22">
        <f t="shared" si="120"/>
        <v>37.142140084656049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401</v>
      </c>
      <c r="CU142" s="17">
        <f>CT142*VLOOKUP('Données projet'!$B$13,Paramètres!$A$1:$I$89,3,0)*VLOOKUP('Données projet'!$B$13,Paramètres!$A$1:$I$89,5,0)</f>
        <v>250.22399999999999</v>
      </c>
      <c r="CV142" s="13">
        <f t="shared" si="149"/>
        <v>60.633904580527918</v>
      </c>
      <c r="CW142" s="20">
        <f t="shared" si="121"/>
        <v>541.41085047775289</v>
      </c>
      <c r="CX142" s="59">
        <f t="shared" si="122"/>
        <v>834.74418381108626</v>
      </c>
      <c r="CY142" s="59">
        <f ca="1">AVERAGE(OFFSET($CX$3,0,0,'Données projet'!$E$13+1,1))-AVERAGE(OFFSET($H$3,0,0,'Données projet'!$E$13+1,1))</f>
        <v>269.77739619445515</v>
      </c>
      <c r="CZ142" s="59">
        <f t="shared" si="150"/>
        <v>347.56964743629885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16.019107301100043</v>
      </c>
      <c r="DG142" s="21">
        <f>EXP(-LN(2)/25)*DG141+(1-EXP(-LN(2)/25))/(LN(2)/25)*Calculateur!DB142*Calculateur!DD142*VLOOKUP('Données projet'!$B$13,Paramètres!$A$1:$I$89,3,0)*0.475*44/12</f>
        <v>4.4676416522929721</v>
      </c>
      <c r="DH142" s="21">
        <f>EXP(-LN(2)/2)*DH141+(1-EXP(-LN(2)/2))/(LN(2)/2)*DB142*DE142*VLOOKUP('Données projet'!$B$13,Paramètres!$A$1:$I$89,3,0)*0.475*44/12</f>
        <v>9.7496249457875413E-19</v>
      </c>
      <c r="DI142" s="22">
        <f t="shared" si="123"/>
        <v>20.486748953393015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669.99999999999989</v>
      </c>
      <c r="DP142" s="17">
        <f>DO142*VLOOKUP('Données projet'!$B$14,Paramètres!$A$1:$I$89,3,0)*VLOOKUP('Données projet'!$B$14,Paramètres!$A$1:$I$89,5,0)</f>
        <v>322.26999999999992</v>
      </c>
      <c r="DQ142" s="13">
        <f t="shared" si="151"/>
        <v>75.825476822885776</v>
      </c>
      <c r="DR142" s="20">
        <f t="shared" si="124"/>
        <v>693.34962213319261</v>
      </c>
      <c r="DS142" s="59">
        <f t="shared" si="125"/>
        <v>986.68295546652598</v>
      </c>
      <c r="DT142" s="59">
        <f ca="1">AVERAGE(OFFSET($DS$3,0,0,'Données projet'!$E$14+1,1))-AVERAGE(OFFSET($H$3,0,0,'Données projet'!$E$14+1,1))</f>
        <v>312.64506496298173</v>
      </c>
      <c r="DU142" s="59">
        <f t="shared" si="152"/>
        <v>259.97532509897508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35.211436380448433</v>
      </c>
      <c r="EB142" s="21">
        <f>EXP(-LN(2)/25)*EB141+(1-EXP(-LN(2)/25))/(LN(2)/25)*Calculateur!DW142*Calculateur!DY142*VLOOKUP('Données projet'!$B$14,Paramètres!$A$1:$I$89,3,0)*0.475*44/12</f>
        <v>0.95327896513774513</v>
      </c>
      <c r="EC142" s="21">
        <f>EXP(-LN(2)/2)*EC141+(1-EXP(-LN(2)/2))/(LN(2)/2)*DW142*DZ142*VLOOKUP('Données projet'!$B$14,Paramètres!$A$1:$I$89,3,0)*0.475*44/12</f>
        <v>1.5115790150405929E-16</v>
      </c>
      <c r="ED142" s="22">
        <f t="shared" si="126"/>
        <v>36.164715345586181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267</v>
      </c>
      <c r="EK142" s="17">
        <f>EJ142*VLOOKUP('Données projet'!$B$15,Paramètres!$A$1:$I$89,3,0)*VLOOKUP('Données projet'!$B$15,Paramètres!$A$1:$I$89,5,0)</f>
        <v>241.58159999999998</v>
      </c>
      <c r="EL142" s="13">
        <f t="shared" si="153"/>
        <v>58.779689232021951</v>
      </c>
      <c r="EM142" s="20">
        <f t="shared" si="127"/>
        <v>523.12924541243819</v>
      </c>
      <c r="EN142" s="59">
        <f t="shared" si="128"/>
        <v>816.46257874577145</v>
      </c>
      <c r="EO142" s="59">
        <f ca="1">AVERAGE(OFFSET($EN$3,0,0,'Données projet'!$E$15+1,1))-AVERAGE(OFFSET($H$3,0,0,'Données projet'!$E$15+1,1))</f>
        <v>269.64423257646359</v>
      </c>
      <c r="EP142" s="59">
        <f t="shared" si="154"/>
        <v>161.0819079811821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46.991942666265629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46.991942666265629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349.00000000000017</v>
      </c>
      <c r="FF142" s="17">
        <f>FE142*VLOOKUP('Données projet'!$B$16,Paramètres!$A$1:$I$89,3,0)*VLOOKUP('Données projet'!$B$16,Paramètres!$A$1:$I$89,5,0)</f>
        <v>272.22000000000014</v>
      </c>
      <c r="FG142" s="13">
        <f t="shared" si="155"/>
        <v>65.320184547527205</v>
      </c>
      <c r="FH142" s="20">
        <f t="shared" si="130"/>
        <v>587.88248808694345</v>
      </c>
      <c r="FI142" s="59">
        <f t="shared" si="131"/>
        <v>881.21582142027682</v>
      </c>
      <c r="FJ142" s="59">
        <f ca="1">AVERAGE(OFFSET($FI$3,0,0,'Données projet'!$E$16+1,1))-AVERAGE(OFFSET($H$3,0,0,'Données projet'!$E$16+1,1))</f>
        <v>283.77864672734273</v>
      </c>
      <c r="FK142" s="59">
        <f t="shared" si="156"/>
        <v>270.94620935643866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22.101170213831633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22.101170213831633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319</v>
      </c>
      <c r="GA142" s="17">
        <f>FZ142*VLOOKUP('Données projet'!$B$17,Paramètres!$A$1:$I$89,3,0)*VLOOKUP('Données projet'!$B$17,Paramètres!$A$1:$I$89,5,0)</f>
        <v>308.53680000000003</v>
      </c>
      <c r="GB142" s="13">
        <f t="shared" si="157"/>
        <v>72.963171684496103</v>
      </c>
      <c r="GC142" s="20">
        <f t="shared" si="133"/>
        <v>664.4457840171641</v>
      </c>
      <c r="GD142" s="59">
        <f t="shared" si="134"/>
        <v>957.77911735049747</v>
      </c>
      <c r="GE142" s="59">
        <f ca="1">AVERAGE(OFFSET($GD$3,0,0,'Données projet'!$E$17+1,1))-AVERAGE(OFFSET($H$3,0,0,'Données projet'!$E$17+1,1))</f>
        <v>347.54503437087288</v>
      </c>
      <c r="GF142" s="59">
        <f t="shared" si="158"/>
        <v>340.05673244455954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16.301058288636323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16.301058288636323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735.00000000000011</v>
      </c>
      <c r="O143" s="13">
        <f>N143*VLOOKUP('Données projet'!$B$9,Paramètres!$A$1:$I$89,3,0)*VLOOKUP('Données projet'!$B$9,Paramètres!$A$1:$I$89,5,0)</f>
        <v>343.98</v>
      </c>
      <c r="P143" s="13">
        <f t="shared" si="141"/>
        <v>80.321681832084693</v>
      </c>
      <c r="Q143" s="20">
        <f t="shared" si="108"/>
        <v>738.9920958575475</v>
      </c>
      <c r="R143" s="59">
        <f t="shared" si="109"/>
        <v>1032.3254291908809</v>
      </c>
      <c r="S143" s="59">
        <f ca="1">AVERAGE(OFFSET($R$3,0,0,'Données projet'!$E$9+1,1))-AVERAGE(OFFSET($H$3,0,0,'Données projet'!$E$9+1,1))</f>
        <v>342.49944586217674</v>
      </c>
      <c r="T143" s="59">
        <f t="shared" si="142"/>
        <v>282.29766600872563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35.943659339826795</v>
      </c>
      <c r="AA143" s="21">
        <f>EXP(-LN(2)/25)*AA142+(1-EXP(-LN(2)/25))/(LN(2)/25)*Calculateur!V143*Calculateur!X143*VLOOKUP('Données projet'!$B$9,Paramètres!$A$1:$I$89,3,0)*0.475*44/12</f>
        <v>1.8984604829941545</v>
      </c>
      <c r="AB143" s="21">
        <f>EXP(-LN(2)/2)*AB142+(1-EXP(-LN(2)/2))/(LN(2)/2)*V143*Y143*VLOOKUP('Données projet'!$B$9,Paramètres!$A$1:$I$89,3,0)*0.475*44/12</f>
        <v>2.2980086377306341E-18</v>
      </c>
      <c r="AC143" s="22">
        <f t="shared" si="111"/>
        <v>37.842119822820948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739.99999999999966</v>
      </c>
      <c r="AJ143" s="13">
        <f>AI143*VLOOKUP('Données projet'!$B$10,Paramètres!$A$1:$I$89,3,0)*VLOOKUP('Données projet'!$B$10,Paramètres!$A$1:$I$89,5,0)</f>
        <v>413.65999999999985</v>
      </c>
      <c r="AK143" s="13">
        <f t="shared" si="143"/>
        <v>94.540585122244352</v>
      </c>
      <c r="AL143" s="20">
        <f t="shared" si="112"/>
        <v>885.11601908790863</v>
      </c>
      <c r="AM143" s="59">
        <f t="shared" si="113"/>
        <v>1178.4493524212419</v>
      </c>
      <c r="AN143" s="59">
        <f ca="1">AVERAGE(OFFSET($AM$3,0,0,'Données projet'!$E$10+1,1))-AVERAGE(OFFSET($H$3,0,0,'Données projet'!$E$10+1,1))</f>
        <v>490.96084572840579</v>
      </c>
      <c r="AO143" s="59">
        <f t="shared" si="144"/>
        <v>597.91658789908263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25.327051343647256</v>
      </c>
      <c r="AV143" s="21">
        <f>EXP(-LN(2)/25)*AV142+(1-EXP(-LN(2)/25))/(LN(2)/25)*Calculateur!AQ143*Calculateur!AS143*VLOOKUP('Données projet'!$B$10,Paramètres!$A$1:$I$89,3,0)*0.475*44/12</f>
        <v>2.7368940680348786</v>
      </c>
      <c r="AW143" s="21">
        <f>EXP(-LN(2)/2)*AW142+(1-EXP(-LN(2)/2))/(LN(2)/2)*AQ143*AT143*VLOOKUP('Données projet'!$B$10,Paramètres!$A$1:$I$89,3,0)*0.475*44/12</f>
        <v>2.3605655395355228E-17</v>
      </c>
      <c r="AX143" s="21">
        <f t="shared" si="114"/>
        <v>28.063945411682134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213.00000000000003</v>
      </c>
      <c r="BE143" s="13">
        <f>BD143*VLOOKUP('Données projet'!$B$11,Paramètres!$A$1:$I$89,3,0)*VLOOKUP('Données projet'!$B$11,Paramètres!$A$1:$I$89,5,0)</f>
        <v>169.46280000000002</v>
      </c>
      <c r="BF143" s="13">
        <f t="shared" si="145"/>
        <v>42.969686502194378</v>
      </c>
      <c r="BG143" s="20">
        <f t="shared" si="115"/>
        <v>369.98658065798855</v>
      </c>
      <c r="BH143" s="59">
        <f t="shared" si="116"/>
        <v>663.31991399132187</v>
      </c>
      <c r="BI143" s="59">
        <f ca="1">AVERAGE(OFFSET($BH$3,0,0,'Données projet'!$E$11+1,1))-AVERAGE(OFFSET($H$3,0,0,'Données projet'!$E$11+1,1))</f>
        <v>167.80254365106839</v>
      </c>
      <c r="BJ143" s="59">
        <f t="shared" si="146"/>
        <v>167.42302164950172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10.215129206322768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10.215129206322768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669.99999999999989</v>
      </c>
      <c r="BZ143" s="13">
        <f>BY143*VLOOKUP('Données projet'!$B$12,Paramètres!$A$1:$I$89,3,0)*VLOOKUP('Données projet'!$B$12,Paramètres!$A$1:$I$89,5,0)</f>
        <v>330.97999999999996</v>
      </c>
      <c r="CA143" s="13">
        <f t="shared" si="147"/>
        <v>77.633451096966454</v>
      </c>
      <c r="CB143" s="20">
        <f t="shared" si="118"/>
        <v>711.66842732721636</v>
      </c>
      <c r="CC143" s="59">
        <f t="shared" si="119"/>
        <v>1005.0017606605497</v>
      </c>
      <c r="CD143" s="59">
        <f ca="1">AVERAGE(OFFSET($CC$3,0,0,'Données projet'!$E$12+1,1))-AVERAGE(OFFSET($H$3,0,0,'Données projet'!$E$12+1,1))</f>
        <v>322.06606384496587</v>
      </c>
      <c r="CE143" s="59">
        <f t="shared" si="148"/>
        <v>267.71713177624713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35.453960551772084</v>
      </c>
      <c r="CL143" s="21">
        <f>EXP(-LN(2)/25)*CL142+(1-EXP(-LN(2)/25))/(LN(2)/25)*Calculateur!CG143*Calculateur!CI143*VLOOKUP('Données projet'!$B$12,Paramètres!$A$1:$I$89,3,0)*0.475*44/12</f>
        <v>0.95227127202164885</v>
      </c>
      <c r="CM143" s="21">
        <f>EXP(-LN(2)/2)*CM142+(1-EXP(-LN(2)/2))/(LN(2)/2)*CG143*CJ143*VLOOKUP('Données projet'!$B$12,Paramètres!$A$1:$I$89,3,0)*0.475*44/12</f>
        <v>1.0977355494516441E-16</v>
      </c>
      <c r="CN143" s="22">
        <f t="shared" si="120"/>
        <v>36.406231823793732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401</v>
      </c>
      <c r="CU143" s="17">
        <f>CT143*VLOOKUP('Données projet'!$B$13,Paramètres!$A$1:$I$89,3,0)*VLOOKUP('Données projet'!$B$13,Paramètres!$A$1:$I$89,5,0)</f>
        <v>250.22399999999999</v>
      </c>
      <c r="CV143" s="13">
        <f t="shared" si="149"/>
        <v>60.633904580527918</v>
      </c>
      <c r="CW143" s="20">
        <f t="shared" si="121"/>
        <v>541.41085047775289</v>
      </c>
      <c r="CX143" s="59">
        <f t="shared" si="122"/>
        <v>834.74418381108626</v>
      </c>
      <c r="CY143" s="59">
        <f ca="1">AVERAGE(OFFSET($CX$3,0,0,'Données projet'!$E$13+1,1))-AVERAGE(OFFSET($H$3,0,0,'Données projet'!$E$13+1,1))</f>
        <v>269.77739619445515</v>
      </c>
      <c r="CZ143" s="59">
        <f t="shared" si="150"/>
        <v>347.56964743629885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15.704982377616149</v>
      </c>
      <c r="DG143" s="21">
        <f>EXP(-LN(2)/25)*DG142+(1-EXP(-LN(2)/25))/(LN(2)/25)*Calculateur!DB143*Calculateur!DD143*VLOOKUP('Données projet'!$B$13,Paramètres!$A$1:$I$89,3,0)*0.475*44/12</f>
        <v>4.3454737563679569</v>
      </c>
      <c r="DH143" s="21">
        <f>EXP(-LN(2)/2)*DH142+(1-EXP(-LN(2)/2))/(LN(2)/2)*DB143*DE143*VLOOKUP('Données projet'!$B$13,Paramètres!$A$1:$I$89,3,0)*0.475*44/12</f>
        <v>6.8940259131918964E-19</v>
      </c>
      <c r="DI143" s="22">
        <f t="shared" si="123"/>
        <v>20.050456133984106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669.99999999999989</v>
      </c>
      <c r="DP143" s="17">
        <f>DO143*VLOOKUP('Données projet'!$B$14,Paramètres!$A$1:$I$89,3,0)*VLOOKUP('Données projet'!$B$14,Paramètres!$A$1:$I$89,5,0)</f>
        <v>322.26999999999992</v>
      </c>
      <c r="DQ143" s="13">
        <f t="shared" si="151"/>
        <v>75.825476822885776</v>
      </c>
      <c r="DR143" s="20">
        <f t="shared" si="124"/>
        <v>693.34962213319261</v>
      </c>
      <c r="DS143" s="59">
        <f t="shared" si="125"/>
        <v>986.68295546652598</v>
      </c>
      <c r="DT143" s="59">
        <f ca="1">AVERAGE(OFFSET($DS$3,0,0,'Données projet'!$E$14+1,1))-AVERAGE(OFFSET($H$3,0,0,'Données projet'!$E$14+1,1))</f>
        <v>312.64506496298173</v>
      </c>
      <c r="DU143" s="59">
        <f t="shared" si="152"/>
        <v>259.97532509897508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34.52096158988337</v>
      </c>
      <c r="EB143" s="21">
        <f>EXP(-LN(2)/25)*EB142+(1-EXP(-LN(2)/25))/(LN(2)/25)*Calculateur!DW143*Calculateur!DY143*VLOOKUP('Données projet'!$B$14,Paramètres!$A$1:$I$89,3,0)*0.475*44/12</f>
        <v>0.92721150170529143</v>
      </c>
      <c r="EC143" s="21">
        <f>EXP(-LN(2)/2)*EC142+(1-EXP(-LN(2)/2))/(LN(2)/2)*DW143*DZ143*VLOOKUP('Données projet'!$B$14,Paramètres!$A$1:$I$89,3,0)*0.475*44/12</f>
        <v>1.0688477718344856E-16</v>
      </c>
      <c r="ED143" s="22">
        <f t="shared" si="126"/>
        <v>35.448173091588664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267</v>
      </c>
      <c r="EK143" s="17">
        <f>EJ143*VLOOKUP('Données projet'!$B$15,Paramètres!$A$1:$I$89,3,0)*VLOOKUP('Données projet'!$B$15,Paramètres!$A$1:$I$89,5,0)</f>
        <v>241.58159999999998</v>
      </c>
      <c r="EL143" s="13">
        <f t="shared" si="153"/>
        <v>58.779689232021951</v>
      </c>
      <c r="EM143" s="20">
        <f t="shared" si="127"/>
        <v>523.12924541243819</v>
      </c>
      <c r="EN143" s="59">
        <f t="shared" si="128"/>
        <v>816.46257874577145</v>
      </c>
      <c r="EO143" s="59">
        <f ca="1">AVERAGE(OFFSET($EN$3,0,0,'Données projet'!$E$15+1,1))-AVERAGE(OFFSET($H$3,0,0,'Données projet'!$E$15+1,1))</f>
        <v>269.64423257646359</v>
      </c>
      <c r="EP143" s="59">
        <f t="shared" si="154"/>
        <v>161.0819079811821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46.070459332835021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46.070459332835021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349.00000000000017</v>
      </c>
      <c r="FF143" s="17">
        <f>FE143*VLOOKUP('Données projet'!$B$16,Paramètres!$A$1:$I$89,3,0)*VLOOKUP('Données projet'!$B$16,Paramètres!$A$1:$I$89,5,0)</f>
        <v>272.22000000000014</v>
      </c>
      <c r="FG143" s="13">
        <f t="shared" si="155"/>
        <v>65.320184547527205</v>
      </c>
      <c r="FH143" s="20">
        <f t="shared" si="130"/>
        <v>587.88248808694345</v>
      </c>
      <c r="FI143" s="59">
        <f t="shared" si="131"/>
        <v>881.21582142027682</v>
      </c>
      <c r="FJ143" s="59">
        <f ca="1">AVERAGE(OFFSET($FI$3,0,0,'Données projet'!$E$16+1,1))-AVERAGE(OFFSET($H$3,0,0,'Données projet'!$E$16+1,1))</f>
        <v>283.77864672734273</v>
      </c>
      <c r="FK143" s="59">
        <f t="shared" si="156"/>
        <v>270.94620935643866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21.667779746321148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21.667779746321148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319</v>
      </c>
      <c r="GA143" s="17">
        <f>FZ143*VLOOKUP('Données projet'!$B$17,Paramètres!$A$1:$I$89,3,0)*VLOOKUP('Données projet'!$B$17,Paramètres!$A$1:$I$89,5,0)</f>
        <v>308.53680000000003</v>
      </c>
      <c r="GB143" s="13">
        <f t="shared" si="157"/>
        <v>72.963171684496103</v>
      </c>
      <c r="GC143" s="20">
        <f t="shared" si="133"/>
        <v>664.4457840171641</v>
      </c>
      <c r="GD143" s="59">
        <f t="shared" si="134"/>
        <v>957.77911735049747</v>
      </c>
      <c r="GE143" s="59">
        <f ca="1">AVERAGE(OFFSET($GD$3,0,0,'Données projet'!$E$17+1,1))-AVERAGE(OFFSET($H$3,0,0,'Données projet'!$E$17+1,1))</f>
        <v>347.54503437087288</v>
      </c>
      <c r="GF143" s="59">
        <f t="shared" si="158"/>
        <v>340.05673244455954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15.981404478259964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15.981404478259964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735.00000000000011</v>
      </c>
      <c r="O144" s="13">
        <f>N144*VLOOKUP('Données projet'!$B$9,Paramètres!$A$1:$I$89,3,0)*VLOOKUP('Données projet'!$B$9,Paramètres!$A$1:$I$89,5,0)</f>
        <v>343.98</v>
      </c>
      <c r="P144" s="13">
        <f t="shared" si="141"/>
        <v>80.321681832084693</v>
      </c>
      <c r="Q144" s="20">
        <f t="shared" si="108"/>
        <v>738.9920958575475</v>
      </c>
      <c r="R144" s="59">
        <f t="shared" si="109"/>
        <v>1032.3254291908809</v>
      </c>
      <c r="S144" s="59">
        <f ca="1">AVERAGE(OFFSET($R$3,0,0,'Données projet'!$E$9+1,1))-AVERAGE(OFFSET($H$3,0,0,'Données projet'!$E$9+1,1))</f>
        <v>342.49944586217674</v>
      </c>
      <c r="T144" s="59">
        <f t="shared" si="142"/>
        <v>282.29766600872563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35.238826103640228</v>
      </c>
      <c r="AA144" s="21">
        <f>EXP(-LN(2)/25)*AA143+(1-EXP(-LN(2)/25))/(LN(2)/25)*Calculateur!V144*Calculateur!X144*VLOOKUP('Données projet'!$B$9,Paramètres!$A$1:$I$89,3,0)*0.475*44/12</f>
        <v>1.8465469812509816</v>
      </c>
      <c r="AB144" s="21">
        <f>EXP(-LN(2)/2)*AB143+(1-EXP(-LN(2)/2))/(LN(2)/2)*V144*Y144*VLOOKUP('Données projet'!$B$9,Paramètres!$A$1:$I$89,3,0)*0.475*44/12</f>
        <v>1.6249374909645916E-18</v>
      </c>
      <c r="AC144" s="22">
        <f t="shared" si="111"/>
        <v>37.085373084891209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739.99999999999966</v>
      </c>
      <c r="AJ144" s="13">
        <f>AI144*VLOOKUP('Données projet'!$B$10,Paramètres!$A$1:$I$89,3,0)*VLOOKUP('Données projet'!$B$10,Paramètres!$A$1:$I$89,5,0)</f>
        <v>413.65999999999985</v>
      </c>
      <c r="AK144" s="13">
        <f t="shared" si="143"/>
        <v>94.540585122244352</v>
      </c>
      <c r="AL144" s="20">
        <f t="shared" si="112"/>
        <v>885.11601908790863</v>
      </c>
      <c r="AM144" s="59">
        <f t="shared" si="113"/>
        <v>1178.4493524212419</v>
      </c>
      <c r="AN144" s="59">
        <f ca="1">AVERAGE(OFFSET($AM$3,0,0,'Données projet'!$E$10+1,1))-AVERAGE(OFFSET($H$3,0,0,'Données projet'!$E$10+1,1))</f>
        <v>490.96084572840579</v>
      </c>
      <c r="AO144" s="59">
        <f t="shared" si="144"/>
        <v>597.91658789908263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24.830403314774291</v>
      </c>
      <c r="AV144" s="21">
        <f>EXP(-LN(2)/25)*AV143+(1-EXP(-LN(2)/25))/(LN(2)/25)*Calculateur!AQ144*Calculateur!AS144*VLOOKUP('Données projet'!$B$10,Paramètres!$A$1:$I$89,3,0)*0.475*44/12</f>
        <v>2.6620535558174612</v>
      </c>
      <c r="AW144" s="21">
        <f>EXP(-LN(2)/2)*AW143+(1-EXP(-LN(2)/2))/(LN(2)/2)*AQ144*AT144*VLOOKUP('Données projet'!$B$10,Paramètres!$A$1:$I$89,3,0)*0.475*44/12</f>
        <v>1.6691719004408494E-17</v>
      </c>
      <c r="AX144" s="21">
        <f t="shared" si="114"/>
        <v>27.492456870591752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213.00000000000003</v>
      </c>
      <c r="BE144" s="13">
        <f>BD144*VLOOKUP('Données projet'!$B$11,Paramètres!$A$1:$I$89,3,0)*VLOOKUP('Données projet'!$B$11,Paramètres!$A$1:$I$89,5,0)</f>
        <v>169.46280000000002</v>
      </c>
      <c r="BF144" s="13">
        <f t="shared" si="145"/>
        <v>42.969686502194378</v>
      </c>
      <c r="BG144" s="20">
        <f t="shared" si="115"/>
        <v>369.98658065798855</v>
      </c>
      <c r="BH144" s="59">
        <f t="shared" si="116"/>
        <v>663.31991399132187</v>
      </c>
      <c r="BI144" s="59">
        <f ca="1">AVERAGE(OFFSET($BH$3,0,0,'Données projet'!$E$11+1,1))-AVERAGE(OFFSET($H$3,0,0,'Données projet'!$E$11+1,1))</f>
        <v>167.80254365106839</v>
      </c>
      <c r="BJ144" s="59">
        <f t="shared" si="146"/>
        <v>167.42302164950172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10.014816753200373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10.014816753200373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669.99999999999989</v>
      </c>
      <c r="BZ144" s="13">
        <f>BY144*VLOOKUP('Données projet'!$B$12,Paramètres!$A$1:$I$89,3,0)*VLOOKUP('Données projet'!$B$12,Paramètres!$A$1:$I$89,5,0)</f>
        <v>330.97999999999996</v>
      </c>
      <c r="CA144" s="13">
        <f t="shared" si="147"/>
        <v>77.633451096966454</v>
      </c>
      <c r="CB144" s="20">
        <f t="shared" si="118"/>
        <v>711.66842732721636</v>
      </c>
      <c r="CC144" s="59">
        <f t="shared" si="119"/>
        <v>1005.0017606605497</v>
      </c>
      <c r="CD144" s="59">
        <f ca="1">AVERAGE(OFFSET($CC$3,0,0,'Données projet'!$E$12+1,1))-AVERAGE(OFFSET($H$3,0,0,'Données projet'!$E$12+1,1))</f>
        <v>322.06606384496587</v>
      </c>
      <c r="CE144" s="59">
        <f t="shared" si="148"/>
        <v>267.71713177624713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34.758730010132503</v>
      </c>
      <c r="CL144" s="21">
        <f>EXP(-LN(2)/25)*CL143+(1-EXP(-LN(2)/25))/(LN(2)/25)*Calculateur!CG144*Calculateur!CI144*VLOOKUP('Données projet'!$B$12,Paramètres!$A$1:$I$89,3,0)*0.475*44/12</f>
        <v>0.92623136401044714</v>
      </c>
      <c r="CM144" s="21">
        <f>EXP(-LN(2)/2)*CM143+(1-EXP(-LN(2)/2))/(LN(2)/2)*CG144*CJ144*VLOOKUP('Données projet'!$B$12,Paramètres!$A$1:$I$89,3,0)*0.475*44/12</f>
        <v>7.762162509667983E-17</v>
      </c>
      <c r="CN144" s="22">
        <f t="shared" si="120"/>
        <v>35.684961374142951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401</v>
      </c>
      <c r="CU144" s="17">
        <f>CT144*VLOOKUP('Données projet'!$B$13,Paramètres!$A$1:$I$89,3,0)*VLOOKUP('Données projet'!$B$13,Paramètres!$A$1:$I$89,5,0)</f>
        <v>250.22399999999999</v>
      </c>
      <c r="CV144" s="13">
        <f t="shared" si="149"/>
        <v>60.633904580527918</v>
      </c>
      <c r="CW144" s="20">
        <f t="shared" si="121"/>
        <v>541.41085047775289</v>
      </c>
      <c r="CX144" s="59">
        <f t="shared" si="122"/>
        <v>834.74418381108626</v>
      </c>
      <c r="CY144" s="59">
        <f ca="1">AVERAGE(OFFSET($CX$3,0,0,'Données projet'!$E$13+1,1))-AVERAGE(OFFSET($H$3,0,0,'Données projet'!$E$13+1,1))</f>
        <v>269.77739619445515</v>
      </c>
      <c r="CZ144" s="59">
        <f t="shared" si="150"/>
        <v>347.56964743629885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15.39701725228449</v>
      </c>
      <c r="DG144" s="21">
        <f>EXP(-LN(2)/25)*DG143+(1-EXP(-LN(2)/25))/(LN(2)/25)*Calculateur!DB144*Calculateur!DD144*VLOOKUP('Données projet'!$B$13,Paramètres!$A$1:$I$89,3,0)*0.475*44/12</f>
        <v>4.2266465479815416</v>
      </c>
      <c r="DH144" s="21">
        <f>EXP(-LN(2)/2)*DH143+(1-EXP(-LN(2)/2))/(LN(2)/2)*DB144*DE144*VLOOKUP('Données projet'!$B$13,Paramètres!$A$1:$I$89,3,0)*0.475*44/12</f>
        <v>4.8748124728937707E-19</v>
      </c>
      <c r="DI144" s="22">
        <f t="shared" si="123"/>
        <v>19.62366380026603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669.99999999999989</v>
      </c>
      <c r="DP144" s="17">
        <f>DO144*VLOOKUP('Données projet'!$B$14,Paramètres!$A$1:$I$89,3,0)*VLOOKUP('Données projet'!$B$14,Paramètres!$A$1:$I$89,5,0)</f>
        <v>322.26999999999992</v>
      </c>
      <c r="DQ144" s="13">
        <f t="shared" si="151"/>
        <v>75.825476822885776</v>
      </c>
      <c r="DR144" s="20">
        <f t="shared" si="124"/>
        <v>693.34962213319261</v>
      </c>
      <c r="DS144" s="59">
        <f t="shared" si="125"/>
        <v>986.68295546652598</v>
      </c>
      <c r="DT144" s="59">
        <f ca="1">AVERAGE(OFFSET($DS$3,0,0,'Données projet'!$E$14+1,1))-AVERAGE(OFFSET($H$3,0,0,'Données projet'!$E$14+1,1))</f>
        <v>312.64506496298173</v>
      </c>
      <c r="DU144" s="59">
        <f t="shared" si="152"/>
        <v>259.97532509897508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33.84402658881325</v>
      </c>
      <c r="EB144" s="21">
        <f>EXP(-LN(2)/25)*EB143+(1-EXP(-LN(2)/25))/(LN(2)/25)*Calculateur!DW144*Calculateur!DY144*VLOOKUP('Données projet'!$B$14,Paramètres!$A$1:$I$89,3,0)*0.475*44/12</f>
        <v>0.90185685443122654</v>
      </c>
      <c r="EC144" s="21">
        <f>EXP(-LN(2)/2)*EC143+(1-EXP(-LN(2)/2))/(LN(2)/2)*DW144*DZ144*VLOOKUP('Données projet'!$B$14,Paramètres!$A$1:$I$89,3,0)*0.475*44/12</f>
        <v>7.5578950752029647E-17</v>
      </c>
      <c r="ED144" s="22">
        <f t="shared" si="126"/>
        <v>34.745883443244473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267</v>
      </c>
      <c r="EK144" s="17">
        <f>EJ144*VLOOKUP('Données projet'!$B$15,Paramètres!$A$1:$I$89,3,0)*VLOOKUP('Données projet'!$B$15,Paramètres!$A$1:$I$89,5,0)</f>
        <v>241.58159999999998</v>
      </c>
      <c r="EL144" s="13">
        <f t="shared" si="153"/>
        <v>58.779689232021951</v>
      </c>
      <c r="EM144" s="20">
        <f t="shared" si="127"/>
        <v>523.12924541243819</v>
      </c>
      <c r="EN144" s="59">
        <f t="shared" si="128"/>
        <v>816.46257874577145</v>
      </c>
      <c r="EO144" s="59">
        <f ca="1">AVERAGE(OFFSET($EN$3,0,0,'Données projet'!$E$15+1,1))-AVERAGE(OFFSET($H$3,0,0,'Données projet'!$E$15+1,1))</f>
        <v>269.64423257646359</v>
      </c>
      <c r="EP144" s="59">
        <f t="shared" si="154"/>
        <v>161.0819079811821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45.167045725523657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45.167045725523657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349.00000000000017</v>
      </c>
      <c r="FF144" s="17">
        <f>FE144*VLOOKUP('Données projet'!$B$16,Paramètres!$A$1:$I$89,3,0)*VLOOKUP('Données projet'!$B$16,Paramètres!$A$1:$I$89,5,0)</f>
        <v>272.22000000000014</v>
      </c>
      <c r="FG144" s="13">
        <f t="shared" si="155"/>
        <v>65.320184547527205</v>
      </c>
      <c r="FH144" s="20">
        <f t="shared" si="130"/>
        <v>587.88248808694345</v>
      </c>
      <c r="FI144" s="59">
        <f t="shared" si="131"/>
        <v>881.21582142027682</v>
      </c>
      <c r="FJ144" s="59">
        <f ca="1">AVERAGE(OFFSET($FI$3,0,0,'Données projet'!$E$16+1,1))-AVERAGE(OFFSET($H$3,0,0,'Données projet'!$E$16+1,1))</f>
        <v>283.77864672734273</v>
      </c>
      <c r="FK144" s="59">
        <f t="shared" si="156"/>
        <v>270.94620935643866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21.242887801536462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21.242887801536462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319</v>
      </c>
      <c r="GA144" s="17">
        <f>FZ144*VLOOKUP('Données projet'!$B$17,Paramètres!$A$1:$I$89,3,0)*VLOOKUP('Données projet'!$B$17,Paramètres!$A$1:$I$89,5,0)</f>
        <v>308.53680000000003</v>
      </c>
      <c r="GB144" s="13">
        <f t="shared" si="157"/>
        <v>72.963171684496103</v>
      </c>
      <c r="GC144" s="20">
        <f t="shared" si="133"/>
        <v>664.4457840171641</v>
      </c>
      <c r="GD144" s="59">
        <f t="shared" si="134"/>
        <v>957.77911735049747</v>
      </c>
      <c r="GE144" s="59">
        <f ca="1">AVERAGE(OFFSET($GD$3,0,0,'Données projet'!$E$17+1,1))-AVERAGE(OFFSET($H$3,0,0,'Données projet'!$E$17+1,1))</f>
        <v>347.54503437087288</v>
      </c>
      <c r="GF144" s="59">
        <f t="shared" si="158"/>
        <v>340.05673244455954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15.668018884135513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15.668018884135513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735.00000000000011</v>
      </c>
      <c r="O145" s="13">
        <f>N145*VLOOKUP('Données projet'!$B$9,Paramètres!$A$1:$I$89,3,0)*VLOOKUP('Données projet'!$B$9,Paramètres!$A$1:$I$89,5,0)</f>
        <v>343.98</v>
      </c>
      <c r="P145" s="13">
        <f t="shared" si="141"/>
        <v>80.321681832084693</v>
      </c>
      <c r="Q145" s="20">
        <f t="shared" si="108"/>
        <v>738.9920958575475</v>
      </c>
      <c r="R145" s="59">
        <f t="shared" si="109"/>
        <v>1032.3254291908809</v>
      </c>
      <c r="S145" s="59">
        <f ca="1">AVERAGE(OFFSET($R$3,0,0,'Données projet'!$E$9+1,1))-AVERAGE(OFFSET($H$3,0,0,'Données projet'!$E$9+1,1))</f>
        <v>342.49944586217674</v>
      </c>
      <c r="T145" s="59">
        <f t="shared" si="142"/>
        <v>282.29766600872563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34.547814217309451</v>
      </c>
      <c r="AA145" s="21">
        <f>EXP(-LN(2)/25)*AA144+(1-EXP(-LN(2)/25))/(LN(2)/25)*Calculateur!V145*Calculateur!X145*VLOOKUP('Données projet'!$B$9,Paramètres!$A$1:$I$89,3,0)*0.475*44/12</f>
        <v>1.796053056942988</v>
      </c>
      <c r="AB145" s="21">
        <f>EXP(-LN(2)/2)*AB144+(1-EXP(-LN(2)/2))/(LN(2)/2)*V145*Y145*VLOOKUP('Données projet'!$B$9,Paramètres!$A$1:$I$89,3,0)*0.475*44/12</f>
        <v>1.149004318865317E-18</v>
      </c>
      <c r="AC145" s="22">
        <f t="shared" si="111"/>
        <v>36.343867274252439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739.99999999999966</v>
      </c>
      <c r="AJ145" s="13">
        <f>AI145*VLOOKUP('Données projet'!$B$10,Paramètres!$A$1:$I$89,3,0)*VLOOKUP('Données projet'!$B$10,Paramètres!$A$1:$I$89,5,0)</f>
        <v>413.65999999999985</v>
      </c>
      <c r="AK145" s="13">
        <f t="shared" si="143"/>
        <v>94.540585122244352</v>
      </c>
      <c r="AL145" s="20">
        <f t="shared" si="112"/>
        <v>885.11601908790863</v>
      </c>
      <c r="AM145" s="59">
        <f t="shared" si="113"/>
        <v>1178.4493524212419</v>
      </c>
      <c r="AN145" s="59">
        <f ca="1">AVERAGE(OFFSET($AM$3,0,0,'Données projet'!$E$10+1,1))-AVERAGE(OFFSET($H$3,0,0,'Données projet'!$E$10+1,1))</f>
        <v>490.96084572840579</v>
      </c>
      <c r="AO145" s="59">
        <f t="shared" si="144"/>
        <v>597.91658789908263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24.34349425082214</v>
      </c>
      <c r="AV145" s="21">
        <f>EXP(-LN(2)/25)*AV144+(1-EXP(-LN(2)/25))/(LN(2)/25)*Calculateur!AQ145*Calculateur!AS145*VLOOKUP('Données projet'!$B$10,Paramètres!$A$1:$I$89,3,0)*0.475*44/12</f>
        <v>2.5892595613423204</v>
      </c>
      <c r="AW145" s="21">
        <f>EXP(-LN(2)/2)*AW144+(1-EXP(-LN(2)/2))/(LN(2)/2)*AQ145*AT145*VLOOKUP('Données projet'!$B$10,Paramètres!$A$1:$I$89,3,0)*0.475*44/12</f>
        <v>1.1802827697677614E-17</v>
      </c>
      <c r="AX145" s="21">
        <f t="shared" si="114"/>
        <v>26.93275381216446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213.00000000000003</v>
      </c>
      <c r="BE145" s="13">
        <f>BD145*VLOOKUP('Données projet'!$B$11,Paramètres!$A$1:$I$89,3,0)*VLOOKUP('Données projet'!$B$11,Paramètres!$A$1:$I$89,5,0)</f>
        <v>169.46280000000002</v>
      </c>
      <c r="BF145" s="13">
        <f t="shared" si="145"/>
        <v>42.969686502194378</v>
      </c>
      <c r="BG145" s="20">
        <f t="shared" si="115"/>
        <v>369.98658065798855</v>
      </c>
      <c r="BH145" s="59">
        <f t="shared" si="116"/>
        <v>663.31991399132187</v>
      </c>
      <c r="BI145" s="59">
        <f ca="1">AVERAGE(OFFSET($BH$3,0,0,'Données projet'!$E$11+1,1))-AVERAGE(OFFSET($H$3,0,0,'Données projet'!$E$11+1,1))</f>
        <v>167.80254365106839</v>
      </c>
      <c r="BJ145" s="59">
        <f t="shared" si="146"/>
        <v>167.42302164950172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9.8184323051051745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9.8184323051051745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669.99999999999989</v>
      </c>
      <c r="BZ145" s="13">
        <f>BY145*VLOOKUP('Données projet'!$B$12,Paramètres!$A$1:$I$89,3,0)*VLOOKUP('Données projet'!$B$12,Paramètres!$A$1:$I$89,5,0)</f>
        <v>330.97999999999996</v>
      </c>
      <c r="CA145" s="13">
        <f t="shared" si="147"/>
        <v>77.633451096966454</v>
      </c>
      <c r="CB145" s="20">
        <f t="shared" si="118"/>
        <v>711.66842732721636</v>
      </c>
      <c r="CC145" s="59">
        <f t="shared" si="119"/>
        <v>1005.0017606605497</v>
      </c>
      <c r="CD145" s="59">
        <f ca="1">AVERAGE(OFFSET($CC$3,0,0,'Données projet'!$E$12+1,1))-AVERAGE(OFFSET($H$3,0,0,'Données projet'!$E$12+1,1))</f>
        <v>322.06606384496587</v>
      </c>
      <c r="CE145" s="59">
        <f t="shared" si="148"/>
        <v>267.71713177624713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34.077132515365712</v>
      </c>
      <c r="CL145" s="21">
        <f>EXP(-LN(2)/25)*CL144+(1-EXP(-LN(2)/25))/(LN(2)/25)*Calculateur!CG145*Calculateur!CI145*VLOOKUP('Données projet'!$B$12,Paramètres!$A$1:$I$89,3,0)*0.475*44/12</f>
        <v>0.90090351865319096</v>
      </c>
      <c r="CM145" s="21">
        <f>EXP(-LN(2)/2)*CM144+(1-EXP(-LN(2)/2))/(LN(2)/2)*CG145*CJ145*VLOOKUP('Données projet'!$B$12,Paramètres!$A$1:$I$89,3,0)*0.475*44/12</f>
        <v>5.4886777472582212E-17</v>
      </c>
      <c r="CN145" s="22">
        <f t="shared" si="120"/>
        <v>34.978036034018899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401</v>
      </c>
      <c r="CU145" s="17">
        <f>CT145*VLOOKUP('Données projet'!$B$13,Paramètres!$A$1:$I$89,3,0)*VLOOKUP('Données projet'!$B$13,Paramètres!$A$1:$I$89,5,0)</f>
        <v>250.22399999999999</v>
      </c>
      <c r="CV145" s="13">
        <f t="shared" si="149"/>
        <v>60.633904580527918</v>
      </c>
      <c r="CW145" s="20">
        <f t="shared" si="121"/>
        <v>541.41085047775289</v>
      </c>
      <c r="CX145" s="59">
        <f t="shared" si="122"/>
        <v>834.74418381108626</v>
      </c>
      <c r="CY145" s="59">
        <f ca="1">AVERAGE(OFFSET($CX$3,0,0,'Données projet'!$E$13+1,1))-AVERAGE(OFFSET($H$3,0,0,'Données projet'!$E$13+1,1))</f>
        <v>269.77739619445515</v>
      </c>
      <c r="CZ145" s="59">
        <f t="shared" si="150"/>
        <v>347.56964743629885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15.095091135220406</v>
      </c>
      <c r="DG145" s="21">
        <f>EXP(-LN(2)/25)*DG144+(1-EXP(-LN(2)/25))/(LN(2)/25)*Calculateur!DB145*Calculateur!DD145*VLOOKUP('Données projet'!$B$13,Paramètres!$A$1:$I$89,3,0)*0.475*44/12</f>
        <v>4.1110686758573047</v>
      </c>
      <c r="DH145" s="21">
        <f>EXP(-LN(2)/2)*DH144+(1-EXP(-LN(2)/2))/(LN(2)/2)*DB145*DE145*VLOOKUP('Données projet'!$B$13,Paramètres!$A$1:$I$89,3,0)*0.475*44/12</f>
        <v>3.4470129565959482E-19</v>
      </c>
      <c r="DI145" s="22">
        <f t="shared" si="123"/>
        <v>19.206159811077711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669.99999999999989</v>
      </c>
      <c r="DP145" s="17">
        <f>DO145*VLOOKUP('Données projet'!$B$14,Paramètres!$A$1:$I$89,3,0)*VLOOKUP('Données projet'!$B$14,Paramètres!$A$1:$I$89,5,0)</f>
        <v>322.26999999999992</v>
      </c>
      <c r="DQ145" s="13">
        <f t="shared" si="151"/>
        <v>75.825476822885776</v>
      </c>
      <c r="DR145" s="20">
        <f t="shared" si="124"/>
        <v>693.34962213319261</v>
      </c>
      <c r="DS145" s="59">
        <f t="shared" si="125"/>
        <v>986.68295546652598</v>
      </c>
      <c r="DT145" s="59">
        <f ca="1">AVERAGE(OFFSET($DS$3,0,0,'Données projet'!$E$14+1,1))-AVERAGE(OFFSET($H$3,0,0,'Données projet'!$E$14+1,1))</f>
        <v>312.64506496298173</v>
      </c>
      <c r="DU145" s="59">
        <f t="shared" si="152"/>
        <v>259.97532509897508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33.180365870224534</v>
      </c>
      <c r="EB145" s="21">
        <f>EXP(-LN(2)/25)*EB144+(1-EXP(-LN(2)/25))/(LN(2)/25)*Calculateur!DW145*Calculateur!DY145*VLOOKUP('Données projet'!$B$14,Paramètres!$A$1:$I$89,3,0)*0.475*44/12</f>
        <v>0.87719553132021388</v>
      </c>
      <c r="EC145" s="21">
        <f>EXP(-LN(2)/2)*EC144+(1-EXP(-LN(2)/2))/(LN(2)/2)*DW145*DZ145*VLOOKUP('Données projet'!$B$14,Paramètres!$A$1:$I$89,3,0)*0.475*44/12</f>
        <v>5.344238859172428E-17</v>
      </c>
      <c r="ED145" s="22">
        <f t="shared" si="126"/>
        <v>34.057561401544746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267</v>
      </c>
      <c r="EK145" s="17">
        <f>EJ145*VLOOKUP('Données projet'!$B$15,Paramètres!$A$1:$I$89,3,0)*VLOOKUP('Données projet'!$B$15,Paramètres!$A$1:$I$89,5,0)</f>
        <v>241.58159999999998</v>
      </c>
      <c r="EL145" s="13">
        <f t="shared" si="153"/>
        <v>58.779689232021951</v>
      </c>
      <c r="EM145" s="20">
        <f t="shared" si="127"/>
        <v>523.12924541243819</v>
      </c>
      <c r="EN145" s="59">
        <f t="shared" si="128"/>
        <v>816.46257874577145</v>
      </c>
      <c r="EO145" s="59">
        <f ca="1">AVERAGE(OFFSET($EN$3,0,0,'Données projet'!$E$15+1,1))-AVERAGE(OFFSET($H$3,0,0,'Données projet'!$E$15+1,1))</f>
        <v>269.64423257646359</v>
      </c>
      <c r="EP145" s="59">
        <f t="shared" si="154"/>
        <v>161.0819079811821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44.281347508023778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44.281347508023778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349.00000000000017</v>
      </c>
      <c r="FF145" s="17">
        <f>FE145*VLOOKUP('Données projet'!$B$16,Paramètres!$A$1:$I$89,3,0)*VLOOKUP('Données projet'!$B$16,Paramètres!$A$1:$I$89,5,0)</f>
        <v>272.22000000000014</v>
      </c>
      <c r="FG145" s="13">
        <f t="shared" si="155"/>
        <v>65.320184547527205</v>
      </c>
      <c r="FH145" s="20">
        <f t="shared" si="130"/>
        <v>587.88248808694345</v>
      </c>
      <c r="FI145" s="59">
        <f t="shared" si="131"/>
        <v>881.21582142027682</v>
      </c>
      <c r="FJ145" s="59">
        <f ca="1">AVERAGE(OFFSET($FI$3,0,0,'Données projet'!$E$16+1,1))-AVERAGE(OFFSET($H$3,0,0,'Données projet'!$E$16+1,1))</f>
        <v>283.77864672734273</v>
      </c>
      <c r="FK145" s="59">
        <f t="shared" si="156"/>
        <v>270.94620935643866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20.826327728630506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20.826327728630506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319</v>
      </c>
      <c r="GA145" s="17">
        <f>FZ145*VLOOKUP('Données projet'!$B$17,Paramètres!$A$1:$I$89,3,0)*VLOOKUP('Données projet'!$B$17,Paramètres!$A$1:$I$89,5,0)</f>
        <v>308.53680000000003</v>
      </c>
      <c r="GB145" s="13">
        <f t="shared" si="157"/>
        <v>72.963171684496103</v>
      </c>
      <c r="GC145" s="20">
        <f t="shared" si="133"/>
        <v>664.4457840171641</v>
      </c>
      <c r="GD145" s="59">
        <f t="shared" si="134"/>
        <v>957.77911735049747</v>
      </c>
      <c r="GE145" s="59">
        <f ca="1">AVERAGE(OFFSET($GD$3,0,0,'Données projet'!$E$17+1,1))-AVERAGE(OFFSET($H$3,0,0,'Données projet'!$E$17+1,1))</f>
        <v>347.54503437087288</v>
      </c>
      <c r="GF145" s="59">
        <f t="shared" si="158"/>
        <v>340.05673244455954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15.360778590365504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15.360778590365504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735.00000000000011</v>
      </c>
      <c r="O146" s="13">
        <f>N146*VLOOKUP('Données projet'!$B$9,Paramètres!$A$1:$I$89,3,0)*VLOOKUP('Données projet'!$B$9,Paramètres!$A$1:$I$89,5,0)</f>
        <v>343.98</v>
      </c>
      <c r="P146" s="13">
        <f t="shared" si="141"/>
        <v>80.321681832084693</v>
      </c>
      <c r="Q146" s="20">
        <f t="shared" si="108"/>
        <v>738.9920958575475</v>
      </c>
      <c r="R146" s="59">
        <f t="shared" si="109"/>
        <v>1032.3254291908809</v>
      </c>
      <c r="S146" s="59">
        <f ca="1">AVERAGE(OFFSET($R$3,0,0,'Données projet'!$E$9+1,1))-AVERAGE(OFFSET($H$3,0,0,'Données projet'!$E$9+1,1))</f>
        <v>342.49944586217674</v>
      </c>
      <c r="T146" s="59">
        <f t="shared" si="142"/>
        <v>282.29766600872563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33.870352652593986</v>
      </c>
      <c r="AA146" s="21">
        <f>EXP(-LN(2)/25)*AA145+(1-EXP(-LN(2)/25))/(LN(2)/25)*Calculateur!V146*Calculateur!X146*VLOOKUP('Données projet'!$B$9,Paramètres!$A$1:$I$89,3,0)*0.475*44/12</f>
        <v>1.7469398916505567</v>
      </c>
      <c r="AB146" s="21">
        <f>EXP(-LN(2)/2)*AB145+(1-EXP(-LN(2)/2))/(LN(2)/2)*V146*Y146*VLOOKUP('Données projet'!$B$9,Paramètres!$A$1:$I$89,3,0)*0.475*44/12</f>
        <v>8.1246874548229582E-19</v>
      </c>
      <c r="AC146" s="22">
        <f t="shared" si="111"/>
        <v>35.617292544244542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739.99999999999966</v>
      </c>
      <c r="AJ146" s="13">
        <f>AI146*VLOOKUP('Données projet'!$B$10,Paramètres!$A$1:$I$89,3,0)*VLOOKUP('Données projet'!$B$10,Paramètres!$A$1:$I$89,5,0)</f>
        <v>413.65999999999985</v>
      </c>
      <c r="AK146" s="13">
        <f t="shared" si="143"/>
        <v>94.540585122244352</v>
      </c>
      <c r="AL146" s="20">
        <f t="shared" si="112"/>
        <v>885.11601908790863</v>
      </c>
      <c r="AM146" s="59">
        <f t="shared" si="113"/>
        <v>1178.4493524212419</v>
      </c>
      <c r="AN146" s="59">
        <f ca="1">AVERAGE(OFFSET($AM$3,0,0,'Données projet'!$E$10+1,1))-AVERAGE(OFFSET($H$3,0,0,'Données projet'!$E$10+1,1))</f>
        <v>490.96084572840579</v>
      </c>
      <c r="AO146" s="59">
        <f t="shared" si="144"/>
        <v>597.91658789908263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23.866133176628885</v>
      </c>
      <c r="AV146" s="21">
        <f>EXP(-LN(2)/25)*AV145+(1-EXP(-LN(2)/25))/(LN(2)/25)*Calculateur!AQ146*Calculateur!AS146*VLOOKUP('Données projet'!$B$10,Paramètres!$A$1:$I$89,3,0)*0.475*44/12</f>
        <v>2.5184561224741722</v>
      </c>
      <c r="AW146" s="21">
        <f>EXP(-LN(2)/2)*AW145+(1-EXP(-LN(2)/2))/(LN(2)/2)*AQ146*AT146*VLOOKUP('Données projet'!$B$10,Paramètres!$A$1:$I$89,3,0)*0.475*44/12</f>
        <v>8.345859502204247E-18</v>
      </c>
      <c r="AX146" s="21">
        <f t="shared" si="114"/>
        <v>26.384589299103059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213.00000000000003</v>
      </c>
      <c r="BE146" s="13">
        <f>BD146*VLOOKUP('Données projet'!$B$11,Paramètres!$A$1:$I$89,3,0)*VLOOKUP('Données projet'!$B$11,Paramètres!$A$1:$I$89,5,0)</f>
        <v>169.46280000000002</v>
      </c>
      <c r="BF146" s="13">
        <f t="shared" si="145"/>
        <v>42.969686502194378</v>
      </c>
      <c r="BG146" s="20">
        <f t="shared" si="115"/>
        <v>369.98658065798855</v>
      </c>
      <c r="BH146" s="59">
        <f t="shared" si="116"/>
        <v>663.31991399132187</v>
      </c>
      <c r="BI146" s="59">
        <f ca="1">AVERAGE(OFFSET($BH$3,0,0,'Données projet'!$E$11+1,1))-AVERAGE(OFFSET($H$3,0,0,'Données projet'!$E$11+1,1))</f>
        <v>167.80254365106839</v>
      </c>
      <c r="BJ146" s="59">
        <f t="shared" si="146"/>
        <v>167.42302164950172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9.6258988362544375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9.6258988362544375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669.99999999999989</v>
      </c>
      <c r="BZ146" s="13">
        <f>BY146*VLOOKUP('Données projet'!$B$12,Paramètres!$A$1:$I$89,3,0)*VLOOKUP('Données projet'!$B$12,Paramètres!$A$1:$I$89,5,0)</f>
        <v>330.97999999999996</v>
      </c>
      <c r="CA146" s="13">
        <f t="shared" si="147"/>
        <v>77.633451096966454</v>
      </c>
      <c r="CB146" s="20">
        <f t="shared" si="118"/>
        <v>711.66842732721636</v>
      </c>
      <c r="CC146" s="59">
        <f t="shared" si="119"/>
        <v>1005.0017606605497</v>
      </c>
      <c r="CD146" s="59">
        <f ca="1">AVERAGE(OFFSET($CC$3,0,0,'Données projet'!$E$12+1,1))-AVERAGE(OFFSET($H$3,0,0,'Données projet'!$E$12+1,1))</f>
        <v>322.06606384496587</v>
      </c>
      <c r="CE146" s="59">
        <f t="shared" si="148"/>
        <v>267.71713177624713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33.408900731737873</v>
      </c>
      <c r="CL146" s="21">
        <f>EXP(-LN(2)/25)*CL145+(1-EXP(-LN(2)/25))/(LN(2)/25)*Calculateur!CG146*Calculateur!CI146*VLOOKUP('Données projet'!$B$12,Paramètres!$A$1:$I$89,3,0)*0.475*44/12</f>
        <v>0.8762682645591624</v>
      </c>
      <c r="CM146" s="21">
        <f>EXP(-LN(2)/2)*CM145+(1-EXP(-LN(2)/2))/(LN(2)/2)*CG146*CJ146*VLOOKUP('Données projet'!$B$12,Paramètres!$A$1:$I$89,3,0)*0.475*44/12</f>
        <v>3.8810812548339921E-17</v>
      </c>
      <c r="CN146" s="22">
        <f t="shared" si="120"/>
        <v>34.285168996297038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401</v>
      </c>
      <c r="CU146" s="17">
        <f>CT146*VLOOKUP('Données projet'!$B$13,Paramètres!$A$1:$I$89,3,0)*VLOOKUP('Données projet'!$B$13,Paramètres!$A$1:$I$89,5,0)</f>
        <v>250.22399999999999</v>
      </c>
      <c r="CV146" s="13">
        <f t="shared" si="149"/>
        <v>60.633904580527918</v>
      </c>
      <c r="CW146" s="20">
        <f t="shared" si="121"/>
        <v>541.41085047775289</v>
      </c>
      <c r="CX146" s="59">
        <f t="shared" si="122"/>
        <v>834.74418381108626</v>
      </c>
      <c r="CY146" s="59">
        <f ca="1">AVERAGE(OFFSET($CX$3,0,0,'Données projet'!$E$13+1,1))-AVERAGE(OFFSET($H$3,0,0,'Données projet'!$E$13+1,1))</f>
        <v>269.77739619445515</v>
      </c>
      <c r="CZ146" s="59">
        <f t="shared" si="150"/>
        <v>347.56964743629885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14.7990856051552</v>
      </c>
      <c r="DG146" s="21">
        <f>EXP(-LN(2)/25)*DG145+(1-EXP(-LN(2)/25))/(LN(2)/25)*Calculateur!DB146*Calculateur!DD146*VLOOKUP('Données projet'!$B$13,Paramètres!$A$1:$I$89,3,0)*0.475*44/12</f>
        <v>3.9986512867242809</v>
      </c>
      <c r="DH146" s="21">
        <f>EXP(-LN(2)/2)*DH145+(1-EXP(-LN(2)/2))/(LN(2)/2)*DB146*DE146*VLOOKUP('Données projet'!$B$13,Paramètres!$A$1:$I$89,3,0)*0.475*44/12</f>
        <v>2.4374062364468853E-19</v>
      </c>
      <c r="DI146" s="22">
        <f t="shared" si="123"/>
        <v>18.797736891879481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669.99999999999989</v>
      </c>
      <c r="DP146" s="17">
        <f>DO146*VLOOKUP('Données projet'!$B$14,Paramètres!$A$1:$I$89,3,0)*VLOOKUP('Données projet'!$B$14,Paramètres!$A$1:$I$89,5,0)</f>
        <v>322.26999999999992</v>
      </c>
      <c r="DQ146" s="13">
        <f t="shared" si="151"/>
        <v>75.825476822885776</v>
      </c>
      <c r="DR146" s="20">
        <f t="shared" si="124"/>
        <v>693.34962213319261</v>
      </c>
      <c r="DS146" s="59">
        <f t="shared" si="125"/>
        <v>986.68295546652598</v>
      </c>
      <c r="DT146" s="59">
        <f ca="1">AVERAGE(OFFSET($DS$3,0,0,'Données projet'!$E$14+1,1))-AVERAGE(OFFSET($H$3,0,0,'Données projet'!$E$14+1,1))</f>
        <v>312.64506496298173</v>
      </c>
      <c r="DU146" s="59">
        <f t="shared" si="152"/>
        <v>259.97532509897508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32.529719133534272</v>
      </c>
      <c r="EB146" s="21">
        <f>EXP(-LN(2)/25)*EB145+(1-EXP(-LN(2)/25))/(LN(2)/25)*Calculateur!DW146*Calculateur!DY146*VLOOKUP('Données projet'!$B$14,Paramètres!$A$1:$I$89,3,0)*0.475*44/12</f>
        <v>0.85320857338655454</v>
      </c>
      <c r="EC146" s="21">
        <f>EXP(-LN(2)/2)*EC145+(1-EXP(-LN(2)/2))/(LN(2)/2)*DW146*DZ146*VLOOKUP('Données projet'!$B$14,Paramètres!$A$1:$I$89,3,0)*0.475*44/12</f>
        <v>3.7789475376014823E-17</v>
      </c>
      <c r="ED146" s="22">
        <f t="shared" si="126"/>
        <v>33.382927706920825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267</v>
      </c>
      <c r="EK146" s="17">
        <f>EJ146*VLOOKUP('Données projet'!$B$15,Paramètres!$A$1:$I$89,3,0)*VLOOKUP('Données projet'!$B$15,Paramètres!$A$1:$I$89,5,0)</f>
        <v>241.58159999999998</v>
      </c>
      <c r="EL146" s="13">
        <f t="shared" si="153"/>
        <v>58.779689232021951</v>
      </c>
      <c r="EM146" s="20">
        <f t="shared" si="127"/>
        <v>523.12924541243819</v>
      </c>
      <c r="EN146" s="59">
        <f t="shared" si="128"/>
        <v>816.46257874577145</v>
      </c>
      <c r="EO146" s="59">
        <f ca="1">AVERAGE(OFFSET($EN$3,0,0,'Données projet'!$E$15+1,1))-AVERAGE(OFFSET($H$3,0,0,'Données projet'!$E$15+1,1))</f>
        <v>269.64423257646359</v>
      </c>
      <c r="EP146" s="59">
        <f t="shared" si="154"/>
        <v>161.0819079811821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43.413017292346495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43.413017292346495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349.00000000000017</v>
      </c>
      <c r="FF146" s="17">
        <f>FE146*VLOOKUP('Données projet'!$B$16,Paramètres!$A$1:$I$89,3,0)*VLOOKUP('Données projet'!$B$16,Paramètres!$A$1:$I$89,5,0)</f>
        <v>272.22000000000014</v>
      </c>
      <c r="FG146" s="13">
        <f t="shared" si="155"/>
        <v>65.320184547527205</v>
      </c>
      <c r="FH146" s="20">
        <f t="shared" si="130"/>
        <v>587.88248808694345</v>
      </c>
      <c r="FI146" s="59">
        <f t="shared" si="131"/>
        <v>881.21582142027682</v>
      </c>
      <c r="FJ146" s="59">
        <f ca="1">AVERAGE(OFFSET($FI$3,0,0,'Données projet'!$E$16+1,1))-AVERAGE(OFFSET($H$3,0,0,'Données projet'!$E$16+1,1))</f>
        <v>283.77864672734273</v>
      </c>
      <c r="FK146" s="59">
        <f t="shared" si="156"/>
        <v>270.94620935643866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20.417936144677679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20.417936144677679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319</v>
      </c>
      <c r="GA146" s="17">
        <f>FZ146*VLOOKUP('Données projet'!$B$17,Paramètres!$A$1:$I$89,3,0)*VLOOKUP('Données projet'!$B$17,Paramètres!$A$1:$I$89,5,0)</f>
        <v>308.53680000000003</v>
      </c>
      <c r="GB146" s="13">
        <f t="shared" si="157"/>
        <v>72.963171684496103</v>
      </c>
      <c r="GC146" s="20">
        <f t="shared" si="133"/>
        <v>664.4457840171641</v>
      </c>
      <c r="GD146" s="59">
        <f t="shared" si="134"/>
        <v>957.77911735049747</v>
      </c>
      <c r="GE146" s="59">
        <f ca="1">AVERAGE(OFFSET($GD$3,0,0,'Données projet'!$E$17+1,1))-AVERAGE(OFFSET($H$3,0,0,'Données projet'!$E$17+1,1))</f>
        <v>347.54503437087288</v>
      </c>
      <c r="GF146" s="59">
        <f t="shared" si="158"/>
        <v>340.05673244455954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15.05956309135825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15.05956309135825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735.00000000000011</v>
      </c>
      <c r="O147" s="13">
        <f>N147*VLOOKUP('Données projet'!$B$9,Paramètres!$A$1:$I$89,3,0)*VLOOKUP('Données projet'!$B$9,Paramètres!$A$1:$I$89,5,0)</f>
        <v>343.98</v>
      </c>
      <c r="P147" s="13">
        <f t="shared" si="141"/>
        <v>80.321681832084693</v>
      </c>
      <c r="Q147" s="20">
        <f t="shared" si="108"/>
        <v>738.9920958575475</v>
      </c>
      <c r="R147" s="59">
        <f t="shared" si="109"/>
        <v>1032.3254291908809</v>
      </c>
      <c r="S147" s="59">
        <f ca="1">AVERAGE(OFFSET($R$3,0,0,'Données projet'!$E$9+1,1))-AVERAGE(OFFSET($H$3,0,0,'Données projet'!$E$9+1,1))</f>
        <v>342.49944586217674</v>
      </c>
      <c r="T147" s="59">
        <f t="shared" si="142"/>
        <v>282.29766600872563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33.206175695951842</v>
      </c>
      <c r="AA147" s="21">
        <f>EXP(-LN(2)/25)*AA146+(1-EXP(-LN(2)/25))/(LN(2)/25)*Calculateur!V147*Calculateur!X147*VLOOKUP('Données projet'!$B$9,Paramètres!$A$1:$I$89,3,0)*0.475*44/12</f>
        <v>1.6991697284457961</v>
      </c>
      <c r="AB147" s="21">
        <f>EXP(-LN(2)/2)*AB146+(1-EXP(-LN(2)/2))/(LN(2)/2)*V147*Y147*VLOOKUP('Données projet'!$B$9,Paramètres!$A$1:$I$89,3,0)*0.475*44/12</f>
        <v>5.7450215943265852E-19</v>
      </c>
      <c r="AC147" s="22">
        <f t="shared" si="111"/>
        <v>34.905345424397638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739.99999999999966</v>
      </c>
      <c r="AJ147" s="13">
        <f>AI147*VLOOKUP('Données projet'!$B$10,Paramètres!$A$1:$I$89,3,0)*VLOOKUP('Données projet'!$B$10,Paramètres!$A$1:$I$89,5,0)</f>
        <v>413.65999999999985</v>
      </c>
      <c r="AK147" s="13">
        <f t="shared" si="143"/>
        <v>94.540585122244352</v>
      </c>
      <c r="AL147" s="20">
        <f t="shared" si="112"/>
        <v>885.11601908790863</v>
      </c>
      <c r="AM147" s="59">
        <f t="shared" si="113"/>
        <v>1178.4493524212419</v>
      </c>
      <c r="AN147" s="59">
        <f ca="1">AVERAGE(OFFSET($AM$3,0,0,'Données projet'!$E$10+1,1))-AVERAGE(OFFSET($H$3,0,0,'Données projet'!$E$10+1,1))</f>
        <v>490.96084572840579</v>
      </c>
      <c r="AO147" s="59">
        <f t="shared" si="144"/>
        <v>597.91658789908263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23.398132861939057</v>
      </c>
      <c r="AV147" s="21">
        <f>EXP(-LN(2)/25)*AV146+(1-EXP(-LN(2)/25))/(LN(2)/25)*Calculateur!AQ147*Calculateur!AS147*VLOOKUP('Données projet'!$B$10,Paramètres!$A$1:$I$89,3,0)*0.475*44/12</f>
        <v>2.4495888073652643</v>
      </c>
      <c r="AW147" s="21">
        <f>EXP(-LN(2)/2)*AW146+(1-EXP(-LN(2)/2))/(LN(2)/2)*AQ147*AT147*VLOOKUP('Données projet'!$B$10,Paramètres!$A$1:$I$89,3,0)*0.475*44/12</f>
        <v>5.9014138488388071E-18</v>
      </c>
      <c r="AX147" s="21">
        <f t="shared" si="114"/>
        <v>25.84772166930432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213.00000000000003</v>
      </c>
      <c r="BE147" s="13">
        <f>BD147*VLOOKUP('Données projet'!$B$11,Paramètres!$A$1:$I$89,3,0)*VLOOKUP('Données projet'!$B$11,Paramètres!$A$1:$I$89,5,0)</f>
        <v>169.46280000000002</v>
      </c>
      <c r="BF147" s="13">
        <f t="shared" si="145"/>
        <v>42.969686502194378</v>
      </c>
      <c r="BG147" s="20">
        <f t="shared" si="115"/>
        <v>369.98658065798855</v>
      </c>
      <c r="BH147" s="59">
        <f t="shared" si="116"/>
        <v>663.31991399132187</v>
      </c>
      <c r="BI147" s="59">
        <f ca="1">AVERAGE(OFFSET($BH$3,0,0,'Données projet'!$E$11+1,1))-AVERAGE(OFFSET($H$3,0,0,'Données projet'!$E$11+1,1))</f>
        <v>167.80254365106839</v>
      </c>
      <c r="BJ147" s="59">
        <f t="shared" si="146"/>
        <v>167.42302164950172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9.4371408312940428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9.4371408312940428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669.99999999999989</v>
      </c>
      <c r="BZ147" s="13">
        <f>BY147*VLOOKUP('Données projet'!$B$12,Paramètres!$A$1:$I$89,3,0)*VLOOKUP('Données projet'!$B$12,Paramètres!$A$1:$I$89,5,0)</f>
        <v>330.97999999999996</v>
      </c>
      <c r="CA147" s="13">
        <f t="shared" si="147"/>
        <v>77.633451096966454</v>
      </c>
      <c r="CB147" s="20">
        <f t="shared" si="118"/>
        <v>711.66842732721636</v>
      </c>
      <c r="CC147" s="59">
        <f t="shared" si="119"/>
        <v>1005.0017606605497</v>
      </c>
      <c r="CD147" s="59">
        <f ca="1">AVERAGE(OFFSET($CC$3,0,0,'Données projet'!$E$12+1,1))-AVERAGE(OFFSET($H$3,0,0,'Données projet'!$E$12+1,1))</f>
        <v>322.06606384496587</v>
      </c>
      <c r="CE147" s="59">
        <f t="shared" si="148"/>
        <v>267.71713177624713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32.753772565805839</v>
      </c>
      <c r="CL147" s="21">
        <f>EXP(-LN(2)/25)*CL146+(1-EXP(-LN(2)/25))/(LN(2)/25)*Calculateur!CG147*Calculateur!CI147*VLOOKUP('Données projet'!$B$12,Paramètres!$A$1:$I$89,3,0)*0.475*44/12</f>
        <v>0.85230666278384681</v>
      </c>
      <c r="CM147" s="21">
        <f>EXP(-LN(2)/2)*CM146+(1-EXP(-LN(2)/2))/(LN(2)/2)*CG147*CJ147*VLOOKUP('Données projet'!$B$12,Paramètres!$A$1:$I$89,3,0)*0.475*44/12</f>
        <v>2.7443388736291112E-17</v>
      </c>
      <c r="CN147" s="22">
        <f t="shared" si="120"/>
        <v>33.606079228589685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401</v>
      </c>
      <c r="CU147" s="17">
        <f>CT147*VLOOKUP('Données projet'!$B$13,Paramètres!$A$1:$I$89,3,0)*VLOOKUP('Données projet'!$B$13,Paramètres!$A$1:$I$89,5,0)</f>
        <v>250.22399999999999</v>
      </c>
      <c r="CV147" s="13">
        <f t="shared" si="149"/>
        <v>60.633904580527918</v>
      </c>
      <c r="CW147" s="20">
        <f t="shared" si="121"/>
        <v>541.41085047775289</v>
      </c>
      <c r="CX147" s="59">
        <f t="shared" si="122"/>
        <v>834.74418381108626</v>
      </c>
      <c r="CY147" s="59">
        <f ca="1">AVERAGE(OFFSET($CX$3,0,0,'Données projet'!$E$13+1,1))-AVERAGE(OFFSET($H$3,0,0,'Données projet'!$E$13+1,1))</f>
        <v>269.77739619445515</v>
      </c>
      <c r="CZ147" s="59">
        <f t="shared" si="150"/>
        <v>347.56964743629885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14.508884562989028</v>
      </c>
      <c r="DG147" s="21">
        <f>EXP(-LN(2)/25)*DG146+(1-EXP(-LN(2)/25))/(LN(2)/25)*Calculateur!DB147*Calculateur!DD147*VLOOKUP('Données projet'!$B$13,Paramètres!$A$1:$I$89,3,0)*0.475*44/12</f>
        <v>3.8893079570088736</v>
      </c>
      <c r="DH147" s="21">
        <f>EXP(-LN(2)/2)*DH146+(1-EXP(-LN(2)/2))/(LN(2)/2)*DB147*DE147*VLOOKUP('Données projet'!$B$13,Paramètres!$A$1:$I$89,3,0)*0.475*44/12</f>
        <v>1.7235064782979741E-19</v>
      </c>
      <c r="DI147" s="22">
        <f t="shared" si="123"/>
        <v>18.398192519997902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669.99999999999989</v>
      </c>
      <c r="DP147" s="17">
        <f>DO147*VLOOKUP('Données projet'!$B$14,Paramètres!$A$1:$I$89,3,0)*VLOOKUP('Données projet'!$B$14,Paramètres!$A$1:$I$89,5,0)</f>
        <v>322.26999999999992</v>
      </c>
      <c r="DQ147" s="13">
        <f t="shared" si="151"/>
        <v>75.825476822885776</v>
      </c>
      <c r="DR147" s="20">
        <f t="shared" si="124"/>
        <v>693.34962213319261</v>
      </c>
      <c r="DS147" s="59">
        <f t="shared" si="125"/>
        <v>986.68295546652598</v>
      </c>
      <c r="DT147" s="59">
        <f ca="1">AVERAGE(OFFSET($DS$3,0,0,'Données projet'!$E$14+1,1))-AVERAGE(OFFSET($H$3,0,0,'Données projet'!$E$14+1,1))</f>
        <v>312.64506496298173</v>
      </c>
      <c r="DU147" s="59">
        <f t="shared" si="152"/>
        <v>259.97532509897508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31.891831182495185</v>
      </c>
      <c r="EB147" s="21">
        <f>EXP(-LN(2)/25)*EB146+(1-EXP(-LN(2)/25))/(LN(2)/25)*Calculateur!DW147*Calculateur!DY147*VLOOKUP('Données projet'!$B$14,Paramètres!$A$1:$I$89,3,0)*0.475*44/12</f>
        <v>0.82987754007901038</v>
      </c>
      <c r="EC147" s="21">
        <f>EXP(-LN(2)/2)*EC146+(1-EXP(-LN(2)/2))/(LN(2)/2)*DW147*DZ147*VLOOKUP('Données projet'!$B$14,Paramètres!$A$1:$I$89,3,0)*0.475*44/12</f>
        <v>2.672119429586214E-17</v>
      </c>
      <c r="ED147" s="22">
        <f t="shared" si="126"/>
        <v>32.721708722574192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267</v>
      </c>
      <c r="EK147" s="17">
        <f>EJ147*VLOOKUP('Données projet'!$B$15,Paramètres!$A$1:$I$89,3,0)*VLOOKUP('Données projet'!$B$15,Paramètres!$A$1:$I$89,5,0)</f>
        <v>241.58159999999998</v>
      </c>
      <c r="EL147" s="13">
        <f t="shared" si="153"/>
        <v>58.779689232021951</v>
      </c>
      <c r="EM147" s="20">
        <f t="shared" si="127"/>
        <v>523.12924541243819</v>
      </c>
      <c r="EN147" s="59">
        <f t="shared" si="128"/>
        <v>816.46257874577145</v>
      </c>
      <c r="EO147" s="59">
        <f ca="1">AVERAGE(OFFSET($EN$3,0,0,'Données projet'!$E$15+1,1))-AVERAGE(OFFSET($H$3,0,0,'Données projet'!$E$15+1,1))</f>
        <v>269.64423257646359</v>
      </c>
      <c r="EP147" s="59">
        <f t="shared" si="154"/>
        <v>161.0819079811821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42.561714502569515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42.561714502569515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349.00000000000017</v>
      </c>
      <c r="FF147" s="17">
        <f>FE147*VLOOKUP('Données projet'!$B$16,Paramètres!$A$1:$I$89,3,0)*VLOOKUP('Données projet'!$B$16,Paramètres!$A$1:$I$89,5,0)</f>
        <v>272.22000000000014</v>
      </c>
      <c r="FG147" s="13">
        <f t="shared" si="155"/>
        <v>65.320184547527205</v>
      </c>
      <c r="FH147" s="20">
        <f t="shared" si="130"/>
        <v>587.88248808694345</v>
      </c>
      <c r="FI147" s="59">
        <f t="shared" si="131"/>
        <v>881.21582142027682</v>
      </c>
      <c r="FJ147" s="59">
        <f ca="1">AVERAGE(OFFSET($FI$3,0,0,'Données projet'!$E$16+1,1))-AVERAGE(OFFSET($H$3,0,0,'Données projet'!$E$16+1,1))</f>
        <v>283.77864672734273</v>
      </c>
      <c r="FK147" s="59">
        <f t="shared" si="156"/>
        <v>270.94620935643866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20.017552870591896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20.017552870591896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319</v>
      </c>
      <c r="GA147" s="17">
        <f>FZ147*VLOOKUP('Données projet'!$B$17,Paramètres!$A$1:$I$89,3,0)*VLOOKUP('Données projet'!$B$17,Paramètres!$A$1:$I$89,5,0)</f>
        <v>308.53680000000003</v>
      </c>
      <c r="GB147" s="13">
        <f t="shared" si="157"/>
        <v>72.963171684496103</v>
      </c>
      <c r="GC147" s="20">
        <f t="shared" si="133"/>
        <v>664.4457840171641</v>
      </c>
      <c r="GD147" s="59">
        <f t="shared" si="134"/>
        <v>957.77911735049747</v>
      </c>
      <c r="GE147" s="59">
        <f ca="1">AVERAGE(OFFSET($GD$3,0,0,'Données projet'!$E$17+1,1))-AVERAGE(OFFSET($H$3,0,0,'Données projet'!$E$17+1,1))</f>
        <v>347.54503437087288</v>
      </c>
      <c r="GF147" s="59">
        <f t="shared" si="158"/>
        <v>340.05673244455954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14.764254244563215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14.764254244563215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735.00000000000011</v>
      </c>
      <c r="O148" s="13">
        <f>N148*VLOOKUP('Données projet'!$B$9,Paramètres!$A$1:$I$89,3,0)*VLOOKUP('Données projet'!$B$9,Paramètres!$A$1:$I$89,5,0)</f>
        <v>343.98</v>
      </c>
      <c r="P148" s="13">
        <f t="shared" si="141"/>
        <v>80.321681832084693</v>
      </c>
      <c r="Q148" s="20">
        <f t="shared" si="108"/>
        <v>738.9920958575475</v>
      </c>
      <c r="R148" s="59">
        <f t="shared" si="109"/>
        <v>1032.3254291908809</v>
      </c>
      <c r="S148" s="59">
        <f ca="1">AVERAGE(OFFSET($R$3,0,0,'Données projet'!$E$9+1,1))-AVERAGE(OFFSET($H$3,0,0,'Données projet'!$E$9+1,1))</f>
        <v>342.49944586217674</v>
      </c>
      <c r="T148" s="59">
        <f t="shared" si="142"/>
        <v>282.29766600872563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32.555022844321506</v>
      </c>
      <c r="AA148" s="21">
        <f>EXP(-LN(2)/25)*AA147+(1-EXP(-LN(2)/25))/(LN(2)/25)*Calculateur!V148*Calculateur!X148*VLOOKUP('Données projet'!$B$9,Paramètres!$A$1:$I$89,3,0)*0.475*44/12</f>
        <v>1.6527058428659933</v>
      </c>
      <c r="AB148" s="21">
        <f>EXP(-LN(2)/2)*AB147+(1-EXP(-LN(2)/2))/(LN(2)/2)*V148*Y148*VLOOKUP('Données projet'!$B$9,Paramètres!$A$1:$I$89,3,0)*0.475*44/12</f>
        <v>4.0623437274114791E-19</v>
      </c>
      <c r="AC148" s="22">
        <f t="shared" si="111"/>
        <v>34.207728687187497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739.99999999999966</v>
      </c>
      <c r="AJ148" s="13">
        <f>AI148*VLOOKUP('Données projet'!$B$10,Paramètres!$A$1:$I$89,3,0)*VLOOKUP('Données projet'!$B$10,Paramètres!$A$1:$I$89,5,0)</f>
        <v>413.65999999999985</v>
      </c>
      <c r="AK148" s="13">
        <f t="shared" si="143"/>
        <v>94.540585122244352</v>
      </c>
      <c r="AL148" s="20">
        <f t="shared" si="112"/>
        <v>885.11601908790863</v>
      </c>
      <c r="AM148" s="59">
        <f t="shared" si="113"/>
        <v>1178.4493524212419</v>
      </c>
      <c r="AN148" s="59">
        <f ca="1">AVERAGE(OFFSET($AM$3,0,0,'Données projet'!$E$10+1,1))-AVERAGE(OFFSET($H$3,0,0,'Données projet'!$E$10+1,1))</f>
        <v>490.96084572840579</v>
      </c>
      <c r="AO148" s="59">
        <f t="shared" si="144"/>
        <v>597.91658789908263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22.939309747968288</v>
      </c>
      <c r="AV148" s="21">
        <f>EXP(-LN(2)/25)*AV147+(1-EXP(-LN(2)/25))/(LN(2)/25)*Calculateur!AQ148*Calculateur!AS148*VLOOKUP('Données projet'!$B$10,Paramètres!$A$1:$I$89,3,0)*0.475*44/12</f>
        <v>2.3826046726095842</v>
      </c>
      <c r="AW148" s="21">
        <f>EXP(-LN(2)/2)*AW147+(1-EXP(-LN(2)/2))/(LN(2)/2)*AQ148*AT148*VLOOKUP('Données projet'!$B$10,Paramètres!$A$1:$I$89,3,0)*0.475*44/12</f>
        <v>4.1729297511021235E-18</v>
      </c>
      <c r="AX148" s="21">
        <f t="shared" si="114"/>
        <v>25.321914420577873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213.00000000000003</v>
      </c>
      <c r="BE148" s="13">
        <f>BD148*VLOOKUP('Données projet'!$B$11,Paramètres!$A$1:$I$89,3,0)*VLOOKUP('Données projet'!$B$11,Paramètres!$A$1:$I$89,5,0)</f>
        <v>169.46280000000002</v>
      </c>
      <c r="BF148" s="13">
        <f t="shared" si="145"/>
        <v>42.969686502194378</v>
      </c>
      <c r="BG148" s="20">
        <f t="shared" si="115"/>
        <v>369.98658065798855</v>
      </c>
      <c r="BH148" s="59">
        <f t="shared" si="116"/>
        <v>663.31991399132187</v>
      </c>
      <c r="BI148" s="59">
        <f ca="1">AVERAGE(OFFSET($BH$3,0,0,'Données projet'!$E$11+1,1))-AVERAGE(OFFSET($H$3,0,0,'Données projet'!$E$11+1,1))</f>
        <v>167.80254365106839</v>
      </c>
      <c r="BJ148" s="59">
        <f t="shared" si="146"/>
        <v>167.42302164950172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9.2520842556799074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9.2520842556799074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669.99999999999989</v>
      </c>
      <c r="BZ148" s="13">
        <f>BY148*VLOOKUP('Données projet'!$B$12,Paramètres!$A$1:$I$89,3,0)*VLOOKUP('Données projet'!$B$12,Paramètres!$A$1:$I$89,5,0)</f>
        <v>330.97999999999996</v>
      </c>
      <c r="CA148" s="13">
        <f t="shared" si="147"/>
        <v>77.633451096966454</v>
      </c>
      <c r="CB148" s="20">
        <f t="shared" si="118"/>
        <v>711.66842732721636</v>
      </c>
      <c r="CC148" s="59">
        <f t="shared" si="119"/>
        <v>1005.0017606605497</v>
      </c>
      <c r="CD148" s="59">
        <f ca="1">AVERAGE(OFFSET($CC$3,0,0,'Données projet'!$E$12+1,1))-AVERAGE(OFFSET($H$3,0,0,'Données projet'!$E$12+1,1))</f>
        <v>322.06606384496587</v>
      </c>
      <c r="CE148" s="59">
        <f t="shared" si="148"/>
        <v>267.71713177624713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32.111491063619006</v>
      </c>
      <c r="CL148" s="21">
        <f>EXP(-LN(2)/25)*CL147+(1-EXP(-LN(2)/25))/(LN(2)/25)*Calculateur!CG148*Calculateur!CI148*VLOOKUP('Données projet'!$B$12,Paramètres!$A$1:$I$89,3,0)*0.475*44/12</f>
        <v>0.82900029226916305</v>
      </c>
      <c r="CM148" s="21">
        <f>EXP(-LN(2)/2)*CM147+(1-EXP(-LN(2)/2))/(LN(2)/2)*CG148*CJ148*VLOOKUP('Données projet'!$B$12,Paramètres!$A$1:$I$89,3,0)*0.475*44/12</f>
        <v>1.9405406274169964E-17</v>
      </c>
      <c r="CN148" s="22">
        <f t="shared" si="120"/>
        <v>32.94049135588817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401</v>
      </c>
      <c r="CU148" s="17">
        <f>CT148*VLOOKUP('Données projet'!$B$13,Paramètres!$A$1:$I$89,3,0)*VLOOKUP('Données projet'!$B$13,Paramètres!$A$1:$I$89,5,0)</f>
        <v>250.22399999999999</v>
      </c>
      <c r="CV148" s="13">
        <f t="shared" si="149"/>
        <v>60.633904580527918</v>
      </c>
      <c r="CW148" s="20">
        <f t="shared" si="121"/>
        <v>541.41085047775289</v>
      </c>
      <c r="CX148" s="59">
        <f t="shared" si="122"/>
        <v>834.74418381108626</v>
      </c>
      <c r="CY148" s="59">
        <f ca="1">AVERAGE(OFFSET($CX$3,0,0,'Données projet'!$E$13+1,1))-AVERAGE(OFFSET($H$3,0,0,'Données projet'!$E$13+1,1))</f>
        <v>269.77739619445515</v>
      </c>
      <c r="CZ148" s="59">
        <f t="shared" si="150"/>
        <v>347.56964743629885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14.224374186254577</v>
      </c>
      <c r="DG148" s="21">
        <f>EXP(-LN(2)/25)*DG147+(1-EXP(-LN(2)/25))/(LN(2)/25)*Calculateur!DB148*Calculateur!DD148*VLOOKUP('Données projet'!$B$13,Paramètres!$A$1:$I$89,3,0)*0.475*44/12</f>
        <v>3.7829546263946496</v>
      </c>
      <c r="DH148" s="21">
        <f>EXP(-LN(2)/2)*DH147+(1-EXP(-LN(2)/2))/(LN(2)/2)*DB148*DE148*VLOOKUP('Données projet'!$B$13,Paramètres!$A$1:$I$89,3,0)*0.475*44/12</f>
        <v>1.2187031182234427E-19</v>
      </c>
      <c r="DI148" s="22">
        <f t="shared" si="123"/>
        <v>18.007328812649227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669.99999999999989</v>
      </c>
      <c r="DP148" s="17">
        <f>DO148*VLOOKUP('Données projet'!$B$14,Paramètres!$A$1:$I$89,3,0)*VLOOKUP('Données projet'!$B$14,Paramètres!$A$1:$I$89,5,0)</f>
        <v>322.26999999999992</v>
      </c>
      <c r="DQ148" s="13">
        <f t="shared" si="151"/>
        <v>75.825476822885776</v>
      </c>
      <c r="DR148" s="20">
        <f t="shared" si="124"/>
        <v>693.34962213319261</v>
      </c>
      <c r="DS148" s="59">
        <f t="shared" si="125"/>
        <v>986.68295546652598</v>
      </c>
      <c r="DT148" s="59">
        <f ca="1">AVERAGE(OFFSET($DS$3,0,0,'Données projet'!$E$14+1,1))-AVERAGE(OFFSET($H$3,0,0,'Données projet'!$E$14+1,1))</f>
        <v>312.64506496298173</v>
      </c>
      <c r="DU148" s="59">
        <f t="shared" si="152"/>
        <v>259.97532509897508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31.266451825102742</v>
      </c>
      <c r="EB148" s="21">
        <f>EXP(-LN(2)/25)*EB147+(1-EXP(-LN(2)/25))/(LN(2)/25)*Calculateur!DW148*Calculateur!DY148*VLOOKUP('Données projet'!$B$14,Paramètres!$A$1:$I$89,3,0)*0.475*44/12</f>
        <v>0.80718449510418677</v>
      </c>
      <c r="EC148" s="21">
        <f>EXP(-LN(2)/2)*EC147+(1-EXP(-LN(2)/2))/(LN(2)/2)*DW148*DZ148*VLOOKUP('Données projet'!$B$14,Paramètres!$A$1:$I$89,3,0)*0.475*44/12</f>
        <v>1.8894737688007412E-17</v>
      </c>
      <c r="ED148" s="22">
        <f t="shared" si="126"/>
        <v>32.07363632020693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267</v>
      </c>
      <c r="EK148" s="17">
        <f>EJ148*VLOOKUP('Données projet'!$B$15,Paramètres!$A$1:$I$89,3,0)*VLOOKUP('Données projet'!$B$15,Paramètres!$A$1:$I$89,5,0)</f>
        <v>241.58159999999998</v>
      </c>
      <c r="EL148" s="13">
        <f t="shared" si="153"/>
        <v>58.779689232021951</v>
      </c>
      <c r="EM148" s="20">
        <f t="shared" si="127"/>
        <v>523.12924541243819</v>
      </c>
      <c r="EN148" s="59">
        <f t="shared" si="128"/>
        <v>816.46257874577145</v>
      </c>
      <c r="EO148" s="59">
        <f ca="1">AVERAGE(OFFSET($EN$3,0,0,'Données projet'!$E$15+1,1))-AVERAGE(OFFSET($H$3,0,0,'Données projet'!$E$15+1,1))</f>
        <v>269.64423257646359</v>
      </c>
      <c r="EP148" s="59">
        <f t="shared" si="154"/>
        <v>161.0819079811821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41.727105241256631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41.727105241256631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349.00000000000017</v>
      </c>
      <c r="FF148" s="17">
        <f>FE148*VLOOKUP('Données projet'!$B$16,Paramètres!$A$1:$I$89,3,0)*VLOOKUP('Données projet'!$B$16,Paramètres!$A$1:$I$89,5,0)</f>
        <v>272.22000000000014</v>
      </c>
      <c r="FG148" s="13">
        <f t="shared" si="155"/>
        <v>65.320184547527205</v>
      </c>
      <c r="FH148" s="20">
        <f t="shared" si="130"/>
        <v>587.88248808694345</v>
      </c>
      <c r="FI148" s="59">
        <f t="shared" si="131"/>
        <v>881.21582142027682</v>
      </c>
      <c r="FJ148" s="59">
        <f ca="1">AVERAGE(OFFSET($FI$3,0,0,'Données projet'!$E$16+1,1))-AVERAGE(OFFSET($H$3,0,0,'Données projet'!$E$16+1,1))</f>
        <v>283.77864672734273</v>
      </c>
      <c r="FK148" s="59">
        <f t="shared" si="156"/>
        <v>270.94620935643866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19.625020868301252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19.625020868301252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319</v>
      </c>
      <c r="GA148" s="17">
        <f>FZ148*VLOOKUP('Données projet'!$B$17,Paramètres!$A$1:$I$89,3,0)*VLOOKUP('Données projet'!$B$17,Paramètres!$A$1:$I$89,5,0)</f>
        <v>308.53680000000003</v>
      </c>
      <c r="GB148" s="13">
        <f t="shared" si="157"/>
        <v>72.963171684496103</v>
      </c>
      <c r="GC148" s="20">
        <f t="shared" si="133"/>
        <v>664.4457840171641</v>
      </c>
      <c r="GD148" s="59">
        <f t="shared" si="134"/>
        <v>957.77911735049747</v>
      </c>
      <c r="GE148" s="59">
        <f ca="1">AVERAGE(OFFSET($GD$3,0,0,'Données projet'!$E$17+1,1))-AVERAGE(OFFSET($H$3,0,0,'Données projet'!$E$17+1,1))</f>
        <v>347.54503437087288</v>
      </c>
      <c r="GF148" s="59">
        <f t="shared" si="158"/>
        <v>340.05673244455954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14.47473622413322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14.47473622413322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735.00000000000011</v>
      </c>
      <c r="O149" s="13">
        <f>N149*VLOOKUP('Données projet'!$B$9,Paramètres!$A$1:$I$89,3,0)*VLOOKUP('Données projet'!$B$9,Paramètres!$A$1:$I$89,5,0)</f>
        <v>343.98</v>
      </c>
      <c r="P149" s="13">
        <f t="shared" si="141"/>
        <v>80.321681832084693</v>
      </c>
      <c r="Q149" s="20">
        <f t="shared" si="108"/>
        <v>738.9920958575475</v>
      </c>
      <c r="R149" s="59">
        <f t="shared" si="109"/>
        <v>1032.3254291908809</v>
      </c>
      <c r="S149" s="59">
        <f ca="1">AVERAGE(OFFSET($R$3,0,0,'Données projet'!$E$9+1,1))-AVERAGE(OFFSET($H$3,0,0,'Données projet'!$E$9+1,1))</f>
        <v>342.49944586217674</v>
      </c>
      <c r="T149" s="59">
        <f t="shared" si="142"/>
        <v>282.29766600872563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31.916638702947619</v>
      </c>
      <c r="AA149" s="21">
        <f>EXP(-LN(2)/25)*AA148+(1-EXP(-LN(2)/25))/(LN(2)/25)*Calculateur!V149*Calculateur!X149*VLOOKUP('Données projet'!$B$9,Paramètres!$A$1:$I$89,3,0)*0.475*44/12</f>
        <v>1.6075125146807998</v>
      </c>
      <c r="AB149" s="21">
        <f>EXP(-LN(2)/2)*AB148+(1-EXP(-LN(2)/2))/(LN(2)/2)*V149*Y149*VLOOKUP('Données projet'!$B$9,Paramètres!$A$1:$I$89,3,0)*0.475*44/12</f>
        <v>2.8725107971632926E-19</v>
      </c>
      <c r="AC149" s="22">
        <f t="shared" si="111"/>
        <v>33.524151217628422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739.99999999999966</v>
      </c>
      <c r="AJ149" s="13">
        <f>AI149*VLOOKUP('Données projet'!$B$10,Paramètres!$A$1:$I$89,3,0)*VLOOKUP('Données projet'!$B$10,Paramètres!$A$1:$I$89,5,0)</f>
        <v>413.65999999999985</v>
      </c>
      <c r="AK149" s="13">
        <f t="shared" si="143"/>
        <v>94.540585122244352</v>
      </c>
      <c r="AL149" s="20">
        <f t="shared" si="112"/>
        <v>885.11601908790863</v>
      </c>
      <c r="AM149" s="59">
        <f t="shared" si="113"/>
        <v>1178.4493524212419</v>
      </c>
      <c r="AN149" s="59">
        <f ca="1">AVERAGE(OFFSET($AM$3,0,0,'Données projet'!$E$10+1,1))-AVERAGE(OFFSET($H$3,0,0,'Données projet'!$E$10+1,1))</f>
        <v>490.96084572840579</v>
      </c>
      <c r="AO149" s="59">
        <f t="shared" si="144"/>
        <v>597.91658789908263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22.48948387540802</v>
      </c>
      <c r="AV149" s="21">
        <f>EXP(-LN(2)/25)*AV148+(1-EXP(-LN(2)/25))/(LN(2)/25)*Calculateur!AQ149*Calculateur!AS149*VLOOKUP('Données projet'!$B$10,Paramètres!$A$1:$I$89,3,0)*0.475*44/12</f>
        <v>2.3174522225413408</v>
      </c>
      <c r="AW149" s="21">
        <f>EXP(-LN(2)/2)*AW148+(1-EXP(-LN(2)/2))/(LN(2)/2)*AQ149*AT149*VLOOKUP('Données projet'!$B$10,Paramètres!$A$1:$I$89,3,0)*0.475*44/12</f>
        <v>2.9507069244194035E-18</v>
      </c>
      <c r="AX149" s="21">
        <f t="shared" si="114"/>
        <v>24.806936097949361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213.00000000000003</v>
      </c>
      <c r="BE149" s="13">
        <f>BD149*VLOOKUP('Données projet'!$B$11,Paramètres!$A$1:$I$89,3,0)*VLOOKUP('Données projet'!$B$11,Paramètres!$A$1:$I$89,5,0)</f>
        <v>169.46280000000002</v>
      </c>
      <c r="BF149" s="13">
        <f t="shared" si="145"/>
        <v>42.969686502194378</v>
      </c>
      <c r="BG149" s="20">
        <f t="shared" si="115"/>
        <v>369.98658065798855</v>
      </c>
      <c r="BH149" s="59">
        <f t="shared" si="116"/>
        <v>663.31991399132187</v>
      </c>
      <c r="BI149" s="59">
        <f ca="1">AVERAGE(OFFSET($BH$3,0,0,'Données projet'!$E$11+1,1))-AVERAGE(OFFSET($H$3,0,0,'Données projet'!$E$11+1,1))</f>
        <v>167.80254365106839</v>
      </c>
      <c r="BJ149" s="59">
        <f t="shared" si="146"/>
        <v>167.42302164950172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9.0706565266401995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9.0706565266401995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669.99999999999989</v>
      </c>
      <c r="BZ149" s="13">
        <f>BY149*VLOOKUP('Données projet'!$B$12,Paramètres!$A$1:$I$89,3,0)*VLOOKUP('Données projet'!$B$12,Paramètres!$A$1:$I$89,5,0)</f>
        <v>330.97999999999996</v>
      </c>
      <c r="CA149" s="13">
        <f t="shared" si="147"/>
        <v>77.633451096966454</v>
      </c>
      <c r="CB149" s="20">
        <f t="shared" si="118"/>
        <v>711.66842732721636</v>
      </c>
      <c r="CC149" s="59">
        <f t="shared" si="119"/>
        <v>1005.0017606605497</v>
      </c>
      <c r="CD149" s="59">
        <f ca="1">AVERAGE(OFFSET($CC$3,0,0,'Données projet'!$E$12+1,1))-AVERAGE(OFFSET($H$3,0,0,'Données projet'!$E$12+1,1))</f>
        <v>322.06606384496587</v>
      </c>
      <c r="CE149" s="59">
        <f t="shared" si="148"/>
        <v>267.71713177624713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31.481804309937022</v>
      </c>
      <c r="CL149" s="21">
        <f>EXP(-LN(2)/25)*CL148+(1-EXP(-LN(2)/25))/(LN(2)/25)*Calculateur!CG149*Calculateur!CI149*VLOOKUP('Données projet'!$B$12,Paramètres!$A$1:$I$89,3,0)*0.475*44/12</f>
        <v>0.80633123568183207</v>
      </c>
      <c r="CM149" s="21">
        <f>EXP(-LN(2)/2)*CM148+(1-EXP(-LN(2)/2))/(LN(2)/2)*CG149*CJ149*VLOOKUP('Données projet'!$B$12,Paramètres!$A$1:$I$89,3,0)*0.475*44/12</f>
        <v>1.3721694368145558E-17</v>
      </c>
      <c r="CN149" s="22">
        <f t="shared" si="120"/>
        <v>32.288135545618857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401</v>
      </c>
      <c r="CU149" s="17">
        <f>CT149*VLOOKUP('Données projet'!$B$13,Paramètres!$A$1:$I$89,3,0)*VLOOKUP('Données projet'!$B$13,Paramètres!$A$1:$I$89,5,0)</f>
        <v>250.22399999999999</v>
      </c>
      <c r="CV149" s="13">
        <f t="shared" si="149"/>
        <v>60.633904580527918</v>
      </c>
      <c r="CW149" s="20">
        <f t="shared" si="121"/>
        <v>541.41085047775289</v>
      </c>
      <c r="CX149" s="59">
        <f t="shared" si="122"/>
        <v>834.74418381108626</v>
      </c>
      <c r="CY149" s="59">
        <f ca="1">AVERAGE(OFFSET($CX$3,0,0,'Données projet'!$E$13+1,1))-AVERAGE(OFFSET($H$3,0,0,'Données projet'!$E$13+1,1))</f>
        <v>269.77739619445515</v>
      </c>
      <c r="CZ149" s="59">
        <f t="shared" si="150"/>
        <v>347.56964743629885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13.945442884473694</v>
      </c>
      <c r="DG149" s="21">
        <f>EXP(-LN(2)/25)*DG148+(1-EXP(-LN(2)/25))/(LN(2)/25)*Calculateur!DB149*Calculateur!DD149*VLOOKUP('Données projet'!$B$13,Paramètres!$A$1:$I$89,3,0)*0.475*44/12</f>
        <v>3.6795095331989502</v>
      </c>
      <c r="DH149" s="21">
        <f>EXP(-LN(2)/2)*DH148+(1-EXP(-LN(2)/2))/(LN(2)/2)*DB149*DE149*VLOOKUP('Données projet'!$B$13,Paramètres!$A$1:$I$89,3,0)*0.475*44/12</f>
        <v>8.6175323914898705E-20</v>
      </c>
      <c r="DI149" s="22">
        <f t="shared" si="123"/>
        <v>17.624952417672645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669.99999999999989</v>
      </c>
      <c r="DP149" s="17">
        <f>DO149*VLOOKUP('Données projet'!$B$14,Paramètres!$A$1:$I$89,3,0)*VLOOKUP('Données projet'!$B$14,Paramètres!$A$1:$I$89,5,0)</f>
        <v>322.26999999999992</v>
      </c>
      <c r="DQ149" s="13">
        <f t="shared" si="151"/>
        <v>75.825476822885776</v>
      </c>
      <c r="DR149" s="20">
        <f t="shared" si="124"/>
        <v>693.34962213319261</v>
      </c>
      <c r="DS149" s="59">
        <f t="shared" si="125"/>
        <v>986.68295546652598</v>
      </c>
      <c r="DT149" s="59">
        <f ca="1">AVERAGE(OFFSET($DS$3,0,0,'Données projet'!$E$14+1,1))-AVERAGE(OFFSET($H$3,0,0,'Données projet'!$E$14+1,1))</f>
        <v>312.64506496298173</v>
      </c>
      <c r="DU149" s="59">
        <f t="shared" si="152"/>
        <v>259.97532509897508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30.65333577546502</v>
      </c>
      <c r="EB149" s="21">
        <f>EXP(-LN(2)/25)*EB148+(1-EXP(-LN(2)/25))/(LN(2)/25)*Calculateur!DW149*Calculateur!DY149*VLOOKUP('Données projet'!$B$14,Paramètres!$A$1:$I$89,3,0)*0.475*44/12</f>
        <v>0.78511199263757503</v>
      </c>
      <c r="EC149" s="21">
        <f>EXP(-LN(2)/2)*EC148+(1-EXP(-LN(2)/2))/(LN(2)/2)*DW149*DZ149*VLOOKUP('Données projet'!$B$14,Paramètres!$A$1:$I$89,3,0)*0.475*44/12</f>
        <v>1.336059714793107E-17</v>
      </c>
      <c r="ED149" s="22">
        <f t="shared" si="126"/>
        <v>31.438447768102595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267</v>
      </c>
      <c r="EK149" s="17">
        <f>EJ149*VLOOKUP('Données projet'!$B$15,Paramètres!$A$1:$I$89,3,0)*VLOOKUP('Données projet'!$B$15,Paramètres!$A$1:$I$89,5,0)</f>
        <v>241.58159999999998</v>
      </c>
      <c r="EL149" s="13">
        <f t="shared" si="153"/>
        <v>58.779689232021951</v>
      </c>
      <c r="EM149" s="20">
        <f t="shared" si="127"/>
        <v>523.12924541243819</v>
      </c>
      <c r="EN149" s="59">
        <f t="shared" si="128"/>
        <v>816.46257874577145</v>
      </c>
      <c r="EO149" s="59">
        <f ca="1">AVERAGE(OFFSET($EN$3,0,0,'Données projet'!$E$15+1,1))-AVERAGE(OFFSET($H$3,0,0,'Données projet'!$E$15+1,1))</f>
        <v>269.64423257646359</v>
      </c>
      <c r="EP149" s="59">
        <f t="shared" si="154"/>
        <v>161.0819079811821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40.908862158496703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40.908862158496703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349.00000000000017</v>
      </c>
      <c r="FF149" s="17">
        <f>FE149*VLOOKUP('Données projet'!$B$16,Paramètres!$A$1:$I$89,3,0)*VLOOKUP('Données projet'!$B$16,Paramètres!$A$1:$I$89,5,0)</f>
        <v>272.22000000000014</v>
      </c>
      <c r="FG149" s="13">
        <f t="shared" si="155"/>
        <v>65.320184547527205</v>
      </c>
      <c r="FH149" s="20">
        <f t="shared" si="130"/>
        <v>587.88248808694345</v>
      </c>
      <c r="FI149" s="59">
        <f t="shared" si="131"/>
        <v>881.21582142027682</v>
      </c>
      <c r="FJ149" s="59">
        <f ca="1">AVERAGE(OFFSET($FI$3,0,0,'Données projet'!$E$16+1,1))-AVERAGE(OFFSET($H$3,0,0,'Données projet'!$E$16+1,1))</f>
        <v>283.77864672734273</v>
      </c>
      <c r="FK149" s="59">
        <f t="shared" si="156"/>
        <v>270.94620935643866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19.240186179154648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19.240186179154648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319</v>
      </c>
      <c r="GA149" s="17">
        <f>FZ149*VLOOKUP('Données projet'!$B$17,Paramètres!$A$1:$I$89,3,0)*VLOOKUP('Données projet'!$B$17,Paramètres!$A$1:$I$89,5,0)</f>
        <v>308.53680000000003</v>
      </c>
      <c r="GB149" s="13">
        <f t="shared" si="157"/>
        <v>72.963171684496103</v>
      </c>
      <c r="GC149" s="20">
        <f t="shared" si="133"/>
        <v>664.4457840171641</v>
      </c>
      <c r="GD149" s="59">
        <f t="shared" si="134"/>
        <v>957.77911735049747</v>
      </c>
      <c r="GE149" s="59">
        <f ca="1">AVERAGE(OFFSET($GD$3,0,0,'Données projet'!$E$17+1,1))-AVERAGE(OFFSET($H$3,0,0,'Données projet'!$E$17+1,1))</f>
        <v>347.54503437087288</v>
      </c>
      <c r="GF149" s="59">
        <f t="shared" si="158"/>
        <v>340.05673244455954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14.190895475495301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14.190895475495301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735.00000000000011</v>
      </c>
      <c r="O150" s="13">
        <f>N150*VLOOKUP('Données projet'!$B$9,Paramètres!$A$1:$I$89,3,0)*VLOOKUP('Données projet'!$B$9,Paramètres!$A$1:$I$89,5,0)</f>
        <v>343.98</v>
      </c>
      <c r="P150" s="13">
        <f t="shared" si="141"/>
        <v>80.321681832084693</v>
      </c>
      <c r="Q150" s="20">
        <f t="shared" si="108"/>
        <v>738.9920958575475</v>
      </c>
      <c r="R150" s="59">
        <f t="shared" si="109"/>
        <v>1032.3254291908809</v>
      </c>
      <c r="S150" s="59">
        <f ca="1">AVERAGE(OFFSET($R$3,0,0,'Données projet'!$E$9+1,1))-AVERAGE(OFFSET($H$3,0,0,'Données projet'!$E$9+1,1))</f>
        <v>342.49944586217674</v>
      </c>
      <c r="T150" s="59">
        <f t="shared" si="142"/>
        <v>282.29766600872563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31.290772885210195</v>
      </c>
      <c r="AA150" s="21">
        <f>EXP(-LN(2)/25)*AA149+(1-EXP(-LN(2)/25))/(LN(2)/25)*Calculateur!V150*Calculateur!X150*VLOOKUP('Données projet'!$B$9,Paramètres!$A$1:$I$89,3,0)*0.475*44/12</f>
        <v>1.5635550004314442</v>
      </c>
      <c r="AB150" s="21">
        <f>EXP(-LN(2)/2)*AB149+(1-EXP(-LN(2)/2))/(LN(2)/2)*V150*Y150*VLOOKUP('Données projet'!$B$9,Paramètres!$A$1:$I$89,3,0)*0.475*44/12</f>
        <v>2.0311718637057395E-19</v>
      </c>
      <c r="AC150" s="22">
        <f t="shared" si="111"/>
        <v>32.854327885641638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739.99999999999966</v>
      </c>
      <c r="AJ150" s="13">
        <f>AI150*VLOOKUP('Données projet'!$B$10,Paramètres!$A$1:$I$89,3,0)*VLOOKUP('Données projet'!$B$10,Paramètres!$A$1:$I$89,5,0)</f>
        <v>413.65999999999985</v>
      </c>
      <c r="AK150" s="13">
        <f t="shared" si="143"/>
        <v>94.540585122244352</v>
      </c>
      <c r="AL150" s="20">
        <f t="shared" si="112"/>
        <v>885.11601908790863</v>
      </c>
      <c r="AM150" s="59">
        <f t="shared" si="113"/>
        <v>1178.4493524212419</v>
      </c>
      <c r="AN150" s="59">
        <f ca="1">AVERAGE(OFFSET($AM$3,0,0,'Données projet'!$E$10+1,1))-AVERAGE(OFFSET($H$3,0,0,'Données projet'!$E$10+1,1))</f>
        <v>490.96084572840579</v>
      </c>
      <c r="AO150" s="59">
        <f t="shared" si="144"/>
        <v>597.91658789908263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22.048478813841967</v>
      </c>
      <c r="AV150" s="21">
        <f>EXP(-LN(2)/25)*AV149+(1-EXP(-LN(2)/25))/(LN(2)/25)*Calculateur!AQ150*Calculateur!AS150*VLOOKUP('Données projet'!$B$10,Paramètres!$A$1:$I$89,3,0)*0.475*44/12</f>
        <v>2.2540813696464319</v>
      </c>
      <c r="AW150" s="21">
        <f>EXP(-LN(2)/2)*AW149+(1-EXP(-LN(2)/2))/(LN(2)/2)*AQ150*AT150*VLOOKUP('Données projet'!$B$10,Paramètres!$A$1:$I$89,3,0)*0.475*44/12</f>
        <v>2.0864648755510617E-18</v>
      </c>
      <c r="AX150" s="21">
        <f t="shared" si="114"/>
        <v>24.302560183488399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213.00000000000003</v>
      </c>
      <c r="BE150" s="13">
        <f>BD150*VLOOKUP('Données projet'!$B$11,Paramètres!$A$1:$I$89,3,0)*VLOOKUP('Données projet'!$B$11,Paramètres!$A$1:$I$89,5,0)</f>
        <v>169.46280000000002</v>
      </c>
      <c r="BF150" s="13">
        <f t="shared" si="145"/>
        <v>42.969686502194378</v>
      </c>
      <c r="BG150" s="20">
        <f t="shared" si="115"/>
        <v>369.98658065798855</v>
      </c>
      <c r="BH150" s="59">
        <f t="shared" si="116"/>
        <v>663.31991399132187</v>
      </c>
      <c r="BI150" s="59">
        <f ca="1">AVERAGE(OFFSET($BH$3,0,0,'Données projet'!$E$11+1,1))-AVERAGE(OFFSET($H$3,0,0,'Données projet'!$E$11+1,1))</f>
        <v>167.80254365106839</v>
      </c>
      <c r="BJ150" s="59">
        <f t="shared" si="146"/>
        <v>167.42302164950172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8.8927864847069724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8.8927864847069724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669.99999999999989</v>
      </c>
      <c r="BZ150" s="13">
        <f>BY150*VLOOKUP('Données projet'!$B$12,Paramètres!$A$1:$I$89,3,0)*VLOOKUP('Données projet'!$B$12,Paramètres!$A$1:$I$89,5,0)</f>
        <v>330.97999999999996</v>
      </c>
      <c r="CA150" s="13">
        <f t="shared" si="147"/>
        <v>77.633451096966454</v>
      </c>
      <c r="CB150" s="20">
        <f t="shared" si="118"/>
        <v>711.66842732721636</v>
      </c>
      <c r="CC150" s="59">
        <f t="shared" si="119"/>
        <v>1005.0017606605497</v>
      </c>
      <c r="CD150" s="59">
        <f ca="1">AVERAGE(OFFSET($CC$3,0,0,'Données projet'!$E$12+1,1))-AVERAGE(OFFSET($H$3,0,0,'Données projet'!$E$12+1,1))</f>
        <v>322.06606384496587</v>
      </c>
      <c r="CE150" s="59">
        <f t="shared" si="148"/>
        <v>267.71713177624713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30.864465329423744</v>
      </c>
      <c r="CL150" s="21">
        <f>EXP(-LN(2)/25)*CL149+(1-EXP(-LN(2)/25))/(LN(2)/25)*Calculateur!CG150*Calculateur!CI150*VLOOKUP('Données projet'!$B$12,Paramètres!$A$1:$I$89,3,0)*0.475*44/12</f>
        <v>0.78428206563899561</v>
      </c>
      <c r="CM150" s="21">
        <f>EXP(-LN(2)/2)*CM149+(1-EXP(-LN(2)/2))/(LN(2)/2)*CG150*CJ150*VLOOKUP('Données projet'!$B$12,Paramètres!$A$1:$I$89,3,0)*0.475*44/12</f>
        <v>9.7027031370849833E-18</v>
      </c>
      <c r="CN150" s="22">
        <f t="shared" si="120"/>
        <v>31.648747395062738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401</v>
      </c>
      <c r="CU150" s="17">
        <f>CT150*VLOOKUP('Données projet'!$B$13,Paramètres!$A$1:$I$89,3,0)*VLOOKUP('Données projet'!$B$13,Paramètres!$A$1:$I$89,5,0)</f>
        <v>250.22399999999999</v>
      </c>
      <c r="CV150" s="13">
        <f t="shared" si="149"/>
        <v>60.633904580527918</v>
      </c>
      <c r="CW150" s="20">
        <f t="shared" si="121"/>
        <v>541.41085047775289</v>
      </c>
      <c r="CX150" s="59">
        <f t="shared" si="122"/>
        <v>834.74418381108626</v>
      </c>
      <c r="CY150" s="59">
        <f ca="1">AVERAGE(OFFSET($CX$3,0,0,'Données projet'!$E$13+1,1))-AVERAGE(OFFSET($H$3,0,0,'Données projet'!$E$13+1,1))</f>
        <v>269.77739619445515</v>
      </c>
      <c r="CZ150" s="59">
        <f t="shared" si="150"/>
        <v>347.56964743629885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13.671981255389438</v>
      </c>
      <c r="DG150" s="21">
        <f>EXP(-LN(2)/25)*DG149+(1-EXP(-LN(2)/25))/(LN(2)/25)*Calculateur!DB150*Calculateur!DD150*VLOOKUP('Données projet'!$B$13,Paramètres!$A$1:$I$89,3,0)*0.475*44/12</f>
        <v>3.578893151516628</v>
      </c>
      <c r="DH150" s="21">
        <f>EXP(-LN(2)/2)*DH149+(1-EXP(-LN(2)/2))/(LN(2)/2)*DB150*DE150*VLOOKUP('Données projet'!$B$13,Paramètres!$A$1:$I$89,3,0)*0.475*44/12</f>
        <v>6.0935155911172133E-20</v>
      </c>
      <c r="DI150" s="22">
        <f t="shared" si="123"/>
        <v>17.250874406906068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669.99999999999989</v>
      </c>
      <c r="DP150" s="17">
        <f>DO150*VLOOKUP('Données projet'!$B$14,Paramètres!$A$1:$I$89,3,0)*VLOOKUP('Données projet'!$B$14,Paramètres!$A$1:$I$89,5,0)</f>
        <v>322.26999999999992</v>
      </c>
      <c r="DQ150" s="13">
        <f t="shared" si="151"/>
        <v>75.825476822885776</v>
      </c>
      <c r="DR150" s="20">
        <f t="shared" si="124"/>
        <v>693.34962213319261</v>
      </c>
      <c r="DS150" s="59">
        <f t="shared" si="125"/>
        <v>986.68295546652598</v>
      </c>
      <c r="DT150" s="59">
        <f ca="1">AVERAGE(OFFSET($DS$3,0,0,'Données projet'!$E$14+1,1))-AVERAGE(OFFSET($H$3,0,0,'Données projet'!$E$14+1,1))</f>
        <v>312.64506496298173</v>
      </c>
      <c r="DU150" s="59">
        <f t="shared" si="152"/>
        <v>259.97532509897508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30.052242557596831</v>
      </c>
      <c r="EB150" s="21">
        <f>EXP(-LN(2)/25)*EB149+(1-EXP(-LN(2)/25))/(LN(2)/25)*Calculateur!DW150*Calculateur!DY150*VLOOKUP('Données projet'!$B$14,Paramètres!$A$1:$I$89,3,0)*0.475*44/12</f>
        <v>0.76364306391165526</v>
      </c>
      <c r="EC150" s="21">
        <f>EXP(-LN(2)/2)*EC149+(1-EXP(-LN(2)/2))/(LN(2)/2)*DW150*DZ150*VLOOKUP('Données projet'!$B$14,Paramètres!$A$1:$I$89,3,0)*0.475*44/12</f>
        <v>9.4473688440037059E-18</v>
      </c>
      <c r="ED150" s="22">
        <f t="shared" si="126"/>
        <v>30.815885621508485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267</v>
      </c>
      <c r="EK150" s="17">
        <f>EJ150*VLOOKUP('Données projet'!$B$15,Paramètres!$A$1:$I$89,3,0)*VLOOKUP('Données projet'!$B$15,Paramètres!$A$1:$I$89,5,0)</f>
        <v>241.58159999999998</v>
      </c>
      <c r="EL150" s="13">
        <f t="shared" si="153"/>
        <v>58.779689232021951</v>
      </c>
      <c r="EM150" s="20">
        <f t="shared" si="127"/>
        <v>523.12924541243819</v>
      </c>
      <c r="EN150" s="59">
        <f t="shared" si="128"/>
        <v>816.46257874577145</v>
      </c>
      <c r="EO150" s="59">
        <f ca="1">AVERAGE(OFFSET($EN$3,0,0,'Données projet'!$E$15+1,1))-AVERAGE(OFFSET($H$3,0,0,'Données projet'!$E$15+1,1))</f>
        <v>269.64423257646359</v>
      </c>
      <c r="EP150" s="59">
        <f t="shared" si="154"/>
        <v>161.0819079811821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40.106664323510699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40.106664323510699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349.00000000000017</v>
      </c>
      <c r="FF150" s="17">
        <f>FE150*VLOOKUP('Données projet'!$B$16,Paramètres!$A$1:$I$89,3,0)*VLOOKUP('Données projet'!$B$16,Paramètres!$A$1:$I$89,5,0)</f>
        <v>272.22000000000014</v>
      </c>
      <c r="FG150" s="13">
        <f t="shared" si="155"/>
        <v>65.320184547527205</v>
      </c>
      <c r="FH150" s="20">
        <f t="shared" si="130"/>
        <v>587.88248808694345</v>
      </c>
      <c r="FI150" s="59">
        <f t="shared" si="131"/>
        <v>881.21582142027682</v>
      </c>
      <c r="FJ150" s="59">
        <f ca="1">AVERAGE(OFFSET($FI$3,0,0,'Données projet'!$E$16+1,1))-AVERAGE(OFFSET($H$3,0,0,'Données projet'!$E$16+1,1))</f>
        <v>283.77864672734273</v>
      </c>
      <c r="FK150" s="59">
        <f t="shared" si="156"/>
        <v>270.94620935643866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18.862897863536226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18.862897863536226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319</v>
      </c>
      <c r="GA150" s="17">
        <f>FZ150*VLOOKUP('Données projet'!$B$17,Paramètres!$A$1:$I$89,3,0)*VLOOKUP('Données projet'!$B$17,Paramètres!$A$1:$I$89,5,0)</f>
        <v>308.53680000000003</v>
      </c>
      <c r="GB150" s="13">
        <f t="shared" si="157"/>
        <v>72.963171684496103</v>
      </c>
      <c r="GC150" s="20">
        <f t="shared" si="133"/>
        <v>664.4457840171641</v>
      </c>
      <c r="GD150" s="59">
        <f t="shared" si="134"/>
        <v>957.77911735049747</v>
      </c>
      <c r="GE150" s="59">
        <f ca="1">AVERAGE(OFFSET($GD$3,0,0,'Données projet'!$E$17+1,1))-AVERAGE(OFFSET($H$3,0,0,'Données projet'!$E$17+1,1))</f>
        <v>347.54503437087288</v>
      </c>
      <c r="GF150" s="59">
        <f t="shared" si="158"/>
        <v>340.05673244455954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13.91262067081241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13.91262067081241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735.00000000000011</v>
      </c>
      <c r="O151" s="13">
        <f>N151*VLOOKUP('Données projet'!$B$9,Paramètres!$A$1:$I$89,3,0)*VLOOKUP('Données projet'!$B$9,Paramètres!$A$1:$I$89,5,0)</f>
        <v>343.98</v>
      </c>
      <c r="P151" s="13">
        <f t="shared" si="141"/>
        <v>80.321681832084693</v>
      </c>
      <c r="Q151" s="20">
        <f t="shared" si="108"/>
        <v>738.9920958575475</v>
      </c>
      <c r="R151" s="59">
        <f t="shared" si="109"/>
        <v>1032.3254291908809</v>
      </c>
      <c r="S151" s="59">
        <f ca="1">AVERAGE(OFFSET($R$3,0,0,'Données projet'!$E$9+1,1))-AVERAGE(OFFSET($H$3,0,0,'Données projet'!$E$9+1,1))</f>
        <v>342.49944586217674</v>
      </c>
      <c r="T151" s="59">
        <f t="shared" si="142"/>
        <v>282.29766600872563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30.677179914418147</v>
      </c>
      <c r="AA151" s="21">
        <f>EXP(-LN(2)/25)*AA150+(1-EXP(-LN(2)/25))/(LN(2)/25)*Calculateur!V151*Calculateur!X151*VLOOKUP('Données projet'!$B$9,Paramètres!$A$1:$I$89,3,0)*0.475*44/12</f>
        <v>1.5207995067208624</v>
      </c>
      <c r="AB151" s="21">
        <f>EXP(-LN(2)/2)*AB150+(1-EXP(-LN(2)/2))/(LN(2)/2)*V151*Y151*VLOOKUP('Données projet'!$B$9,Paramètres!$A$1:$I$89,3,0)*0.475*44/12</f>
        <v>1.4362553985816463E-19</v>
      </c>
      <c r="AC151" s="22">
        <f t="shared" si="111"/>
        <v>32.19797942113901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739.99999999999966</v>
      </c>
      <c r="AJ151" s="13">
        <f>AI151*VLOOKUP('Données projet'!$B$10,Paramètres!$A$1:$I$89,3,0)*VLOOKUP('Données projet'!$B$10,Paramètres!$A$1:$I$89,5,0)</f>
        <v>413.65999999999985</v>
      </c>
      <c r="AK151" s="13">
        <f t="shared" si="143"/>
        <v>94.540585122244352</v>
      </c>
      <c r="AL151" s="20">
        <f t="shared" si="112"/>
        <v>885.11601908790863</v>
      </c>
      <c r="AM151" s="59">
        <f t="shared" si="113"/>
        <v>1178.4493524212419</v>
      </c>
      <c r="AN151" s="59">
        <f ca="1">AVERAGE(OFFSET($AM$3,0,0,'Données projet'!$E$10+1,1))-AVERAGE(OFFSET($H$3,0,0,'Données projet'!$E$10+1,1))</f>
        <v>490.96084572840579</v>
      </c>
      <c r="AO151" s="59">
        <f t="shared" si="144"/>
        <v>597.91658789908263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21.616121592546698</v>
      </c>
      <c r="AV151" s="21">
        <f>EXP(-LN(2)/25)*AV150+(1-EXP(-LN(2)/25))/(LN(2)/25)*Calculateur!AQ151*Calculateur!AS151*VLOOKUP('Données projet'!$B$10,Paramètres!$A$1:$I$89,3,0)*0.475*44/12</f>
        <v>2.1924433960564627</v>
      </c>
      <c r="AW151" s="21">
        <f>EXP(-LN(2)/2)*AW150+(1-EXP(-LN(2)/2))/(LN(2)/2)*AQ151*AT151*VLOOKUP('Données projet'!$B$10,Paramètres!$A$1:$I$89,3,0)*0.475*44/12</f>
        <v>1.4753534622097018E-18</v>
      </c>
      <c r="AX151" s="21">
        <f t="shared" si="114"/>
        <v>23.808564988603159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213.00000000000003</v>
      </c>
      <c r="BE151" s="13">
        <f>BD151*VLOOKUP('Données projet'!$B$11,Paramètres!$A$1:$I$89,3,0)*VLOOKUP('Données projet'!$B$11,Paramètres!$A$1:$I$89,5,0)</f>
        <v>169.46280000000002</v>
      </c>
      <c r="BF151" s="13">
        <f t="shared" si="145"/>
        <v>42.969686502194378</v>
      </c>
      <c r="BG151" s="20">
        <f t="shared" si="115"/>
        <v>369.98658065798855</v>
      </c>
      <c r="BH151" s="59">
        <f t="shared" si="116"/>
        <v>663.31991399132187</v>
      </c>
      <c r="BI151" s="59">
        <f ca="1">AVERAGE(OFFSET($BH$3,0,0,'Données projet'!$E$11+1,1))-AVERAGE(OFFSET($H$3,0,0,'Données projet'!$E$11+1,1))</f>
        <v>167.80254365106839</v>
      </c>
      <c r="BJ151" s="59">
        <f t="shared" si="146"/>
        <v>167.42302164950172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8.7184043658060428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8.7184043658060428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669.99999999999989</v>
      </c>
      <c r="BZ151" s="13">
        <f>BY151*VLOOKUP('Données projet'!$B$12,Paramètres!$A$1:$I$89,3,0)*VLOOKUP('Données projet'!$B$12,Paramètres!$A$1:$I$89,5,0)</f>
        <v>330.97999999999996</v>
      </c>
      <c r="CA151" s="13">
        <f t="shared" si="147"/>
        <v>77.633451096966454</v>
      </c>
      <c r="CB151" s="20">
        <f t="shared" si="118"/>
        <v>711.66842732721636</v>
      </c>
      <c r="CC151" s="59">
        <f t="shared" si="119"/>
        <v>1005.0017606605497</v>
      </c>
      <c r="CD151" s="59">
        <f ca="1">AVERAGE(OFFSET($CC$3,0,0,'Données projet'!$E$12+1,1))-AVERAGE(OFFSET($H$3,0,0,'Données projet'!$E$12+1,1))</f>
        <v>322.06606384496587</v>
      </c>
      <c r="CE151" s="59">
        <f t="shared" si="148"/>
        <v>267.71713177624713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30.259231989778737</v>
      </c>
      <c r="CL151" s="21">
        <f>EXP(-LN(2)/25)*CL150+(1-EXP(-LN(2)/25))/(LN(2)/25)*Calculateur!CG151*Calculateur!CI151*VLOOKUP('Données projet'!$B$12,Paramètres!$A$1:$I$89,3,0)*0.475*44/12</f>
        <v>0.76283583131049593</v>
      </c>
      <c r="CM151" s="21">
        <f>EXP(-LN(2)/2)*CM150+(1-EXP(-LN(2)/2))/(LN(2)/2)*CG151*CJ151*VLOOKUP('Données projet'!$B$12,Paramètres!$A$1:$I$89,3,0)*0.475*44/12</f>
        <v>6.8608471840727796E-18</v>
      </c>
      <c r="CN151" s="22">
        <f t="shared" si="120"/>
        <v>31.022067821089234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401</v>
      </c>
      <c r="CU151" s="17">
        <f>CT151*VLOOKUP('Données projet'!$B$13,Paramètres!$A$1:$I$89,3,0)*VLOOKUP('Données projet'!$B$13,Paramètres!$A$1:$I$89,5,0)</f>
        <v>250.22399999999999</v>
      </c>
      <c r="CV151" s="13">
        <f t="shared" si="149"/>
        <v>60.633904580527918</v>
      </c>
      <c r="CW151" s="20">
        <f t="shared" si="121"/>
        <v>541.41085047775289</v>
      </c>
      <c r="CX151" s="59">
        <f t="shared" si="122"/>
        <v>834.74418381108626</v>
      </c>
      <c r="CY151" s="59">
        <f ca="1">AVERAGE(OFFSET($CX$3,0,0,'Données projet'!$E$13+1,1))-AVERAGE(OFFSET($H$3,0,0,'Données projet'!$E$13+1,1))</f>
        <v>269.77739619445515</v>
      </c>
      <c r="CZ151" s="59">
        <f t="shared" si="150"/>
        <v>347.56964743629885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13.4038820420564</v>
      </c>
      <c r="DG151" s="21">
        <f>EXP(-LN(2)/25)*DG150+(1-EXP(-LN(2)/25))/(LN(2)/25)*Calculateur!DB151*Calculateur!DD151*VLOOKUP('Données projet'!$B$13,Paramètres!$A$1:$I$89,3,0)*0.475*44/12</f>
        <v>3.4810281300825947</v>
      </c>
      <c r="DH151" s="21">
        <f>EXP(-LN(2)/2)*DH150+(1-EXP(-LN(2)/2))/(LN(2)/2)*DB151*DE151*VLOOKUP('Données projet'!$B$13,Paramètres!$A$1:$I$89,3,0)*0.475*44/12</f>
        <v>4.3087661957449353E-20</v>
      </c>
      <c r="DI151" s="22">
        <f t="shared" si="123"/>
        <v>16.884910172138994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669.99999999999989</v>
      </c>
      <c r="DP151" s="17">
        <f>DO151*VLOOKUP('Données projet'!$B$14,Paramètres!$A$1:$I$89,3,0)*VLOOKUP('Données projet'!$B$14,Paramètres!$A$1:$I$89,5,0)</f>
        <v>322.26999999999992</v>
      </c>
      <c r="DQ151" s="13">
        <f t="shared" si="151"/>
        <v>75.825476822885776</v>
      </c>
      <c r="DR151" s="20">
        <f t="shared" si="124"/>
        <v>693.34962213319261</v>
      </c>
      <c r="DS151" s="59">
        <f t="shared" si="125"/>
        <v>986.68295546652598</v>
      </c>
      <c r="DT151" s="59">
        <f ca="1">AVERAGE(OFFSET($DS$3,0,0,'Données projet'!$E$14+1,1))-AVERAGE(OFFSET($H$3,0,0,'Données projet'!$E$14+1,1))</f>
        <v>312.64506496298173</v>
      </c>
      <c r="DU151" s="59">
        <f t="shared" si="152"/>
        <v>259.97532509897508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29.462936411100372</v>
      </c>
      <c r="EB151" s="21">
        <f>EXP(-LN(2)/25)*EB150+(1-EXP(-LN(2)/25))/(LN(2)/25)*Calculateur!DW151*Calculateur!DY151*VLOOKUP('Données projet'!$B$14,Paramètres!$A$1:$I$89,3,0)*0.475*44/12</f>
        <v>0.74276120417074765</v>
      </c>
      <c r="EC151" s="21">
        <f>EXP(-LN(2)/2)*EC150+(1-EXP(-LN(2)/2))/(LN(2)/2)*DW151*DZ151*VLOOKUP('Données projet'!$B$14,Paramètres!$A$1:$I$89,3,0)*0.475*44/12</f>
        <v>6.680298573965535E-18</v>
      </c>
      <c r="ED151" s="22">
        <f t="shared" si="126"/>
        <v>30.20569761527112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267</v>
      </c>
      <c r="EK151" s="17">
        <f>EJ151*VLOOKUP('Données projet'!$B$15,Paramètres!$A$1:$I$89,3,0)*VLOOKUP('Données projet'!$B$15,Paramètres!$A$1:$I$89,5,0)</f>
        <v>241.58159999999998</v>
      </c>
      <c r="EL151" s="13">
        <f t="shared" si="153"/>
        <v>58.779689232021951</v>
      </c>
      <c r="EM151" s="20">
        <f t="shared" si="127"/>
        <v>523.12924541243819</v>
      </c>
      <c r="EN151" s="59">
        <f t="shared" si="128"/>
        <v>816.46257874577145</v>
      </c>
      <c r="EO151" s="59">
        <f ca="1">AVERAGE(OFFSET($EN$3,0,0,'Données projet'!$E$15+1,1))-AVERAGE(OFFSET($H$3,0,0,'Données projet'!$E$15+1,1))</f>
        <v>269.64423257646359</v>
      </c>
      <c r="EP151" s="59">
        <f t="shared" si="154"/>
        <v>161.0819079811821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39.320197098776404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39.320197098776404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349.00000000000017</v>
      </c>
      <c r="FF151" s="17">
        <f>FE151*VLOOKUP('Données projet'!$B$16,Paramètres!$A$1:$I$89,3,0)*VLOOKUP('Données projet'!$B$16,Paramètres!$A$1:$I$89,5,0)</f>
        <v>272.22000000000014</v>
      </c>
      <c r="FG151" s="13">
        <f t="shared" si="155"/>
        <v>65.320184547527205</v>
      </c>
      <c r="FH151" s="20">
        <f t="shared" si="130"/>
        <v>587.88248808694345</v>
      </c>
      <c r="FI151" s="59">
        <f t="shared" si="131"/>
        <v>881.21582142027682</v>
      </c>
      <c r="FJ151" s="59">
        <f ca="1">AVERAGE(OFFSET($FI$3,0,0,'Données projet'!$E$16+1,1))-AVERAGE(OFFSET($H$3,0,0,'Données projet'!$E$16+1,1))</f>
        <v>283.77864672734273</v>
      </c>
      <c r="FK151" s="59">
        <f t="shared" si="156"/>
        <v>270.94620935643866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18.493007941663929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18.493007941663929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319</v>
      </c>
      <c r="GA151" s="17">
        <f>FZ151*VLOOKUP('Données projet'!$B$17,Paramètres!$A$1:$I$89,3,0)*VLOOKUP('Données projet'!$B$17,Paramètres!$A$1:$I$89,5,0)</f>
        <v>308.53680000000003</v>
      </c>
      <c r="GB151" s="13">
        <f t="shared" si="157"/>
        <v>72.963171684496103</v>
      </c>
      <c r="GC151" s="20">
        <f t="shared" si="133"/>
        <v>664.4457840171641</v>
      </c>
      <c r="GD151" s="59">
        <f t="shared" si="134"/>
        <v>957.77911735049747</v>
      </c>
      <c r="GE151" s="59">
        <f ca="1">AVERAGE(OFFSET($GD$3,0,0,'Données projet'!$E$17+1,1))-AVERAGE(OFFSET($H$3,0,0,'Données projet'!$E$17+1,1))</f>
        <v>347.54503437087288</v>
      </c>
      <c r="GF151" s="59">
        <f t="shared" si="158"/>
        <v>340.05673244455954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13.639802665318479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13.639802665318479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735.00000000000011</v>
      </c>
      <c r="O152" s="13">
        <f>N152*VLOOKUP('Données projet'!$B$9,Paramètres!$A$1:$I$89,3,0)*VLOOKUP('Données projet'!$B$9,Paramètres!$A$1:$I$89,5,0)</f>
        <v>343.98</v>
      </c>
      <c r="P152" s="13">
        <f t="shared" si="141"/>
        <v>80.321681832084693</v>
      </c>
      <c r="Q152" s="20">
        <f t="shared" si="108"/>
        <v>738.9920958575475</v>
      </c>
      <c r="R152" s="59">
        <f t="shared" si="109"/>
        <v>1032.3254291908809</v>
      </c>
      <c r="S152" s="59">
        <f ca="1">AVERAGE(OFFSET($R$3,0,0,'Données projet'!$E$9+1,1))-AVERAGE(OFFSET($H$3,0,0,'Données projet'!$E$9+1,1))</f>
        <v>342.49944586217674</v>
      </c>
      <c r="T152" s="59">
        <f t="shared" si="142"/>
        <v>282.29766600872563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30.075619127528576</v>
      </c>
      <c r="AA152" s="21">
        <f>EXP(-LN(2)/25)*AA151+(1-EXP(-LN(2)/25))/(LN(2)/25)*Calculateur!V152*Calculateur!X152*VLOOKUP('Données projet'!$B$9,Paramètres!$A$1:$I$89,3,0)*0.475*44/12</f>
        <v>1.4792131642342101</v>
      </c>
      <c r="AB152" s="21">
        <f>EXP(-LN(2)/2)*AB151+(1-EXP(-LN(2)/2))/(LN(2)/2)*V152*Y152*VLOOKUP('Données projet'!$B$9,Paramètres!$A$1:$I$89,3,0)*0.475*44/12</f>
        <v>1.0155859318528698E-19</v>
      </c>
      <c r="AC152" s="22">
        <f t="shared" si="111"/>
        <v>31.554832291762786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739.99999999999966</v>
      </c>
      <c r="AJ152" s="13">
        <f>AI152*VLOOKUP('Données projet'!$B$10,Paramètres!$A$1:$I$89,3,0)*VLOOKUP('Données projet'!$B$10,Paramètres!$A$1:$I$89,5,0)</f>
        <v>413.65999999999985</v>
      </c>
      <c r="AK152" s="13">
        <f t="shared" si="143"/>
        <v>94.540585122244352</v>
      </c>
      <c r="AL152" s="20">
        <f t="shared" si="112"/>
        <v>885.11601908790863</v>
      </c>
      <c r="AM152" s="59">
        <f t="shared" si="113"/>
        <v>1178.4493524212419</v>
      </c>
      <c r="AN152" s="59">
        <f ca="1">AVERAGE(OFFSET($AM$3,0,0,'Données projet'!$E$10+1,1))-AVERAGE(OFFSET($H$3,0,0,'Données projet'!$E$10+1,1))</f>
        <v>490.96084572840579</v>
      </c>
      <c r="AO152" s="59">
        <f t="shared" si="144"/>
        <v>597.91658789908263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21.192242632649165</v>
      </c>
      <c r="AV152" s="21">
        <f>EXP(-LN(2)/25)*AV151+(1-EXP(-LN(2)/25))/(LN(2)/25)*Calculateur!AQ152*Calculateur!AS152*VLOOKUP('Données projet'!$B$10,Paramètres!$A$1:$I$89,3,0)*0.475*44/12</f>
        <v>2.1324909160957115</v>
      </c>
      <c r="AW152" s="21">
        <f>EXP(-LN(2)/2)*AW151+(1-EXP(-LN(2)/2))/(LN(2)/2)*AQ152*AT152*VLOOKUP('Données projet'!$B$10,Paramètres!$A$1:$I$89,3,0)*0.475*44/12</f>
        <v>1.0432324377755309E-18</v>
      </c>
      <c r="AX152" s="21">
        <f t="shared" si="114"/>
        <v>23.324733548744877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213.00000000000003</v>
      </c>
      <c r="BE152" s="13">
        <f>BD152*VLOOKUP('Données projet'!$B$11,Paramètres!$A$1:$I$89,3,0)*VLOOKUP('Données projet'!$B$11,Paramètres!$A$1:$I$89,5,0)</f>
        <v>169.46280000000002</v>
      </c>
      <c r="BF152" s="13">
        <f t="shared" si="145"/>
        <v>42.969686502194378</v>
      </c>
      <c r="BG152" s="20">
        <f t="shared" si="115"/>
        <v>369.98658065798855</v>
      </c>
      <c r="BH152" s="59">
        <f t="shared" si="116"/>
        <v>663.31991399132187</v>
      </c>
      <c r="BI152" s="59">
        <f ca="1">AVERAGE(OFFSET($BH$3,0,0,'Données projet'!$E$11+1,1))-AVERAGE(OFFSET($H$3,0,0,'Données projet'!$E$11+1,1))</f>
        <v>167.80254365106839</v>
      </c>
      <c r="BJ152" s="59">
        <f t="shared" si="146"/>
        <v>167.42302164950172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8.5474417738941693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8.5474417738941693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669.99999999999989</v>
      </c>
      <c r="BZ152" s="13">
        <f>BY152*VLOOKUP('Données projet'!$B$12,Paramètres!$A$1:$I$89,3,0)*VLOOKUP('Données projet'!$B$12,Paramètres!$A$1:$I$89,5,0)</f>
        <v>330.97999999999996</v>
      </c>
      <c r="CA152" s="13">
        <f t="shared" si="147"/>
        <v>77.633451096966454</v>
      </c>
      <c r="CB152" s="20">
        <f t="shared" si="118"/>
        <v>711.66842732721636</v>
      </c>
      <c r="CC152" s="59">
        <f t="shared" si="119"/>
        <v>1005.0017606605497</v>
      </c>
      <c r="CD152" s="59">
        <f ca="1">AVERAGE(OFFSET($CC$3,0,0,'Données projet'!$E$12+1,1))-AVERAGE(OFFSET($H$3,0,0,'Données projet'!$E$12+1,1))</f>
        <v>322.06606384496587</v>
      </c>
      <c r="CE152" s="59">
        <f t="shared" si="148"/>
        <v>267.71713177624713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29.665866906768279</v>
      </c>
      <c r="CL152" s="21">
        <f>EXP(-LN(2)/25)*CL151+(1-EXP(-LN(2)/25))/(LN(2)/25)*Calculateur!CG152*Calculateur!CI152*VLOOKUP('Données projet'!$B$12,Paramètres!$A$1:$I$89,3,0)*0.475*44/12</f>
        <v>0.74197604538751749</v>
      </c>
      <c r="CM152" s="21">
        <f>EXP(-LN(2)/2)*CM151+(1-EXP(-LN(2)/2))/(LN(2)/2)*CG152*CJ152*VLOOKUP('Données projet'!$B$12,Paramètres!$A$1:$I$89,3,0)*0.475*44/12</f>
        <v>4.8513515685424924E-18</v>
      </c>
      <c r="CN152" s="22">
        <f t="shared" si="120"/>
        <v>30.407842952155796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401</v>
      </c>
      <c r="CU152" s="17">
        <f>CT152*VLOOKUP('Données projet'!$B$13,Paramètres!$A$1:$I$89,3,0)*VLOOKUP('Données projet'!$B$13,Paramètres!$A$1:$I$89,5,0)</f>
        <v>250.22399999999999</v>
      </c>
      <c r="CV152" s="13">
        <f t="shared" si="149"/>
        <v>60.633904580527918</v>
      </c>
      <c r="CW152" s="20">
        <f t="shared" si="121"/>
        <v>541.41085047775289</v>
      </c>
      <c r="CX152" s="59">
        <f t="shared" si="122"/>
        <v>834.74418381108626</v>
      </c>
      <c r="CY152" s="59">
        <f ca="1">AVERAGE(OFFSET($CX$3,0,0,'Données projet'!$E$13+1,1))-AVERAGE(OFFSET($H$3,0,0,'Données projet'!$E$13+1,1))</f>
        <v>269.77739619445515</v>
      </c>
      <c r="CZ152" s="59">
        <f t="shared" si="150"/>
        <v>347.56964743629885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13.141040090772451</v>
      </c>
      <c r="DG152" s="21">
        <f>EXP(-LN(2)/25)*DG151+(1-EXP(-LN(2)/25))/(LN(2)/25)*Calculateur!DB152*Calculateur!DD152*VLOOKUP('Données projet'!$B$13,Paramètres!$A$1:$I$89,3,0)*0.475*44/12</f>
        <v>3.3858392328061728</v>
      </c>
      <c r="DH152" s="21">
        <f>EXP(-LN(2)/2)*DH151+(1-EXP(-LN(2)/2))/(LN(2)/2)*DB152*DE152*VLOOKUP('Données projet'!$B$13,Paramètres!$A$1:$I$89,3,0)*0.475*44/12</f>
        <v>3.0467577955586067E-20</v>
      </c>
      <c r="DI152" s="22">
        <f t="shared" si="123"/>
        <v>16.526879323578623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669.99999999999989</v>
      </c>
      <c r="DP152" s="17">
        <f>DO152*VLOOKUP('Données projet'!$B$14,Paramètres!$A$1:$I$89,3,0)*VLOOKUP('Données projet'!$B$14,Paramètres!$A$1:$I$89,5,0)</f>
        <v>322.26999999999992</v>
      </c>
      <c r="DQ152" s="13">
        <f t="shared" si="151"/>
        <v>75.825476822885776</v>
      </c>
      <c r="DR152" s="20">
        <f t="shared" si="124"/>
        <v>693.34962213319261</v>
      </c>
      <c r="DS152" s="59">
        <f t="shared" si="125"/>
        <v>986.68295546652598</v>
      </c>
      <c r="DT152" s="59">
        <f ca="1">AVERAGE(OFFSET($DS$3,0,0,'Données projet'!$E$14+1,1))-AVERAGE(OFFSET($H$3,0,0,'Données projet'!$E$14+1,1))</f>
        <v>312.64506496298173</v>
      </c>
      <c r="DU152" s="59">
        <f t="shared" si="152"/>
        <v>259.97532509897508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28.885186198695454</v>
      </c>
      <c r="EB152" s="21">
        <f>EXP(-LN(2)/25)*EB151+(1-EXP(-LN(2)/25))/(LN(2)/25)*Calculateur!DW152*Calculateur!DY152*VLOOKUP('Données projet'!$B$14,Paramètres!$A$1:$I$89,3,0)*0.475*44/12</f>
        <v>0.72245035998258444</v>
      </c>
      <c r="EC152" s="21">
        <f>EXP(-LN(2)/2)*EC151+(1-EXP(-LN(2)/2))/(LN(2)/2)*DW152*DZ152*VLOOKUP('Données projet'!$B$14,Paramètres!$A$1:$I$89,3,0)*0.475*44/12</f>
        <v>4.7236844220018529E-18</v>
      </c>
      <c r="ED152" s="22">
        <f t="shared" si="126"/>
        <v>29.607636558678038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267</v>
      </c>
      <c r="EK152" s="17">
        <f>EJ152*VLOOKUP('Données projet'!$B$15,Paramètres!$A$1:$I$89,3,0)*VLOOKUP('Données projet'!$B$15,Paramètres!$A$1:$I$89,5,0)</f>
        <v>241.58159999999998</v>
      </c>
      <c r="EL152" s="13">
        <f t="shared" si="153"/>
        <v>58.779689232021951</v>
      </c>
      <c r="EM152" s="20">
        <f t="shared" si="127"/>
        <v>523.12924541243819</v>
      </c>
      <c r="EN152" s="59">
        <f t="shared" si="128"/>
        <v>816.46257874577145</v>
      </c>
      <c r="EO152" s="59">
        <f ca="1">AVERAGE(OFFSET($EN$3,0,0,'Données projet'!$E$15+1,1))-AVERAGE(OFFSET($H$3,0,0,'Données projet'!$E$15+1,1))</f>
        <v>269.64423257646359</v>
      </c>
      <c r="EP152" s="59">
        <f t="shared" si="154"/>
        <v>161.0819079811821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38.549152016621512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38.549152016621512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349.00000000000017</v>
      </c>
      <c r="FF152" s="17">
        <f>FE152*VLOOKUP('Données projet'!$B$16,Paramètres!$A$1:$I$89,3,0)*VLOOKUP('Données projet'!$B$16,Paramètres!$A$1:$I$89,5,0)</f>
        <v>272.22000000000014</v>
      </c>
      <c r="FG152" s="13">
        <f t="shared" si="155"/>
        <v>65.320184547527205</v>
      </c>
      <c r="FH152" s="20">
        <f t="shared" si="130"/>
        <v>587.88248808694345</v>
      </c>
      <c r="FI152" s="59">
        <f t="shared" si="131"/>
        <v>881.21582142027682</v>
      </c>
      <c r="FJ152" s="59">
        <f ca="1">AVERAGE(OFFSET($FI$3,0,0,'Données projet'!$E$16+1,1))-AVERAGE(OFFSET($H$3,0,0,'Données projet'!$E$16+1,1))</f>
        <v>283.77864672734273</v>
      </c>
      <c r="FK152" s="59">
        <f t="shared" si="156"/>
        <v>270.94620935643866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18.130371335548976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18.130371335548976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319</v>
      </c>
      <c r="GA152" s="17">
        <f>FZ152*VLOOKUP('Données projet'!$B$17,Paramètres!$A$1:$I$89,3,0)*VLOOKUP('Données projet'!$B$17,Paramètres!$A$1:$I$89,5,0)</f>
        <v>308.53680000000003</v>
      </c>
      <c r="GB152" s="13">
        <f t="shared" si="157"/>
        <v>72.963171684496103</v>
      </c>
      <c r="GC152" s="20">
        <f t="shared" si="133"/>
        <v>664.4457840171641</v>
      </c>
      <c r="GD152" s="59">
        <f t="shared" si="134"/>
        <v>957.77911735049747</v>
      </c>
      <c r="GE152" s="59">
        <f ca="1">AVERAGE(OFFSET($GD$3,0,0,'Données projet'!$E$17+1,1))-AVERAGE(OFFSET($H$3,0,0,'Données projet'!$E$17+1,1))</f>
        <v>347.54503437087288</v>
      </c>
      <c r="GF152" s="59">
        <f t="shared" si="158"/>
        <v>340.05673244455954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13.372334454509732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13.372334454509732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735.00000000000011</v>
      </c>
      <c r="O153" s="13">
        <f>N153*VLOOKUP('Données projet'!$B$9,Paramètres!$A$1:$I$89,3,0)*VLOOKUP('Données projet'!$B$9,Paramètres!$A$1:$I$89,5,0)</f>
        <v>343.98</v>
      </c>
      <c r="P153" s="13">
        <f t="shared" si="141"/>
        <v>80.321681832084693</v>
      </c>
      <c r="Q153" s="20">
        <f t="shared" si="108"/>
        <v>738.9920958575475</v>
      </c>
      <c r="R153" s="59">
        <f t="shared" si="109"/>
        <v>1032.3254291908809</v>
      </c>
      <c r="S153" s="59">
        <f ca="1">AVERAGE(OFFSET($R$3,0,0,'Données projet'!$E$9+1,1))-AVERAGE(OFFSET($H$3,0,0,'Données projet'!$E$9+1,1))</f>
        <v>342.49944586217674</v>
      </c>
      <c r="T153" s="59">
        <f t="shared" si="142"/>
        <v>282.29766600872563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29.485854580754058</v>
      </c>
      <c r="AA153" s="21">
        <f>EXP(-LN(2)/25)*AA152+(1-EXP(-LN(2)/25))/(LN(2)/25)*Calculateur!V153*Calculateur!X153*VLOOKUP('Données projet'!$B$9,Paramètres!$A$1:$I$89,3,0)*0.475*44/12</f>
        <v>1.4387640024697861</v>
      </c>
      <c r="AB153" s="21">
        <f>EXP(-LN(2)/2)*AB152+(1-EXP(-LN(2)/2))/(LN(2)/2)*V153*Y153*VLOOKUP('Données projet'!$B$9,Paramètres!$A$1:$I$89,3,0)*0.475*44/12</f>
        <v>7.1812769929082314E-20</v>
      </c>
      <c r="AC153" s="22">
        <f t="shared" si="111"/>
        <v>30.924618583223843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739.99999999999966</v>
      </c>
      <c r="AJ153" s="13">
        <f>AI153*VLOOKUP('Données projet'!$B$10,Paramètres!$A$1:$I$89,3,0)*VLOOKUP('Données projet'!$B$10,Paramètres!$A$1:$I$89,5,0)</f>
        <v>413.65999999999985</v>
      </c>
      <c r="AK153" s="13">
        <f t="shared" si="143"/>
        <v>94.540585122244352</v>
      </c>
      <c r="AL153" s="20">
        <f t="shared" si="112"/>
        <v>885.11601908790863</v>
      </c>
      <c r="AM153" s="59">
        <f t="shared" si="113"/>
        <v>1178.4493524212419</v>
      </c>
      <c r="AN153" s="59">
        <f ca="1">AVERAGE(OFFSET($AM$3,0,0,'Données projet'!$E$10+1,1))-AVERAGE(OFFSET($H$3,0,0,'Données projet'!$E$10+1,1))</f>
        <v>490.96084572840579</v>
      </c>
      <c r="AO153" s="59">
        <f t="shared" si="144"/>
        <v>597.91658789908263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20.776675680614584</v>
      </c>
      <c r="AV153" s="21">
        <f>EXP(-LN(2)/25)*AV152+(1-EXP(-LN(2)/25))/(LN(2)/25)*Calculateur!AQ153*Calculateur!AS153*VLOOKUP('Données projet'!$B$10,Paramètres!$A$1:$I$89,3,0)*0.475*44/12</f>
        <v>2.074177839852251</v>
      </c>
      <c r="AW153" s="21">
        <f>EXP(-LN(2)/2)*AW152+(1-EXP(-LN(2)/2))/(LN(2)/2)*AQ153*AT153*VLOOKUP('Données projet'!$B$10,Paramètres!$A$1:$I$89,3,0)*0.475*44/12</f>
        <v>7.3767673110485088E-19</v>
      </c>
      <c r="AX153" s="21">
        <f t="shared" si="114"/>
        <v>22.850853520466835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213.00000000000003</v>
      </c>
      <c r="BE153" s="13">
        <f>BD153*VLOOKUP('Données projet'!$B$11,Paramètres!$A$1:$I$89,3,0)*VLOOKUP('Données projet'!$B$11,Paramètres!$A$1:$I$89,5,0)</f>
        <v>169.46280000000002</v>
      </c>
      <c r="BF153" s="13">
        <f t="shared" si="145"/>
        <v>42.969686502194378</v>
      </c>
      <c r="BG153" s="20">
        <f t="shared" si="115"/>
        <v>369.98658065798855</v>
      </c>
      <c r="BH153" s="59">
        <f t="shared" si="116"/>
        <v>663.31991399132187</v>
      </c>
      <c r="BI153" s="59">
        <f ca="1">AVERAGE(OFFSET($BH$3,0,0,'Données projet'!$E$11+1,1))-AVERAGE(OFFSET($H$3,0,0,'Données projet'!$E$11+1,1))</f>
        <v>167.80254365106839</v>
      </c>
      <c r="BJ153" s="59">
        <f t="shared" si="146"/>
        <v>167.42302164950172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8.3798316541328042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8.3798316541328042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669.99999999999989</v>
      </c>
      <c r="BZ153" s="13">
        <f>BY153*VLOOKUP('Données projet'!$B$12,Paramètres!$A$1:$I$89,3,0)*VLOOKUP('Données projet'!$B$12,Paramètres!$A$1:$I$89,5,0)</f>
        <v>330.97999999999996</v>
      </c>
      <c r="CA153" s="13">
        <f t="shared" si="147"/>
        <v>77.633451096966454</v>
      </c>
      <c r="CB153" s="20">
        <f t="shared" si="118"/>
        <v>711.66842732721636</v>
      </c>
      <c r="CC153" s="59">
        <f t="shared" si="119"/>
        <v>1005.0017606605497</v>
      </c>
      <c r="CD153" s="59">
        <f ca="1">AVERAGE(OFFSET($CC$3,0,0,'Données projet'!$E$12+1,1))-AVERAGE(OFFSET($H$3,0,0,'Données projet'!$E$12+1,1))</f>
        <v>322.06606384496587</v>
      </c>
      <c r="CE153" s="59">
        <f t="shared" si="148"/>
        <v>267.71713177624713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29.084137351118695</v>
      </c>
      <c r="CL153" s="21">
        <f>EXP(-LN(2)/25)*CL152+(1-EXP(-LN(2)/25))/(LN(2)/25)*Calculateur!CG153*Calculateur!CI153*VLOOKUP('Données projet'!$B$12,Paramètres!$A$1:$I$89,3,0)*0.475*44/12</f>
        <v>0.72168667140757137</v>
      </c>
      <c r="CM153" s="21">
        <f>EXP(-LN(2)/2)*CM152+(1-EXP(-LN(2)/2))/(LN(2)/2)*CG153*CJ153*VLOOKUP('Données projet'!$B$12,Paramètres!$A$1:$I$89,3,0)*0.475*44/12</f>
        <v>3.4304235920363906E-18</v>
      </c>
      <c r="CN153" s="22">
        <f t="shared" si="120"/>
        <v>29.805824022526267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401</v>
      </c>
      <c r="CU153" s="17">
        <f>CT153*VLOOKUP('Données projet'!$B$13,Paramètres!$A$1:$I$89,3,0)*VLOOKUP('Données projet'!$B$13,Paramètres!$A$1:$I$89,5,0)</f>
        <v>250.22399999999999</v>
      </c>
      <c r="CV153" s="13">
        <f t="shared" si="149"/>
        <v>60.633904580527918</v>
      </c>
      <c r="CW153" s="20">
        <f t="shared" si="121"/>
        <v>541.41085047775289</v>
      </c>
      <c r="CX153" s="59">
        <f t="shared" si="122"/>
        <v>834.74418381108626</v>
      </c>
      <c r="CY153" s="59">
        <f ca="1">AVERAGE(OFFSET($CX$3,0,0,'Données projet'!$E$13+1,1))-AVERAGE(OFFSET($H$3,0,0,'Données projet'!$E$13+1,1))</f>
        <v>269.77739619445515</v>
      </c>
      <c r="CZ153" s="59">
        <f t="shared" si="150"/>
        <v>347.56964743629885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12.88335230983542</v>
      </c>
      <c r="DG153" s="21">
        <f>EXP(-LN(2)/25)*DG152+(1-EXP(-LN(2)/25))/(LN(2)/25)*Calculateur!DB153*Calculateur!DD153*VLOOKUP('Données projet'!$B$13,Paramètres!$A$1:$I$89,3,0)*0.475*44/12</f>
        <v>3.2932532809315411</v>
      </c>
      <c r="DH153" s="21">
        <f>EXP(-LN(2)/2)*DH152+(1-EXP(-LN(2)/2))/(LN(2)/2)*DB153*DE153*VLOOKUP('Données projet'!$B$13,Paramètres!$A$1:$I$89,3,0)*0.475*44/12</f>
        <v>2.1543830978724676E-20</v>
      </c>
      <c r="DI153" s="22">
        <f t="shared" si="123"/>
        <v>16.176605590766961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669.99999999999989</v>
      </c>
      <c r="DP153" s="17">
        <f>DO153*VLOOKUP('Données projet'!$B$14,Paramètres!$A$1:$I$89,3,0)*VLOOKUP('Données projet'!$B$14,Paramètres!$A$1:$I$89,5,0)</f>
        <v>322.26999999999992</v>
      </c>
      <c r="DQ153" s="13">
        <f t="shared" si="151"/>
        <v>75.825476822885776</v>
      </c>
      <c r="DR153" s="20">
        <f t="shared" si="124"/>
        <v>693.34962213319261</v>
      </c>
      <c r="DS153" s="59">
        <f t="shared" si="125"/>
        <v>986.68295546652598</v>
      </c>
      <c r="DT153" s="59">
        <f ca="1">AVERAGE(OFFSET($DS$3,0,0,'Données projet'!$E$14+1,1))-AVERAGE(OFFSET($H$3,0,0,'Données projet'!$E$14+1,1))</f>
        <v>312.64506496298173</v>
      </c>
      <c r="DU153" s="59">
        <f t="shared" si="152"/>
        <v>259.97532509897508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28.318765315562963</v>
      </c>
      <c r="EB153" s="21">
        <f>EXP(-LN(2)/25)*EB152+(1-EXP(-LN(2)/25))/(LN(2)/25)*Calculateur!DW153*Calculateur!DY153*VLOOKUP('Données projet'!$B$14,Paramètres!$A$1:$I$89,3,0)*0.475*44/12</f>
        <v>0.70269491689684738</v>
      </c>
      <c r="EC153" s="21">
        <f>EXP(-LN(2)/2)*EC152+(1-EXP(-LN(2)/2))/(LN(2)/2)*DW153*DZ153*VLOOKUP('Données projet'!$B$14,Paramètres!$A$1:$I$89,3,0)*0.475*44/12</f>
        <v>3.3401492869827675E-18</v>
      </c>
      <c r="ED153" s="22">
        <f t="shared" si="126"/>
        <v>29.021460232459809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267</v>
      </c>
      <c r="EK153" s="17">
        <f>EJ153*VLOOKUP('Données projet'!$B$15,Paramètres!$A$1:$I$89,3,0)*VLOOKUP('Données projet'!$B$15,Paramètres!$A$1:$I$89,5,0)</f>
        <v>241.58159999999998</v>
      </c>
      <c r="EL153" s="13">
        <f t="shared" si="153"/>
        <v>58.779689232021951</v>
      </c>
      <c r="EM153" s="20">
        <f t="shared" si="127"/>
        <v>523.12924541243819</v>
      </c>
      <c r="EN153" s="59">
        <f t="shared" si="128"/>
        <v>816.46257874577145</v>
      </c>
      <c r="EO153" s="59">
        <f ca="1">AVERAGE(OFFSET($EN$3,0,0,'Données projet'!$E$15+1,1))-AVERAGE(OFFSET($H$3,0,0,'Données projet'!$E$15+1,1))</f>
        <v>269.64423257646359</v>
      </c>
      <c r="EP153" s="59">
        <f t="shared" si="154"/>
        <v>161.0819079811821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37.793226658236613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37.793226658236613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349.00000000000017</v>
      </c>
      <c r="FF153" s="17">
        <f>FE153*VLOOKUP('Données projet'!$B$16,Paramètres!$A$1:$I$89,3,0)*VLOOKUP('Données projet'!$B$16,Paramètres!$A$1:$I$89,5,0)</f>
        <v>272.22000000000014</v>
      </c>
      <c r="FG153" s="13">
        <f t="shared" si="155"/>
        <v>65.320184547527205</v>
      </c>
      <c r="FH153" s="20">
        <f t="shared" si="130"/>
        <v>587.88248808694345</v>
      </c>
      <c r="FI153" s="59">
        <f t="shared" si="131"/>
        <v>881.21582142027682</v>
      </c>
      <c r="FJ153" s="59">
        <f ca="1">AVERAGE(OFFSET($FI$3,0,0,'Données projet'!$E$16+1,1))-AVERAGE(OFFSET($H$3,0,0,'Données projet'!$E$16+1,1))</f>
        <v>283.77864672734273</v>
      </c>
      <c r="FK153" s="59">
        <f t="shared" si="156"/>
        <v>270.94620935643866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17.774845812093446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17.774845812093446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319</v>
      </c>
      <c r="GA153" s="17">
        <f>FZ153*VLOOKUP('Données projet'!$B$17,Paramètres!$A$1:$I$89,3,0)*VLOOKUP('Données projet'!$B$17,Paramètres!$A$1:$I$89,5,0)</f>
        <v>308.53680000000003</v>
      </c>
      <c r="GB153" s="13">
        <f t="shared" si="157"/>
        <v>72.963171684496103</v>
      </c>
      <c r="GC153" s="20">
        <f t="shared" si="133"/>
        <v>664.4457840171641</v>
      </c>
      <c r="GD153" s="59">
        <f t="shared" si="134"/>
        <v>957.77911735049747</v>
      </c>
      <c r="GE153" s="59">
        <f ca="1">AVERAGE(OFFSET($GD$3,0,0,'Données projet'!$E$17+1,1))-AVERAGE(OFFSET($H$3,0,0,'Données projet'!$E$17+1,1))</f>
        <v>347.54503437087288</v>
      </c>
      <c r="GF153" s="59">
        <f t="shared" si="158"/>
        <v>340.05673244455954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13.110111132175444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13.110111132175444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735.00000000000011</v>
      </c>
      <c r="O154" s="13">
        <f>N154*VLOOKUP('Données projet'!$B$9,Paramètres!$A$1:$I$89,3,0)*VLOOKUP('Données projet'!$B$9,Paramètres!$A$1:$I$89,5,0)</f>
        <v>343.98</v>
      </c>
      <c r="P154" s="13">
        <f t="shared" si="141"/>
        <v>80.321681832084693</v>
      </c>
      <c r="Q154" s="20">
        <f t="shared" ref="Q154:Q203" si="162">(O154+P154)*0.475*44/12</f>
        <v>738.9920958575475</v>
      </c>
      <c r="R154" s="59">
        <f t="shared" si="109"/>
        <v>1032.3254291908809</v>
      </c>
      <c r="S154" s="59">
        <f ca="1">AVERAGE(OFFSET($R$3,0,0,'Données projet'!$E$9+1,1))-AVERAGE(OFFSET($H$3,0,0,'Données projet'!$E$9+1,1))</f>
        <v>342.49944586217674</v>
      </c>
      <c r="T154" s="59">
        <f t="shared" si="142"/>
        <v>282.29766600872563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28.907654957020934</v>
      </c>
      <c r="AA154" s="21">
        <f>EXP(-LN(2)/25)*AA153+(1-EXP(-LN(2)/25))/(LN(2)/25)*Calculateur!V154*Calculateur!X154*VLOOKUP('Données projet'!$B$9,Paramètres!$A$1:$I$89,3,0)*0.475*44/12</f>
        <v>1.3994209251609393</v>
      </c>
      <c r="AB154" s="21">
        <f>EXP(-LN(2)/2)*AB153+(1-EXP(-LN(2)/2))/(LN(2)/2)*V154*Y154*VLOOKUP('Données projet'!$B$9,Paramètres!$A$1:$I$89,3,0)*0.475*44/12</f>
        <v>5.0779296592643489E-20</v>
      </c>
      <c r="AC154" s="22">
        <f t="shared" ref="AC154:AC203" si="163">SUM(Z154:AB154)</f>
        <v>30.307075882181874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739.99999999999966</v>
      </c>
      <c r="AJ154" s="13">
        <f>AI154*VLOOKUP('Données projet'!$B$10,Paramètres!$A$1:$I$89,3,0)*VLOOKUP('Données projet'!$B$10,Paramètres!$A$1:$I$89,5,0)</f>
        <v>413.65999999999985</v>
      </c>
      <c r="AK154" s="13">
        <f t="shared" ref="AK154:AK203" si="164">EXP(-1.0587+0.8836*LN(AJ154)+0.284)</f>
        <v>94.540585122244352</v>
      </c>
      <c r="AL154" s="20">
        <f t="shared" ref="AL154:AL203" si="165">(AJ154+AK154)*0.475*44/12</f>
        <v>885.11601908790863</v>
      </c>
      <c r="AM154" s="59">
        <f t="shared" si="113"/>
        <v>1178.4493524212419</v>
      </c>
      <c r="AN154" s="59">
        <f ca="1">AVERAGE(OFFSET($AM$3,0,0,'Données projet'!$E$10+1,1))-AVERAGE(OFFSET($H$3,0,0,'Données projet'!$E$10+1,1))</f>
        <v>490.96084572840579</v>
      </c>
      <c r="AO154" s="59">
        <f t="shared" si="144"/>
        <v>597.91658789908263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20.369257743038588</v>
      </c>
      <c r="AV154" s="21">
        <f>EXP(-LN(2)/25)*AV153+(1-EXP(-LN(2)/25))/(LN(2)/25)*Calculateur!AQ154*Calculateur!AS154*VLOOKUP('Données projet'!$B$10,Paramètres!$A$1:$I$89,3,0)*0.475*44/12</f>
        <v>2.017459337745219</v>
      </c>
      <c r="AW154" s="21">
        <f>EXP(-LN(2)/2)*AW153+(1-EXP(-LN(2)/2))/(LN(2)/2)*AQ154*AT154*VLOOKUP('Données projet'!$B$10,Paramètres!$A$1:$I$89,3,0)*0.475*44/12</f>
        <v>5.2161621888776544E-19</v>
      </c>
      <c r="AX154" s="21">
        <f t="shared" ref="AX154:AX203" si="166">SUM(AU154:AW154)</f>
        <v>22.386717080783807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213.00000000000003</v>
      </c>
      <c r="BE154" s="13">
        <f>BD154*VLOOKUP('Données projet'!$B$11,Paramètres!$A$1:$I$89,3,0)*VLOOKUP('Données projet'!$B$11,Paramètres!$A$1:$I$89,5,0)</f>
        <v>169.46280000000002</v>
      </c>
      <c r="BF154" s="13">
        <f t="shared" ref="BF154:BF203" si="167">EXP(-1.0587+0.8836*LN(BE154)+0.284)</f>
        <v>42.969686502194378</v>
      </c>
      <c r="BG154" s="20">
        <f t="shared" ref="BG154:BG203" si="168">(BE154+BF154)*0.475*44/12</f>
        <v>369.98658065798855</v>
      </c>
      <c r="BH154" s="59">
        <f t="shared" si="116"/>
        <v>663.31991399132187</v>
      </c>
      <c r="BI154" s="59">
        <f ca="1">AVERAGE(OFFSET($BH$3,0,0,'Données projet'!$E$11+1,1))-AVERAGE(OFFSET($H$3,0,0,'Données projet'!$E$11+1,1))</f>
        <v>167.80254365106839</v>
      </c>
      <c r="BJ154" s="59">
        <f t="shared" si="146"/>
        <v>167.42302164950172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8.2155082665878805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8.2155082665878805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669.99999999999989</v>
      </c>
      <c r="BZ154" s="13">
        <f>BY154*VLOOKUP('Données projet'!$B$12,Paramètres!$A$1:$I$89,3,0)*VLOOKUP('Données projet'!$B$12,Paramètres!$A$1:$I$89,5,0)</f>
        <v>330.97999999999996</v>
      </c>
      <c r="CA154" s="13">
        <f t="shared" ref="CA154:CA203" si="170">EXP(-1.0587+0.8836*LN(BZ154)+0.284)</f>
        <v>77.633451096966454</v>
      </c>
      <c r="CB154" s="20">
        <f t="shared" ref="CB154:CB203" si="171">(BZ154+CA154)*0.475*44/12</f>
        <v>711.66842732721636</v>
      </c>
      <c r="CC154" s="59">
        <f t="shared" si="119"/>
        <v>1005.0017606605497</v>
      </c>
      <c r="CD154" s="59">
        <f ca="1">AVERAGE(OFFSET($CC$3,0,0,'Données projet'!$E$12+1,1))-AVERAGE(OFFSET($H$3,0,0,'Données projet'!$E$12+1,1))</f>
        <v>322.06606384496587</v>
      </c>
      <c r="CE154" s="59">
        <f t="shared" si="148"/>
        <v>267.71713177624713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28.513815157235406</v>
      </c>
      <c r="CL154" s="21">
        <f>EXP(-LN(2)/25)*CL153+(1-EXP(-LN(2)/25))/(LN(2)/25)*Calculateur!CG154*Calculateur!CI154*VLOOKUP('Données projet'!$B$12,Paramètres!$A$1:$I$89,3,0)*0.475*44/12</f>
        <v>0.70195211142607872</v>
      </c>
      <c r="CM154" s="21">
        <f>EXP(-LN(2)/2)*CM153+(1-EXP(-LN(2)/2))/(LN(2)/2)*CG154*CJ154*VLOOKUP('Données projet'!$B$12,Paramètres!$A$1:$I$89,3,0)*0.475*44/12</f>
        <v>2.4256757842712466E-18</v>
      </c>
      <c r="CN154" s="22">
        <f t="shared" ref="CN154:CN203" si="172">SUM(CK154:CM154)</f>
        <v>29.215767268661484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401</v>
      </c>
      <c r="CU154" s="17">
        <f>CT154*VLOOKUP('Données projet'!$B$13,Paramètres!$A$1:$I$89,3,0)*VLOOKUP('Données projet'!$B$13,Paramètres!$A$1:$I$89,5,0)</f>
        <v>250.22399999999999</v>
      </c>
      <c r="CV154" s="13">
        <f t="shared" ref="CV154:CV203" si="173">EXP(-1.0587+0.8836*LN(CU154)+0.284)</f>
        <v>60.633904580527918</v>
      </c>
      <c r="CW154" s="20">
        <f t="shared" ref="CW154:CW203" si="174">(CU154+CV154)*0.475*44/12</f>
        <v>541.41085047775289</v>
      </c>
      <c r="CX154" s="59">
        <f t="shared" si="122"/>
        <v>834.74418381108626</v>
      </c>
      <c r="CY154" s="59">
        <f ca="1">AVERAGE(OFFSET($CX$3,0,0,'Données projet'!$E$13+1,1))-AVERAGE(OFFSET($H$3,0,0,'Données projet'!$E$13+1,1))</f>
        <v>269.77739619445515</v>
      </c>
      <c r="CZ154" s="59">
        <f t="shared" si="150"/>
        <v>347.56964743629885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12.630717629108537</v>
      </c>
      <c r="DG154" s="21">
        <f>EXP(-LN(2)/25)*DG153+(1-EXP(-LN(2)/25))/(LN(2)/25)*Calculateur!DB154*Calculateur!DD154*VLOOKUP('Données projet'!$B$13,Paramètres!$A$1:$I$89,3,0)*0.475*44/12</f>
        <v>3.2031990967798047</v>
      </c>
      <c r="DH154" s="21">
        <f>EXP(-LN(2)/2)*DH153+(1-EXP(-LN(2)/2))/(LN(2)/2)*DB154*DE154*VLOOKUP('Données projet'!$B$13,Paramètres!$A$1:$I$89,3,0)*0.475*44/12</f>
        <v>1.5233788977793033E-20</v>
      </c>
      <c r="DI154" s="22">
        <f t="shared" ref="DI154:DI203" si="175">SUM(DF154:DH154)</f>
        <v>15.833916725888342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669.99999999999989</v>
      </c>
      <c r="DP154" s="17">
        <f>DO154*VLOOKUP('Données projet'!$B$14,Paramètres!$A$1:$I$89,3,0)*VLOOKUP('Données projet'!$B$14,Paramètres!$A$1:$I$89,5,0)</f>
        <v>322.26999999999992</v>
      </c>
      <c r="DQ154" s="13">
        <f t="shared" ref="DQ154:DQ203" si="176">EXP(-1.0587+0.8836*LN(DP154)+0.284)</f>
        <v>75.825476822885776</v>
      </c>
      <c r="DR154" s="20">
        <f t="shared" ref="DR154:DR203" si="177">(DP154+DQ154)*0.475*44/12</f>
        <v>693.34962213319261</v>
      </c>
      <c r="DS154" s="59">
        <f t="shared" si="125"/>
        <v>986.68295546652598</v>
      </c>
      <c r="DT154" s="59">
        <f ca="1">AVERAGE(OFFSET($DS$3,0,0,'Données projet'!$E$14+1,1))-AVERAGE(OFFSET($H$3,0,0,'Données projet'!$E$14+1,1))</f>
        <v>312.64506496298173</v>
      </c>
      <c r="DU154" s="59">
        <f t="shared" si="152"/>
        <v>259.97532509897508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27.763451600466073</v>
      </c>
      <c r="EB154" s="21">
        <f>EXP(-LN(2)/25)*EB153+(1-EXP(-LN(2)/25))/(LN(2)/25)*Calculateur!DW154*Calculateur!DY154*VLOOKUP('Données projet'!$B$14,Paramètres!$A$1:$I$89,3,0)*0.475*44/12</f>
        <v>0.68347968744118348</v>
      </c>
      <c r="EC154" s="21">
        <f>EXP(-LN(2)/2)*EC153+(1-EXP(-LN(2)/2))/(LN(2)/2)*DW154*DZ154*VLOOKUP('Données projet'!$B$14,Paramètres!$A$1:$I$89,3,0)*0.475*44/12</f>
        <v>2.3618422110009265E-18</v>
      </c>
      <c r="ED154" s="22">
        <f t="shared" ref="ED154:ED203" si="178">SUM(EA154:EC154)</f>
        <v>28.446931287907258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267</v>
      </c>
      <c r="EK154" s="17">
        <f>EJ154*VLOOKUP('Données projet'!$B$15,Paramètres!$A$1:$I$89,3,0)*VLOOKUP('Données projet'!$B$15,Paramètres!$A$1:$I$89,5,0)</f>
        <v>241.58159999999998</v>
      </c>
      <c r="EL154" s="13">
        <f t="shared" ref="EL154:EL203" si="179">EXP(-1.0587+0.8836*LN(EK154)+0.284)</f>
        <v>58.779689232021951</v>
      </c>
      <c r="EM154" s="20">
        <f t="shared" ref="EM154:EM203" si="180">(EK154+EL154)*0.475*44/12</f>
        <v>523.12924541243819</v>
      </c>
      <c r="EN154" s="59">
        <f t="shared" si="128"/>
        <v>816.46257874577145</v>
      </c>
      <c r="EO154" s="59">
        <f ca="1">AVERAGE(OFFSET($EN$3,0,0,'Données projet'!$E$15+1,1))-AVERAGE(OFFSET($H$3,0,0,'Données projet'!$E$15+1,1))</f>
        <v>269.64423257646359</v>
      </c>
      <c r="EP154" s="59">
        <f t="shared" si="154"/>
        <v>161.0819079811821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37.052124535060699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37.052124535060699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349.00000000000017</v>
      </c>
      <c r="FF154" s="17">
        <f>FE154*VLOOKUP('Données projet'!$B$16,Paramètres!$A$1:$I$89,3,0)*VLOOKUP('Données projet'!$B$16,Paramètres!$A$1:$I$89,5,0)</f>
        <v>272.22000000000014</v>
      </c>
      <c r="FG154" s="13">
        <f t="shared" ref="FG154:FG203" si="182">EXP(-1.0587+0.8836*LN(FF154)+0.284)</f>
        <v>65.320184547527205</v>
      </c>
      <c r="FH154" s="20">
        <f t="shared" ref="FH154:FH203" si="183">(FF154+FG154)*0.475*44/12</f>
        <v>587.88248808694345</v>
      </c>
      <c r="FI154" s="59">
        <f t="shared" si="131"/>
        <v>881.21582142027682</v>
      </c>
      <c r="FJ154" s="59">
        <f ca="1">AVERAGE(OFFSET($FI$3,0,0,'Données projet'!$E$16+1,1))-AVERAGE(OFFSET($H$3,0,0,'Données projet'!$E$16+1,1))</f>
        <v>283.77864672734273</v>
      </c>
      <c r="FK154" s="59">
        <f t="shared" si="156"/>
        <v>270.94620935643866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17.426291927303723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17.426291927303723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319</v>
      </c>
      <c r="GA154" s="17">
        <f>FZ154*VLOOKUP('Données projet'!$B$17,Paramètres!$A$1:$I$89,3,0)*VLOOKUP('Données projet'!$B$17,Paramètres!$A$1:$I$89,5,0)</f>
        <v>308.53680000000003</v>
      </c>
      <c r="GB154" s="13">
        <f t="shared" ref="GB154:GB203" si="185">EXP(-1.0587+0.8836*LN(GA154)+0.284)</f>
        <v>72.963171684496103</v>
      </c>
      <c r="GC154" s="20">
        <f t="shared" ref="GC154:GC203" si="186">(GA154+GB154)*0.475*44/12</f>
        <v>664.4457840171641</v>
      </c>
      <c r="GD154" s="59">
        <f t="shared" si="134"/>
        <v>957.77911735049747</v>
      </c>
      <c r="GE154" s="59">
        <f ca="1">AVERAGE(OFFSET($GD$3,0,0,'Données projet'!$E$17+1,1))-AVERAGE(OFFSET($H$3,0,0,'Données projet'!$E$17+1,1))</f>
        <v>347.54503437087288</v>
      </c>
      <c r="GF154" s="59">
        <f t="shared" si="158"/>
        <v>340.05673244455954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12.853029849251698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12.853029849251698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735.00000000000011</v>
      </c>
      <c r="O155" s="13">
        <f>N155*VLOOKUP('Données projet'!$B$9,Paramètres!$A$1:$I$89,3,0)*VLOOKUP('Données projet'!$B$9,Paramètres!$A$1:$I$89,5,0)</f>
        <v>343.98</v>
      </c>
      <c r="P155" s="13">
        <f t="shared" si="141"/>
        <v>80.321681832084693</v>
      </c>
      <c r="Q155" s="20">
        <f t="shared" si="162"/>
        <v>738.9920958575475</v>
      </c>
      <c r="R155" s="59">
        <f t="shared" si="109"/>
        <v>1032.3254291908809</v>
      </c>
      <c r="S155" s="59">
        <f ca="1">AVERAGE(OFFSET($R$3,0,0,'Données projet'!$E$9+1,1))-AVERAGE(OFFSET($H$3,0,0,'Données projet'!$E$9+1,1))</f>
        <v>342.49944586217674</v>
      </c>
      <c r="T155" s="59">
        <f t="shared" si="142"/>
        <v>282.29766600872563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28.340793475242268</v>
      </c>
      <c r="AA155" s="21">
        <f>EXP(-LN(2)/25)*AA154+(1-EXP(-LN(2)/25))/(LN(2)/25)*Calculateur!V155*Calculateur!X155*VLOOKUP('Données projet'!$B$9,Paramètres!$A$1:$I$89,3,0)*0.475*44/12</f>
        <v>1.3611536863700653</v>
      </c>
      <c r="AB155" s="21">
        <f>EXP(-LN(2)/2)*AB154+(1-EXP(-LN(2)/2))/(LN(2)/2)*V155*Y155*VLOOKUP('Données projet'!$B$9,Paramètres!$A$1:$I$89,3,0)*0.475*44/12</f>
        <v>3.5906384964541157E-20</v>
      </c>
      <c r="AC155" s="22">
        <f t="shared" si="163"/>
        <v>29.701947161612335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739.99999999999966</v>
      </c>
      <c r="AJ155" s="13">
        <f>AI155*VLOOKUP('Données projet'!$B$10,Paramètres!$A$1:$I$89,3,0)*VLOOKUP('Données projet'!$B$10,Paramètres!$A$1:$I$89,5,0)</f>
        <v>413.65999999999985</v>
      </c>
      <c r="AK155" s="13">
        <f t="shared" si="164"/>
        <v>94.540585122244352</v>
      </c>
      <c r="AL155" s="20">
        <f t="shared" si="165"/>
        <v>885.11601908790863</v>
      </c>
      <c r="AM155" s="59">
        <f t="shared" si="113"/>
        <v>1178.4493524212419</v>
      </c>
      <c r="AN155" s="59">
        <f ca="1">AVERAGE(OFFSET($AM$3,0,0,'Données projet'!$E$10+1,1))-AVERAGE(OFFSET($H$3,0,0,'Données projet'!$E$10+1,1))</f>
        <v>490.96084572840579</v>
      </c>
      <c r="AO155" s="59">
        <f t="shared" si="144"/>
        <v>597.91658789908263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19.969829022718056</v>
      </c>
      <c r="AV155" s="21">
        <f>EXP(-LN(2)/25)*AV154+(1-EXP(-LN(2)/25))/(LN(2)/25)*Calculateur!AQ155*Calculateur!AS155*VLOOKUP('Données projet'!$B$10,Paramètres!$A$1:$I$89,3,0)*0.475*44/12</f>
        <v>1.9622918060610004</v>
      </c>
      <c r="AW155" s="21">
        <f>EXP(-LN(2)/2)*AW154+(1-EXP(-LN(2)/2))/(LN(2)/2)*AQ155*AT155*VLOOKUP('Données projet'!$B$10,Paramètres!$A$1:$I$89,3,0)*0.475*44/12</f>
        <v>3.6883836555242544E-19</v>
      </c>
      <c r="AX155" s="21">
        <f t="shared" si="166"/>
        <v>21.932120828779055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213.00000000000003</v>
      </c>
      <c r="BE155" s="13">
        <f>BD155*VLOOKUP('Données projet'!$B$11,Paramètres!$A$1:$I$89,3,0)*VLOOKUP('Données projet'!$B$11,Paramètres!$A$1:$I$89,5,0)</f>
        <v>169.46280000000002</v>
      </c>
      <c r="BF155" s="13">
        <f t="shared" si="167"/>
        <v>42.969686502194378</v>
      </c>
      <c r="BG155" s="20">
        <f t="shared" si="168"/>
        <v>369.98658065798855</v>
      </c>
      <c r="BH155" s="59">
        <f t="shared" si="116"/>
        <v>663.31991399132187</v>
      </c>
      <c r="BI155" s="59">
        <f ca="1">AVERAGE(OFFSET($BH$3,0,0,'Données projet'!$E$11+1,1))-AVERAGE(OFFSET($H$3,0,0,'Données projet'!$E$11+1,1))</f>
        <v>167.80254365106839</v>
      </c>
      <c r="BJ155" s="59">
        <f t="shared" si="146"/>
        <v>167.42302164950172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8.0544071604453435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8.0544071604453435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669.99999999999989</v>
      </c>
      <c r="BZ155" s="13">
        <f>BY155*VLOOKUP('Données projet'!$B$12,Paramètres!$A$1:$I$89,3,0)*VLOOKUP('Données projet'!$B$12,Paramètres!$A$1:$I$89,5,0)</f>
        <v>330.97999999999996</v>
      </c>
      <c r="CA155" s="13">
        <f t="shared" si="170"/>
        <v>77.633451096966454</v>
      </c>
      <c r="CB155" s="20">
        <f t="shared" si="171"/>
        <v>711.66842732721636</v>
      </c>
      <c r="CC155" s="59">
        <f t="shared" si="119"/>
        <v>1005.0017606605497</v>
      </c>
      <c r="CD155" s="59">
        <f ca="1">AVERAGE(OFFSET($CC$3,0,0,'Données projet'!$E$12+1,1))-AVERAGE(OFFSET($H$3,0,0,'Données projet'!$E$12+1,1))</f>
        <v>322.06606384496587</v>
      </c>
      <c r="CE155" s="59">
        <f t="shared" si="148"/>
        <v>267.71713177624713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27.954676633711976</v>
      </c>
      <c r="CL155" s="21">
        <f>EXP(-LN(2)/25)*CL154+(1-EXP(-LN(2)/25))/(LN(2)/25)*Calculateur!CG155*Calculateur!CI155*VLOOKUP('Données projet'!$B$12,Paramètres!$A$1:$I$89,3,0)*0.475*44/12</f>
        <v>0.6827571940250754</v>
      </c>
      <c r="CM155" s="21">
        <f>EXP(-LN(2)/2)*CM154+(1-EXP(-LN(2)/2))/(LN(2)/2)*CG155*CJ155*VLOOKUP('Données projet'!$B$12,Paramètres!$A$1:$I$89,3,0)*0.475*44/12</f>
        <v>1.7152117960181955E-18</v>
      </c>
      <c r="CN155" s="22">
        <f t="shared" si="172"/>
        <v>28.637433827737052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401</v>
      </c>
      <c r="CU155" s="17">
        <f>CT155*VLOOKUP('Données projet'!$B$13,Paramètres!$A$1:$I$89,3,0)*VLOOKUP('Données projet'!$B$13,Paramètres!$A$1:$I$89,5,0)</f>
        <v>250.22399999999999</v>
      </c>
      <c r="CV155" s="13">
        <f t="shared" si="173"/>
        <v>60.633904580527918</v>
      </c>
      <c r="CW155" s="20">
        <f t="shared" si="174"/>
        <v>541.41085047775289</v>
      </c>
      <c r="CX155" s="59">
        <f t="shared" si="122"/>
        <v>834.74418381108626</v>
      </c>
      <c r="CY155" s="59">
        <f ca="1">AVERAGE(OFFSET($CX$3,0,0,'Données projet'!$E$13+1,1))-AVERAGE(OFFSET($H$3,0,0,'Données projet'!$E$13+1,1))</f>
        <v>269.77739619445515</v>
      </c>
      <c r="CZ155" s="59">
        <f t="shared" si="150"/>
        <v>347.56964743629885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12.383036960378767</v>
      </c>
      <c r="DG155" s="21">
        <f>EXP(-LN(2)/25)*DG154+(1-EXP(-LN(2)/25))/(LN(2)/25)*Calculateur!DB155*Calculateur!DD155*VLOOKUP('Données projet'!$B$13,Paramètres!$A$1:$I$89,3,0)*0.475*44/12</f>
        <v>3.1156074490294414</v>
      </c>
      <c r="DH155" s="21">
        <f>EXP(-LN(2)/2)*DH154+(1-EXP(-LN(2)/2))/(LN(2)/2)*DB155*DE155*VLOOKUP('Données projet'!$B$13,Paramètres!$A$1:$I$89,3,0)*0.475*44/12</f>
        <v>1.0771915489362338E-20</v>
      </c>
      <c r="DI155" s="22">
        <f t="shared" si="175"/>
        <v>15.498644409408209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669.99999999999989</v>
      </c>
      <c r="DP155" s="17">
        <f>DO155*VLOOKUP('Données projet'!$B$14,Paramètres!$A$1:$I$89,3,0)*VLOOKUP('Données projet'!$B$14,Paramètres!$A$1:$I$89,5,0)</f>
        <v>322.26999999999992</v>
      </c>
      <c r="DQ155" s="13">
        <f t="shared" si="176"/>
        <v>75.825476822885776</v>
      </c>
      <c r="DR155" s="20">
        <f t="shared" si="177"/>
        <v>693.34962213319261</v>
      </c>
      <c r="DS155" s="59">
        <f t="shared" si="125"/>
        <v>986.68295546652598</v>
      </c>
      <c r="DT155" s="59">
        <f ca="1">AVERAGE(OFFSET($DS$3,0,0,'Données projet'!$E$14+1,1))-AVERAGE(OFFSET($H$3,0,0,'Données projet'!$E$14+1,1))</f>
        <v>312.64506496298173</v>
      </c>
      <c r="DU155" s="59">
        <f t="shared" si="152"/>
        <v>259.97532509897508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27.219027248614314</v>
      </c>
      <c r="EB155" s="21">
        <f>EXP(-LN(2)/25)*EB154+(1-EXP(-LN(2)/25))/(LN(2)/25)*Calculateur!DW155*Calculateur!DY155*VLOOKUP('Données projet'!$B$14,Paramètres!$A$1:$I$89,3,0)*0.475*44/12</f>
        <v>0.66478989944546962</v>
      </c>
      <c r="EC155" s="21">
        <f>EXP(-LN(2)/2)*EC154+(1-EXP(-LN(2)/2))/(LN(2)/2)*DW155*DZ155*VLOOKUP('Données projet'!$B$14,Paramètres!$A$1:$I$89,3,0)*0.475*44/12</f>
        <v>1.6700746434913837E-18</v>
      </c>
      <c r="ED155" s="22">
        <f t="shared" si="178"/>
        <v>27.883817148059784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267</v>
      </c>
      <c r="EK155" s="17">
        <f>EJ155*VLOOKUP('Données projet'!$B$15,Paramètres!$A$1:$I$89,3,0)*VLOOKUP('Données projet'!$B$15,Paramètres!$A$1:$I$89,5,0)</f>
        <v>241.58159999999998</v>
      </c>
      <c r="EL155" s="13">
        <f t="shared" si="179"/>
        <v>58.779689232021951</v>
      </c>
      <c r="EM155" s="20">
        <f t="shared" si="180"/>
        <v>523.12924541243819</v>
      </c>
      <c r="EN155" s="59">
        <f t="shared" si="128"/>
        <v>816.46257874577145</v>
      </c>
      <c r="EO155" s="59">
        <f ca="1">AVERAGE(OFFSET($EN$3,0,0,'Données projet'!$E$15+1,1))-AVERAGE(OFFSET($H$3,0,0,'Données projet'!$E$15+1,1))</f>
        <v>269.64423257646359</v>
      </c>
      <c r="EP155" s="59">
        <f t="shared" si="154"/>
        <v>161.0819079811821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36.325554972492604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36.325554972492604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349.00000000000017</v>
      </c>
      <c r="FF155" s="17">
        <f>FE155*VLOOKUP('Données projet'!$B$16,Paramètres!$A$1:$I$89,3,0)*VLOOKUP('Données projet'!$B$16,Paramètres!$A$1:$I$89,5,0)</f>
        <v>272.22000000000014</v>
      </c>
      <c r="FG155" s="13">
        <f t="shared" si="182"/>
        <v>65.320184547527205</v>
      </c>
      <c r="FH155" s="20">
        <f t="shared" si="183"/>
        <v>587.88248808694345</v>
      </c>
      <c r="FI155" s="59">
        <f t="shared" si="131"/>
        <v>881.21582142027682</v>
      </c>
      <c r="FJ155" s="59">
        <f ca="1">AVERAGE(OFFSET($FI$3,0,0,'Données projet'!$E$16+1,1))-AVERAGE(OFFSET($H$3,0,0,'Données projet'!$E$16+1,1))</f>
        <v>283.77864672734273</v>
      </c>
      <c r="FK155" s="59">
        <f t="shared" si="156"/>
        <v>270.94620935643866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17.084572971597847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17.084572971597847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319</v>
      </c>
      <c r="GA155" s="17">
        <f>FZ155*VLOOKUP('Données projet'!$B$17,Paramètres!$A$1:$I$89,3,0)*VLOOKUP('Données projet'!$B$17,Paramètres!$A$1:$I$89,5,0)</f>
        <v>308.53680000000003</v>
      </c>
      <c r="GB155" s="13">
        <f t="shared" si="185"/>
        <v>72.963171684496103</v>
      </c>
      <c r="GC155" s="20">
        <f t="shared" si="186"/>
        <v>664.4457840171641</v>
      </c>
      <c r="GD155" s="59">
        <f t="shared" si="134"/>
        <v>957.77911735049747</v>
      </c>
      <c r="GE155" s="59">
        <f ca="1">AVERAGE(OFFSET($GD$3,0,0,'Données projet'!$E$17+1,1))-AVERAGE(OFFSET($H$3,0,0,'Données projet'!$E$17+1,1))</f>
        <v>347.54503437087288</v>
      </c>
      <c r="GF155" s="59">
        <f t="shared" si="158"/>
        <v>340.05673244455954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12.600989773481986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12.600989773481986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735.00000000000011</v>
      </c>
      <c r="O156" s="13">
        <f>N156*VLOOKUP('Données projet'!$B$9,Paramètres!$A$1:$I$89,3,0)*VLOOKUP('Données projet'!$B$9,Paramètres!$A$1:$I$89,5,0)</f>
        <v>343.98</v>
      </c>
      <c r="P156" s="13">
        <f t="shared" si="141"/>
        <v>80.321681832084693</v>
      </c>
      <c r="Q156" s="20">
        <f t="shared" si="162"/>
        <v>738.9920958575475</v>
      </c>
      <c r="R156" s="59">
        <f t="shared" si="109"/>
        <v>1032.3254291908809</v>
      </c>
      <c r="S156" s="59">
        <f ca="1">AVERAGE(OFFSET($R$3,0,0,'Données projet'!$E$9+1,1))-AVERAGE(OFFSET($H$3,0,0,'Données projet'!$E$9+1,1))</f>
        <v>342.49944586217674</v>
      </c>
      <c r="T156" s="59">
        <f t="shared" si="142"/>
        <v>282.29766600872563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27.78504780136992</v>
      </c>
      <c r="AA156" s="21">
        <f>EXP(-LN(2)/25)*AA155+(1-EXP(-LN(2)/25))/(LN(2)/25)*Calculateur!V156*Calculateur!X156*VLOOKUP('Données projet'!$B$9,Paramètres!$A$1:$I$89,3,0)*0.475*44/12</f>
        <v>1.3239328672363144</v>
      </c>
      <c r="AB156" s="21">
        <f>EXP(-LN(2)/2)*AB155+(1-EXP(-LN(2)/2))/(LN(2)/2)*V156*Y156*VLOOKUP('Données projet'!$B$9,Paramètres!$A$1:$I$89,3,0)*0.475*44/12</f>
        <v>2.5389648296321744E-20</v>
      </c>
      <c r="AC156" s="22">
        <f t="shared" si="163"/>
        <v>29.108980668606236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739.99999999999966</v>
      </c>
      <c r="AJ156" s="13">
        <f>AI156*VLOOKUP('Données projet'!$B$10,Paramètres!$A$1:$I$89,3,0)*VLOOKUP('Données projet'!$B$10,Paramètres!$A$1:$I$89,5,0)</f>
        <v>413.65999999999985</v>
      </c>
      <c r="AK156" s="13">
        <f t="shared" si="164"/>
        <v>94.540585122244352</v>
      </c>
      <c r="AL156" s="20">
        <f t="shared" si="165"/>
        <v>885.11601908790863</v>
      </c>
      <c r="AM156" s="59">
        <f t="shared" si="113"/>
        <v>1178.4493524212419</v>
      </c>
      <c r="AN156" s="59">
        <f ca="1">AVERAGE(OFFSET($AM$3,0,0,'Données projet'!$E$10+1,1))-AVERAGE(OFFSET($H$3,0,0,'Données projet'!$E$10+1,1))</f>
        <v>490.96084572840579</v>
      </c>
      <c r="AO156" s="59">
        <f t="shared" si="144"/>
        <v>597.91658789908263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19.578232855975546</v>
      </c>
      <c r="AV156" s="21">
        <f>EXP(-LN(2)/25)*AV155+(1-EXP(-LN(2)/25))/(LN(2)/25)*Calculateur!AQ156*Calculateur!AS156*VLOOKUP('Données projet'!$B$10,Paramètres!$A$1:$I$89,3,0)*0.475*44/12</f>
        <v>1.9086328334318212</v>
      </c>
      <c r="AW156" s="21">
        <f>EXP(-LN(2)/2)*AW155+(1-EXP(-LN(2)/2))/(LN(2)/2)*AQ156*AT156*VLOOKUP('Données projet'!$B$10,Paramètres!$A$1:$I$89,3,0)*0.475*44/12</f>
        <v>2.6080810944388272E-19</v>
      </c>
      <c r="AX156" s="21">
        <f t="shared" si="166"/>
        <v>21.486865689407367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213.00000000000003</v>
      </c>
      <c r="BE156" s="13">
        <f>BD156*VLOOKUP('Données projet'!$B$11,Paramètres!$A$1:$I$89,3,0)*VLOOKUP('Données projet'!$B$11,Paramètres!$A$1:$I$89,5,0)</f>
        <v>169.46280000000002</v>
      </c>
      <c r="BF156" s="13">
        <f t="shared" si="167"/>
        <v>42.969686502194378</v>
      </c>
      <c r="BG156" s="20">
        <f t="shared" si="168"/>
        <v>369.98658065798855</v>
      </c>
      <c r="BH156" s="59">
        <f t="shared" si="116"/>
        <v>663.31991399132187</v>
      </c>
      <c r="BI156" s="59">
        <f ca="1">AVERAGE(OFFSET($BH$3,0,0,'Données projet'!$E$11+1,1))-AVERAGE(OFFSET($H$3,0,0,'Données projet'!$E$11+1,1))</f>
        <v>167.80254365106839</v>
      </c>
      <c r="BJ156" s="59">
        <f t="shared" si="146"/>
        <v>167.42302164950172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7.8964651487322888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7.8964651487322888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669.99999999999989</v>
      </c>
      <c r="BZ156" s="13">
        <f>BY156*VLOOKUP('Données projet'!$B$12,Paramètres!$A$1:$I$89,3,0)*VLOOKUP('Données projet'!$B$12,Paramètres!$A$1:$I$89,5,0)</f>
        <v>330.97999999999996</v>
      </c>
      <c r="CA156" s="13">
        <f t="shared" si="170"/>
        <v>77.633451096966454</v>
      </c>
      <c r="CB156" s="20">
        <f t="shared" si="171"/>
        <v>711.66842732721636</v>
      </c>
      <c r="CC156" s="59">
        <f t="shared" si="119"/>
        <v>1005.0017606605497</v>
      </c>
      <c r="CD156" s="59">
        <f ca="1">AVERAGE(OFFSET($CC$3,0,0,'Données projet'!$E$12+1,1))-AVERAGE(OFFSET($H$3,0,0,'Données projet'!$E$12+1,1))</f>
        <v>322.06606384496587</v>
      </c>
      <c r="CE156" s="59">
        <f t="shared" si="148"/>
        <v>267.71713177624713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27.406502475594017</v>
      </c>
      <c r="CL156" s="21">
        <f>EXP(-LN(2)/25)*CL155+(1-EXP(-LN(2)/25))/(LN(2)/25)*Calculateur!CG156*Calculateur!CI156*VLOOKUP('Données projet'!$B$12,Paramètres!$A$1:$I$89,3,0)*0.475*44/12</f>
        <v>0.66408716264981937</v>
      </c>
      <c r="CM156" s="21">
        <f>EXP(-LN(2)/2)*CM155+(1-EXP(-LN(2)/2))/(LN(2)/2)*CG156*CJ156*VLOOKUP('Données projet'!$B$12,Paramètres!$A$1:$I$89,3,0)*0.475*44/12</f>
        <v>1.2128378921356235E-18</v>
      </c>
      <c r="CN156" s="22">
        <f t="shared" si="172"/>
        <v>28.070589638243838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401</v>
      </c>
      <c r="CU156" s="17">
        <f>CT156*VLOOKUP('Données projet'!$B$13,Paramètres!$A$1:$I$89,3,0)*VLOOKUP('Données projet'!$B$13,Paramètres!$A$1:$I$89,5,0)</f>
        <v>250.22399999999999</v>
      </c>
      <c r="CV156" s="13">
        <f t="shared" si="173"/>
        <v>60.633904580527918</v>
      </c>
      <c r="CW156" s="20">
        <f t="shared" si="174"/>
        <v>541.41085047775289</v>
      </c>
      <c r="CX156" s="59">
        <f t="shared" si="122"/>
        <v>834.74418381108626</v>
      </c>
      <c r="CY156" s="59">
        <f ca="1">AVERAGE(OFFSET($CX$3,0,0,'Données projet'!$E$13+1,1))-AVERAGE(OFFSET($H$3,0,0,'Données projet'!$E$13+1,1))</f>
        <v>269.77739619445515</v>
      </c>
      <c r="CZ156" s="59">
        <f t="shared" si="150"/>
        <v>347.56964743629885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12.140213158492498</v>
      </c>
      <c r="DG156" s="21">
        <f>EXP(-LN(2)/25)*DG155+(1-EXP(-LN(2)/25))/(LN(2)/25)*Calculateur!DB156*Calculateur!DD156*VLOOKUP('Données projet'!$B$13,Paramètres!$A$1:$I$89,3,0)*0.475*44/12</f>
        <v>3.0304109994930566</v>
      </c>
      <c r="DH156" s="21">
        <f>EXP(-LN(2)/2)*DH155+(1-EXP(-LN(2)/2))/(LN(2)/2)*DB156*DE156*VLOOKUP('Données projet'!$B$13,Paramètres!$A$1:$I$89,3,0)*0.475*44/12</f>
        <v>7.6168944888965167E-21</v>
      </c>
      <c r="DI156" s="22">
        <f t="shared" si="175"/>
        <v>15.170624157985555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669.99999999999989</v>
      </c>
      <c r="DP156" s="17">
        <f>DO156*VLOOKUP('Données projet'!$B$14,Paramètres!$A$1:$I$89,3,0)*VLOOKUP('Données projet'!$B$14,Paramètres!$A$1:$I$89,5,0)</f>
        <v>322.26999999999992</v>
      </c>
      <c r="DQ156" s="13">
        <f t="shared" si="176"/>
        <v>75.825476822885776</v>
      </c>
      <c r="DR156" s="20">
        <f t="shared" si="177"/>
        <v>693.34962213319261</v>
      </c>
      <c r="DS156" s="59">
        <f t="shared" si="125"/>
        <v>986.68295546652598</v>
      </c>
      <c r="DT156" s="59">
        <f ca="1">AVERAGE(OFFSET($DS$3,0,0,'Données projet'!$E$14+1,1))-AVERAGE(OFFSET($H$3,0,0,'Données projet'!$E$14+1,1))</f>
        <v>312.64506496298173</v>
      </c>
      <c r="DU156" s="59">
        <f t="shared" si="152"/>
        <v>259.97532509897508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26.685278726236302</v>
      </c>
      <c r="EB156" s="21">
        <f>EXP(-LN(2)/25)*EB155+(1-EXP(-LN(2)/25))/(LN(2)/25)*Calculateur!DW156*Calculateur!DY156*VLOOKUP('Données projet'!$B$14,Paramètres!$A$1:$I$89,3,0)*0.475*44/12</f>
        <v>0.64661118468535184</v>
      </c>
      <c r="EC156" s="21">
        <f>EXP(-LN(2)/2)*EC155+(1-EXP(-LN(2)/2))/(LN(2)/2)*DW156*DZ156*VLOOKUP('Données projet'!$B$14,Paramètres!$A$1:$I$89,3,0)*0.475*44/12</f>
        <v>1.1809211055004632E-18</v>
      </c>
      <c r="ED156" s="22">
        <f t="shared" si="178"/>
        <v>27.331889910921653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267</v>
      </c>
      <c r="EK156" s="17">
        <f>EJ156*VLOOKUP('Données projet'!$B$15,Paramètres!$A$1:$I$89,3,0)*VLOOKUP('Données projet'!$B$15,Paramètres!$A$1:$I$89,5,0)</f>
        <v>241.58159999999998</v>
      </c>
      <c r="EL156" s="13">
        <f t="shared" si="179"/>
        <v>58.779689232021951</v>
      </c>
      <c r="EM156" s="20">
        <f t="shared" si="180"/>
        <v>523.12924541243819</v>
      </c>
      <c r="EN156" s="59">
        <f t="shared" si="128"/>
        <v>816.46257874577145</v>
      </c>
      <c r="EO156" s="59">
        <f ca="1">AVERAGE(OFFSET($EN$3,0,0,'Données projet'!$E$15+1,1))-AVERAGE(OFFSET($H$3,0,0,'Données projet'!$E$15+1,1))</f>
        <v>269.64423257646359</v>
      </c>
      <c r="EP156" s="59">
        <f t="shared" si="154"/>
        <v>161.0819079811821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35.613232995882797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35.613232995882797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349.00000000000017</v>
      </c>
      <c r="FF156" s="17">
        <f>FE156*VLOOKUP('Données projet'!$B$16,Paramètres!$A$1:$I$89,3,0)*VLOOKUP('Données projet'!$B$16,Paramètres!$A$1:$I$89,5,0)</f>
        <v>272.22000000000014</v>
      </c>
      <c r="FG156" s="13">
        <f t="shared" si="182"/>
        <v>65.320184547527205</v>
      </c>
      <c r="FH156" s="20">
        <f t="shared" si="183"/>
        <v>587.88248808694345</v>
      </c>
      <c r="FI156" s="59">
        <f t="shared" si="131"/>
        <v>881.21582142027682</v>
      </c>
      <c r="FJ156" s="59">
        <f ca="1">AVERAGE(OFFSET($FI$3,0,0,'Données projet'!$E$16+1,1))-AVERAGE(OFFSET($H$3,0,0,'Données projet'!$E$16+1,1))</f>
        <v>283.77864672734273</v>
      </c>
      <c r="FK156" s="59">
        <f t="shared" si="156"/>
        <v>270.94620935643866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16.749554916185382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16.749554916185382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319</v>
      </c>
      <c r="GA156" s="17">
        <f>FZ156*VLOOKUP('Données projet'!$B$17,Paramètres!$A$1:$I$89,3,0)*VLOOKUP('Données projet'!$B$17,Paramètres!$A$1:$I$89,5,0)</f>
        <v>308.53680000000003</v>
      </c>
      <c r="GB156" s="13">
        <f t="shared" si="185"/>
        <v>72.963171684496103</v>
      </c>
      <c r="GC156" s="20">
        <f t="shared" si="186"/>
        <v>664.4457840171641</v>
      </c>
      <c r="GD156" s="59">
        <f t="shared" si="134"/>
        <v>957.77911735049747</v>
      </c>
      <c r="GE156" s="59">
        <f ca="1">AVERAGE(OFFSET($GD$3,0,0,'Données projet'!$E$17+1,1))-AVERAGE(OFFSET($H$3,0,0,'Données projet'!$E$17+1,1))</f>
        <v>347.54503437087288</v>
      </c>
      <c r="GF156" s="59">
        <f t="shared" si="158"/>
        <v>340.05673244455954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12.353892049868852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12.353892049868852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735.00000000000011</v>
      </c>
      <c r="O157" s="13">
        <f>N157*VLOOKUP('Données projet'!$B$9,Paramètres!$A$1:$I$89,3,0)*VLOOKUP('Données projet'!$B$9,Paramètres!$A$1:$I$89,5,0)</f>
        <v>343.98</v>
      </c>
      <c r="P157" s="13">
        <f t="shared" si="141"/>
        <v>80.321681832084693</v>
      </c>
      <c r="Q157" s="20">
        <f t="shared" si="162"/>
        <v>738.9920958575475</v>
      </c>
      <c r="R157" s="59">
        <f t="shared" si="109"/>
        <v>1032.3254291908809</v>
      </c>
      <c r="S157" s="59">
        <f ca="1">AVERAGE(OFFSET($R$3,0,0,'Données projet'!$E$9+1,1))-AVERAGE(OFFSET($H$3,0,0,'Données projet'!$E$9+1,1))</f>
        <v>342.49944586217674</v>
      </c>
      <c r="T157" s="59">
        <f t="shared" si="142"/>
        <v>282.29766600872563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27.240199961190818</v>
      </c>
      <c r="AA157" s="21">
        <f>EXP(-LN(2)/25)*AA156+(1-EXP(-LN(2)/25))/(LN(2)/25)*Calculateur!V157*Calculateur!X157*VLOOKUP('Données projet'!$B$9,Paramètres!$A$1:$I$89,3,0)*0.475*44/12</f>
        <v>1.2877298533591337</v>
      </c>
      <c r="AB157" s="21">
        <f>EXP(-LN(2)/2)*AB156+(1-EXP(-LN(2)/2))/(LN(2)/2)*V157*Y157*VLOOKUP('Données projet'!$B$9,Paramètres!$A$1:$I$89,3,0)*0.475*44/12</f>
        <v>1.7953192482270579E-20</v>
      </c>
      <c r="AC157" s="22">
        <f t="shared" si="163"/>
        <v>28.527929814549953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739.99999999999966</v>
      </c>
      <c r="AJ157" s="13">
        <f>AI157*VLOOKUP('Données projet'!$B$10,Paramètres!$A$1:$I$89,3,0)*VLOOKUP('Données projet'!$B$10,Paramètres!$A$1:$I$89,5,0)</f>
        <v>413.65999999999985</v>
      </c>
      <c r="AK157" s="13">
        <f t="shared" si="164"/>
        <v>94.540585122244352</v>
      </c>
      <c r="AL157" s="20">
        <f t="shared" si="165"/>
        <v>885.11601908790863</v>
      </c>
      <c r="AM157" s="59">
        <f t="shared" si="113"/>
        <v>1178.4493524212419</v>
      </c>
      <c r="AN157" s="59">
        <f ca="1">AVERAGE(OFFSET($AM$3,0,0,'Données projet'!$E$10+1,1))-AVERAGE(OFFSET($H$3,0,0,'Données projet'!$E$10+1,1))</f>
        <v>490.96084572840579</v>
      </c>
      <c r="AO157" s="59">
        <f t="shared" si="144"/>
        <v>597.91658789908263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19.194315651212779</v>
      </c>
      <c r="AV157" s="21">
        <f>EXP(-LN(2)/25)*AV156+(1-EXP(-LN(2)/25))/(LN(2)/25)*Calculateur!AQ157*Calculateur!AS157*VLOOKUP('Données projet'!$B$10,Paramètres!$A$1:$I$89,3,0)*0.475*44/12</f>
        <v>1.8564411682309896</v>
      </c>
      <c r="AW157" s="21">
        <f>EXP(-LN(2)/2)*AW156+(1-EXP(-LN(2)/2))/(LN(2)/2)*AQ157*AT157*VLOOKUP('Données projet'!$B$10,Paramètres!$A$1:$I$89,3,0)*0.475*44/12</f>
        <v>1.8441918277621272E-19</v>
      </c>
      <c r="AX157" s="21">
        <f t="shared" si="166"/>
        <v>21.05075681944377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213.00000000000003</v>
      </c>
      <c r="BE157" s="13">
        <f>BD157*VLOOKUP('Données projet'!$B$11,Paramètres!$A$1:$I$89,3,0)*VLOOKUP('Données projet'!$B$11,Paramètres!$A$1:$I$89,5,0)</f>
        <v>169.46280000000002</v>
      </c>
      <c r="BF157" s="13">
        <f t="shared" si="167"/>
        <v>42.969686502194378</v>
      </c>
      <c r="BG157" s="20">
        <f t="shared" si="168"/>
        <v>369.98658065798855</v>
      </c>
      <c r="BH157" s="59">
        <f t="shared" si="116"/>
        <v>663.31991399132187</v>
      </c>
      <c r="BI157" s="59">
        <f ca="1">AVERAGE(OFFSET($BH$3,0,0,'Données projet'!$E$11+1,1))-AVERAGE(OFFSET($H$3,0,0,'Données projet'!$E$11+1,1))</f>
        <v>167.80254365106839</v>
      </c>
      <c r="BJ157" s="59">
        <f t="shared" si="146"/>
        <v>167.42302164950172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7.7416202835338126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7.7416202835338126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669.99999999999989</v>
      </c>
      <c r="BZ157" s="13">
        <f>BY157*VLOOKUP('Données projet'!$B$12,Paramètres!$A$1:$I$89,3,0)*VLOOKUP('Données projet'!$B$12,Paramètres!$A$1:$I$89,5,0)</f>
        <v>330.97999999999996</v>
      </c>
      <c r="CA157" s="13">
        <f t="shared" si="170"/>
        <v>77.633451096966454</v>
      </c>
      <c r="CB157" s="20">
        <f t="shared" si="171"/>
        <v>711.66842732721636</v>
      </c>
      <c r="CC157" s="59">
        <f t="shared" si="119"/>
        <v>1005.0017606605497</v>
      </c>
      <c r="CD157" s="59">
        <f ca="1">AVERAGE(OFFSET($CC$3,0,0,'Données projet'!$E$12+1,1))-AVERAGE(OFFSET($H$3,0,0,'Données projet'!$E$12+1,1))</f>
        <v>322.06606384496587</v>
      </c>
      <c r="CE157" s="59">
        <f t="shared" si="148"/>
        <v>267.71713177624713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26.869077678363528</v>
      </c>
      <c r="CL157" s="21">
        <f>EXP(-LN(2)/25)*CL156+(1-EXP(-LN(2)/25))/(LN(2)/25)*Calculateur!CG157*Calculateur!CI157*VLOOKUP('Données projet'!$B$12,Paramètres!$A$1:$I$89,3,0)*0.475*44/12</f>
        <v>0.64592766426433401</v>
      </c>
      <c r="CM157" s="21">
        <f>EXP(-LN(2)/2)*CM156+(1-EXP(-LN(2)/2))/(LN(2)/2)*CG157*CJ157*VLOOKUP('Données projet'!$B$12,Paramètres!$A$1:$I$89,3,0)*0.475*44/12</f>
        <v>8.5760589800909794E-19</v>
      </c>
      <c r="CN157" s="22">
        <f t="shared" si="172"/>
        <v>27.515005342627862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401</v>
      </c>
      <c r="CU157" s="17">
        <f>CT157*VLOOKUP('Données projet'!$B$13,Paramètres!$A$1:$I$89,3,0)*VLOOKUP('Données projet'!$B$13,Paramètres!$A$1:$I$89,5,0)</f>
        <v>250.22399999999999</v>
      </c>
      <c r="CV157" s="13">
        <f t="shared" si="173"/>
        <v>60.633904580527918</v>
      </c>
      <c r="CW157" s="20">
        <f t="shared" si="174"/>
        <v>541.41085047775289</v>
      </c>
      <c r="CX157" s="59">
        <f t="shared" si="122"/>
        <v>834.74418381108626</v>
      </c>
      <c r="CY157" s="59">
        <f ca="1">AVERAGE(OFFSET($CX$3,0,0,'Données projet'!$E$13+1,1))-AVERAGE(OFFSET($H$3,0,0,'Données projet'!$E$13+1,1))</f>
        <v>269.77739619445515</v>
      </c>
      <c r="CZ157" s="59">
        <f t="shared" si="150"/>
        <v>347.56964743629885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11.902150983253325</v>
      </c>
      <c r="DG157" s="21">
        <f>EXP(-LN(2)/25)*DG156+(1-EXP(-LN(2)/25))/(LN(2)/25)*Calculateur!DB157*Calculateur!DD157*VLOOKUP('Données projet'!$B$13,Paramètres!$A$1:$I$89,3,0)*0.475*44/12</f>
        <v>2.9475442513495307</v>
      </c>
      <c r="DH157" s="21">
        <f>EXP(-LN(2)/2)*DH156+(1-EXP(-LN(2)/2))/(LN(2)/2)*DB157*DE157*VLOOKUP('Données projet'!$B$13,Paramètres!$A$1:$I$89,3,0)*0.475*44/12</f>
        <v>5.3859577446811691E-21</v>
      </c>
      <c r="DI157" s="22">
        <f t="shared" si="175"/>
        <v>14.849695234602855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669.99999999999989</v>
      </c>
      <c r="DP157" s="17">
        <f>DO157*VLOOKUP('Données projet'!$B$14,Paramètres!$A$1:$I$89,3,0)*VLOOKUP('Données projet'!$B$14,Paramètres!$A$1:$I$89,5,0)</f>
        <v>322.26999999999992</v>
      </c>
      <c r="DQ157" s="13">
        <f t="shared" si="176"/>
        <v>75.825476822885776</v>
      </c>
      <c r="DR157" s="20">
        <f t="shared" si="177"/>
        <v>693.34962213319261</v>
      </c>
      <c r="DS157" s="59">
        <f t="shared" si="125"/>
        <v>986.68295546652598</v>
      </c>
      <c r="DT157" s="59">
        <f ca="1">AVERAGE(OFFSET($DS$3,0,0,'Données projet'!$E$14+1,1))-AVERAGE(OFFSET($H$3,0,0,'Données projet'!$E$14+1,1))</f>
        <v>312.64506496298173</v>
      </c>
      <c r="DU157" s="59">
        <f t="shared" si="152"/>
        <v>259.97532509897508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26.161996686827667</v>
      </c>
      <c r="EB157" s="21">
        <f>EXP(-LN(2)/25)*EB156+(1-EXP(-LN(2)/25))/(LN(2)/25)*Calculateur!DW157*Calculateur!DY157*VLOOKUP('Données projet'!$B$14,Paramètres!$A$1:$I$89,3,0)*0.475*44/12</f>
        <v>0.62892956783632659</v>
      </c>
      <c r="EC157" s="21">
        <f>EXP(-LN(2)/2)*EC156+(1-EXP(-LN(2)/2))/(LN(2)/2)*DW157*DZ157*VLOOKUP('Données projet'!$B$14,Paramètres!$A$1:$I$89,3,0)*0.475*44/12</f>
        <v>8.3503732174569187E-19</v>
      </c>
      <c r="ED157" s="22">
        <f t="shared" si="178"/>
        <v>26.790926254663994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267</v>
      </c>
      <c r="EK157" s="17">
        <f>EJ157*VLOOKUP('Données projet'!$B$15,Paramètres!$A$1:$I$89,3,0)*VLOOKUP('Données projet'!$B$15,Paramètres!$A$1:$I$89,5,0)</f>
        <v>241.58159999999998</v>
      </c>
      <c r="EL157" s="13">
        <f t="shared" si="179"/>
        <v>58.779689232021951</v>
      </c>
      <c r="EM157" s="20">
        <f t="shared" si="180"/>
        <v>523.12924541243819</v>
      </c>
      <c r="EN157" s="59">
        <f t="shared" si="128"/>
        <v>816.46257874577145</v>
      </c>
      <c r="EO157" s="59">
        <f ca="1">AVERAGE(OFFSET($EN$3,0,0,'Données projet'!$E$15+1,1))-AVERAGE(OFFSET($H$3,0,0,'Données projet'!$E$15+1,1))</f>
        <v>269.64423257646359</v>
      </c>
      <c r="EP157" s="59">
        <f t="shared" si="154"/>
        <v>161.0819079811821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34.914879218760802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34.914879218760802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349.00000000000017</v>
      </c>
      <c r="FF157" s="17">
        <f>FE157*VLOOKUP('Données projet'!$B$16,Paramètres!$A$1:$I$89,3,0)*VLOOKUP('Données projet'!$B$16,Paramètres!$A$1:$I$89,5,0)</f>
        <v>272.22000000000014</v>
      </c>
      <c r="FG157" s="13">
        <f t="shared" si="182"/>
        <v>65.320184547527205</v>
      </c>
      <c r="FH157" s="20">
        <f t="shared" si="183"/>
        <v>587.88248808694345</v>
      </c>
      <c r="FI157" s="59">
        <f t="shared" si="131"/>
        <v>881.21582142027682</v>
      </c>
      <c r="FJ157" s="59">
        <f ca="1">AVERAGE(OFFSET($FI$3,0,0,'Données projet'!$E$16+1,1))-AVERAGE(OFFSET($H$3,0,0,'Données projet'!$E$16+1,1))</f>
        <v>283.77864672734273</v>
      </c>
      <c r="FK157" s="59">
        <f t="shared" si="156"/>
        <v>270.94620935643866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16.421106360498719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16.421106360498719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319</v>
      </c>
      <c r="GA157" s="17">
        <f>FZ157*VLOOKUP('Données projet'!$B$17,Paramètres!$A$1:$I$89,3,0)*VLOOKUP('Données projet'!$B$17,Paramètres!$A$1:$I$89,5,0)</f>
        <v>308.53680000000003</v>
      </c>
      <c r="GB157" s="13">
        <f t="shared" si="185"/>
        <v>72.963171684496103</v>
      </c>
      <c r="GC157" s="20">
        <f t="shared" si="186"/>
        <v>664.4457840171641</v>
      </c>
      <c r="GD157" s="59">
        <f t="shared" si="134"/>
        <v>957.77911735049747</v>
      </c>
      <c r="GE157" s="59">
        <f ca="1">AVERAGE(OFFSET($GD$3,0,0,'Données projet'!$E$17+1,1))-AVERAGE(OFFSET($H$3,0,0,'Données projet'!$E$17+1,1))</f>
        <v>347.54503437087288</v>
      </c>
      <c r="GF157" s="59">
        <f t="shared" si="158"/>
        <v>340.05673244455954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12.111639761901042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12.111639761901042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735.00000000000011</v>
      </c>
      <c r="O158" s="13">
        <f>N158*VLOOKUP('Données projet'!$B$9,Paramètres!$A$1:$I$89,3,0)*VLOOKUP('Données projet'!$B$9,Paramètres!$A$1:$I$89,5,0)</f>
        <v>343.98</v>
      </c>
      <c r="P158" s="13">
        <f t="shared" si="141"/>
        <v>80.321681832084693</v>
      </c>
      <c r="Q158" s="20">
        <f t="shared" si="162"/>
        <v>738.9920958575475</v>
      </c>
      <c r="R158" s="59">
        <f t="shared" si="109"/>
        <v>1032.3254291908809</v>
      </c>
      <c r="S158" s="59">
        <f ca="1">AVERAGE(OFFSET($R$3,0,0,'Données projet'!$E$9+1,1))-AVERAGE(OFFSET($H$3,0,0,'Données projet'!$E$9+1,1))</f>
        <v>342.49944586217674</v>
      </c>
      <c r="T158" s="59">
        <f t="shared" si="142"/>
        <v>282.29766600872563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26.706036254833258</v>
      </c>
      <c r="AA158" s="21">
        <f>EXP(-LN(2)/25)*AA157+(1-EXP(-LN(2)/25))/(LN(2)/25)*Calculateur!V158*Calculateur!X158*VLOOKUP('Données projet'!$B$9,Paramètres!$A$1:$I$89,3,0)*0.475*44/12</f>
        <v>1.2525168128002584</v>
      </c>
      <c r="AB158" s="21">
        <f>EXP(-LN(2)/2)*AB157+(1-EXP(-LN(2)/2))/(LN(2)/2)*V158*Y158*VLOOKUP('Données projet'!$B$9,Paramètres!$A$1:$I$89,3,0)*0.475*44/12</f>
        <v>1.2694824148160872E-20</v>
      </c>
      <c r="AC158" s="22">
        <f t="shared" si="163"/>
        <v>27.958553067633517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739.99999999999966</v>
      </c>
      <c r="AJ158" s="13">
        <f>AI158*VLOOKUP('Données projet'!$B$10,Paramètres!$A$1:$I$89,3,0)*VLOOKUP('Données projet'!$B$10,Paramètres!$A$1:$I$89,5,0)</f>
        <v>413.65999999999985</v>
      </c>
      <c r="AK158" s="13">
        <f t="shared" si="164"/>
        <v>94.540585122244352</v>
      </c>
      <c r="AL158" s="20">
        <f t="shared" si="165"/>
        <v>885.11601908790863</v>
      </c>
      <c r="AM158" s="59">
        <f t="shared" si="113"/>
        <v>1178.4493524212419</v>
      </c>
      <c r="AN158" s="59">
        <f ca="1">AVERAGE(OFFSET($AM$3,0,0,'Données projet'!$E$10+1,1))-AVERAGE(OFFSET($H$3,0,0,'Données projet'!$E$10+1,1))</f>
        <v>490.96084572840579</v>
      </c>
      <c r="AO158" s="59">
        <f t="shared" si="144"/>
        <v>597.91658789908263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18.817926828669037</v>
      </c>
      <c r="AV158" s="21">
        <f>EXP(-LN(2)/25)*AV157+(1-EXP(-LN(2)/25))/(LN(2)/25)*Calculateur!AQ158*Calculateur!AS158*VLOOKUP('Données projet'!$B$10,Paramètres!$A$1:$I$89,3,0)*0.475*44/12</f>
        <v>1.8056766868597152</v>
      </c>
      <c r="AW158" s="21">
        <f>EXP(-LN(2)/2)*AW157+(1-EXP(-LN(2)/2))/(LN(2)/2)*AQ158*AT158*VLOOKUP('Données projet'!$B$10,Paramètres!$A$1:$I$89,3,0)*0.475*44/12</f>
        <v>1.3040405472194136E-19</v>
      </c>
      <c r="AX158" s="21">
        <f t="shared" si="166"/>
        <v>20.623603515528753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213.00000000000003</v>
      </c>
      <c r="BE158" s="13">
        <f>BD158*VLOOKUP('Données projet'!$B$11,Paramètres!$A$1:$I$89,3,0)*VLOOKUP('Données projet'!$B$11,Paramètres!$A$1:$I$89,5,0)</f>
        <v>169.46280000000002</v>
      </c>
      <c r="BF158" s="13">
        <f t="shared" si="167"/>
        <v>42.969686502194378</v>
      </c>
      <c r="BG158" s="20">
        <f t="shared" si="168"/>
        <v>369.98658065798855</v>
      </c>
      <c r="BH158" s="59">
        <f t="shared" si="116"/>
        <v>663.31991399132187</v>
      </c>
      <c r="BI158" s="59">
        <f ca="1">AVERAGE(OFFSET($BH$3,0,0,'Données projet'!$E$11+1,1))-AVERAGE(OFFSET($H$3,0,0,'Données projet'!$E$11+1,1))</f>
        <v>167.80254365106839</v>
      </c>
      <c r="BJ158" s="59">
        <f t="shared" si="146"/>
        <v>167.42302164950172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7.5898118316958367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7.5898118316958367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669.99999999999989</v>
      </c>
      <c r="BZ158" s="13">
        <f>BY158*VLOOKUP('Données projet'!$B$12,Paramètres!$A$1:$I$89,3,0)*VLOOKUP('Données projet'!$B$12,Paramètres!$A$1:$I$89,5,0)</f>
        <v>330.97999999999996</v>
      </c>
      <c r="CA158" s="13">
        <f t="shared" si="170"/>
        <v>77.633451096966454</v>
      </c>
      <c r="CB158" s="20">
        <f t="shared" si="171"/>
        <v>711.66842732721636</v>
      </c>
      <c r="CC158" s="59">
        <f t="shared" si="119"/>
        <v>1005.0017606605497</v>
      </c>
      <c r="CD158" s="59">
        <f ca="1">AVERAGE(OFFSET($CC$3,0,0,'Données projet'!$E$12+1,1))-AVERAGE(OFFSET($H$3,0,0,'Données projet'!$E$12+1,1))</f>
        <v>322.06606384496587</v>
      </c>
      <c r="CE158" s="59">
        <f t="shared" si="148"/>
        <v>267.71713177624713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26.342191453609971</v>
      </c>
      <c r="CL158" s="21">
        <f>EXP(-LN(2)/25)*CL157+(1-EXP(-LN(2)/25))/(LN(2)/25)*Calculateur!CG158*Calculateur!CI158*VLOOKUP('Données projet'!$B$12,Paramètres!$A$1:$I$89,3,0)*0.475*44/12</f>
        <v>0.62826473831716623</v>
      </c>
      <c r="CM158" s="21">
        <f>EXP(-LN(2)/2)*CM157+(1-EXP(-LN(2)/2))/(LN(2)/2)*CG158*CJ158*VLOOKUP('Données projet'!$B$12,Paramètres!$A$1:$I$89,3,0)*0.475*44/12</f>
        <v>6.0641894606781184E-19</v>
      </c>
      <c r="CN158" s="22">
        <f t="shared" si="172"/>
        <v>26.970456191927138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401</v>
      </c>
      <c r="CU158" s="17">
        <f>CT158*VLOOKUP('Données projet'!$B$13,Paramètres!$A$1:$I$89,3,0)*VLOOKUP('Données projet'!$B$13,Paramètres!$A$1:$I$89,5,0)</f>
        <v>250.22399999999999</v>
      </c>
      <c r="CV158" s="13">
        <f t="shared" si="173"/>
        <v>60.633904580527918</v>
      </c>
      <c r="CW158" s="20">
        <f t="shared" si="174"/>
        <v>541.41085047775289</v>
      </c>
      <c r="CX158" s="59">
        <f t="shared" si="122"/>
        <v>834.74418381108626</v>
      </c>
      <c r="CY158" s="59">
        <f ca="1">AVERAGE(OFFSET($CX$3,0,0,'Données projet'!$E$13+1,1))-AVERAGE(OFFSET($H$3,0,0,'Données projet'!$E$13+1,1))</f>
        <v>269.77739619445515</v>
      </c>
      <c r="CZ158" s="59">
        <f t="shared" si="150"/>
        <v>347.56964743629885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11.668757062067002</v>
      </c>
      <c r="DG158" s="21">
        <f>EXP(-LN(2)/25)*DG157+(1-EXP(-LN(2)/25))/(LN(2)/25)*Calculateur!DB158*Calculateur!DD158*VLOOKUP('Données projet'!$B$13,Paramètres!$A$1:$I$89,3,0)*0.475*44/12</f>
        <v>2.8669434987917621</v>
      </c>
      <c r="DH158" s="21">
        <f>EXP(-LN(2)/2)*DH157+(1-EXP(-LN(2)/2))/(LN(2)/2)*DB158*DE158*VLOOKUP('Données projet'!$B$13,Paramètres!$A$1:$I$89,3,0)*0.475*44/12</f>
        <v>3.8084472444482583E-21</v>
      </c>
      <c r="DI158" s="22">
        <f t="shared" si="175"/>
        <v>14.535700560858764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669.99999999999989</v>
      </c>
      <c r="DP158" s="17">
        <f>DO158*VLOOKUP('Données projet'!$B$14,Paramètres!$A$1:$I$89,3,0)*VLOOKUP('Données projet'!$B$14,Paramètres!$A$1:$I$89,5,0)</f>
        <v>322.26999999999992</v>
      </c>
      <c r="DQ158" s="13">
        <f t="shared" si="176"/>
        <v>75.825476822885776</v>
      </c>
      <c r="DR158" s="20">
        <f t="shared" si="177"/>
        <v>693.34962213319261</v>
      </c>
      <c r="DS158" s="59">
        <f t="shared" si="125"/>
        <v>986.68295546652598</v>
      </c>
      <c r="DT158" s="59">
        <f ca="1">AVERAGE(OFFSET($DS$3,0,0,'Données projet'!$E$14+1,1))-AVERAGE(OFFSET($H$3,0,0,'Données projet'!$E$14+1,1))</f>
        <v>312.64506496298173</v>
      </c>
      <c r="DU158" s="59">
        <f t="shared" si="152"/>
        <v>259.97532509897508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25.64897588904131</v>
      </c>
      <c r="EB158" s="21">
        <f>EXP(-LN(2)/25)*EB157+(1-EXP(-LN(2)/25))/(LN(2)/25)*Calculateur!DW158*Calculateur!DY158*VLOOKUP('Données projet'!$B$14,Paramètres!$A$1:$I$89,3,0)*0.475*44/12</f>
        <v>0.61173145572987375</v>
      </c>
      <c r="EC158" s="21">
        <f>EXP(-LN(2)/2)*EC157+(1-EXP(-LN(2)/2))/(LN(2)/2)*DW158*DZ158*VLOOKUP('Données projet'!$B$14,Paramètres!$A$1:$I$89,3,0)*0.475*44/12</f>
        <v>5.9046055275023162E-19</v>
      </c>
      <c r="ED158" s="22">
        <f t="shared" si="178"/>
        <v>26.260707344771184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267</v>
      </c>
      <c r="EK158" s="17">
        <f>EJ158*VLOOKUP('Données projet'!$B$15,Paramètres!$A$1:$I$89,3,0)*VLOOKUP('Données projet'!$B$15,Paramètres!$A$1:$I$89,5,0)</f>
        <v>241.58159999999998</v>
      </c>
      <c r="EL158" s="13">
        <f t="shared" si="179"/>
        <v>58.779689232021951</v>
      </c>
      <c r="EM158" s="20">
        <f t="shared" si="180"/>
        <v>523.12924541243819</v>
      </c>
      <c r="EN158" s="59">
        <f t="shared" si="128"/>
        <v>816.46257874577145</v>
      </c>
      <c r="EO158" s="59">
        <f ca="1">AVERAGE(OFFSET($EN$3,0,0,'Données projet'!$E$15+1,1))-AVERAGE(OFFSET($H$3,0,0,'Données projet'!$E$15+1,1))</f>
        <v>269.64423257646359</v>
      </c>
      <c r="EP158" s="59">
        <f t="shared" si="154"/>
        <v>161.0819079811821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34.230219733254422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34.230219733254422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349.00000000000017</v>
      </c>
      <c r="FF158" s="17">
        <f>FE158*VLOOKUP('Données projet'!$B$16,Paramètres!$A$1:$I$89,3,0)*VLOOKUP('Données projet'!$B$16,Paramètres!$A$1:$I$89,5,0)</f>
        <v>272.22000000000014</v>
      </c>
      <c r="FG158" s="13">
        <f t="shared" si="182"/>
        <v>65.320184547527205</v>
      </c>
      <c r="FH158" s="20">
        <f t="shared" si="183"/>
        <v>587.88248808694345</v>
      </c>
      <c r="FI158" s="59">
        <f t="shared" si="131"/>
        <v>881.21582142027682</v>
      </c>
      <c r="FJ158" s="59">
        <f ca="1">AVERAGE(OFFSET($FI$3,0,0,'Données projet'!$E$16+1,1))-AVERAGE(OFFSET($H$3,0,0,'Données projet'!$E$16+1,1))</f>
        <v>283.77864672734273</v>
      </c>
      <c r="FK158" s="59">
        <f t="shared" si="156"/>
        <v>270.94620935643866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16.099098480655233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16.099098480655233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319</v>
      </c>
      <c r="GA158" s="17">
        <f>FZ158*VLOOKUP('Données projet'!$B$17,Paramètres!$A$1:$I$89,3,0)*VLOOKUP('Données projet'!$B$17,Paramètres!$A$1:$I$89,5,0)</f>
        <v>308.53680000000003</v>
      </c>
      <c r="GB158" s="13">
        <f t="shared" si="185"/>
        <v>72.963171684496103</v>
      </c>
      <c r="GC158" s="20">
        <f t="shared" si="186"/>
        <v>664.4457840171641</v>
      </c>
      <c r="GD158" s="59">
        <f t="shared" si="134"/>
        <v>957.77911735049747</v>
      </c>
      <c r="GE158" s="59">
        <f ca="1">AVERAGE(OFFSET($GD$3,0,0,'Données projet'!$E$17+1,1))-AVERAGE(OFFSET($H$3,0,0,'Données projet'!$E$17+1,1))</f>
        <v>347.54503437087288</v>
      </c>
      <c r="GF158" s="59">
        <f t="shared" si="158"/>
        <v>340.05673244455954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11.874137893540976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11.874137893540976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735.00000000000011</v>
      </c>
      <c r="O159" s="13">
        <f>N159*VLOOKUP('Données projet'!$B$9,Paramètres!$A$1:$I$89,3,0)*VLOOKUP('Données projet'!$B$9,Paramètres!$A$1:$I$89,5,0)</f>
        <v>343.98</v>
      </c>
      <c r="P159" s="13">
        <f t="shared" si="141"/>
        <v>80.321681832084693</v>
      </c>
      <c r="Q159" s="20">
        <f t="shared" si="162"/>
        <v>738.9920958575475</v>
      </c>
      <c r="R159" s="59">
        <f t="shared" si="109"/>
        <v>1032.3254291908809</v>
      </c>
      <c r="S159" s="59">
        <f ca="1">AVERAGE(OFFSET($R$3,0,0,'Données projet'!$E$9+1,1))-AVERAGE(OFFSET($H$3,0,0,'Données projet'!$E$9+1,1))</f>
        <v>342.49944586217674</v>
      </c>
      <c r="T159" s="59">
        <f t="shared" si="142"/>
        <v>282.29766600872563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26.18234717294968</v>
      </c>
      <c r="AA159" s="21">
        <f>EXP(-LN(2)/25)*AA158+(1-EXP(-LN(2)/25))/(LN(2)/25)*Calculateur!V159*Calculateur!X159*VLOOKUP('Données projet'!$B$9,Paramètres!$A$1:$I$89,3,0)*0.475*44/12</f>
        <v>1.2182666746872388</v>
      </c>
      <c r="AB159" s="21">
        <f>EXP(-LN(2)/2)*AB158+(1-EXP(-LN(2)/2))/(LN(2)/2)*V159*Y159*VLOOKUP('Données projet'!$B$9,Paramètres!$A$1:$I$89,3,0)*0.475*44/12</f>
        <v>8.9765962411352893E-21</v>
      </c>
      <c r="AC159" s="22">
        <f t="shared" si="163"/>
        <v>27.400613847636919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739.99999999999966</v>
      </c>
      <c r="AJ159" s="13">
        <f>AI159*VLOOKUP('Données projet'!$B$10,Paramètres!$A$1:$I$89,3,0)*VLOOKUP('Données projet'!$B$10,Paramètres!$A$1:$I$89,5,0)</f>
        <v>413.65999999999985</v>
      </c>
      <c r="AK159" s="13">
        <f t="shared" si="164"/>
        <v>94.540585122244352</v>
      </c>
      <c r="AL159" s="20">
        <f t="shared" si="165"/>
        <v>885.11601908790863</v>
      </c>
      <c r="AM159" s="59">
        <f t="shared" si="113"/>
        <v>1178.4493524212419</v>
      </c>
      <c r="AN159" s="59">
        <f ca="1">AVERAGE(OFFSET($AM$3,0,0,'Données projet'!$E$10+1,1))-AVERAGE(OFFSET($H$3,0,0,'Données projet'!$E$10+1,1))</f>
        <v>490.96084572840579</v>
      </c>
      <c r="AO159" s="59">
        <f t="shared" si="144"/>
        <v>597.91658789908263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18.448918761360865</v>
      </c>
      <c r="AV159" s="21">
        <f>EXP(-LN(2)/25)*AV158+(1-EXP(-LN(2)/25))/(LN(2)/25)*Calculateur!AQ159*Calculateur!AS159*VLOOKUP('Données projet'!$B$10,Paramètres!$A$1:$I$89,3,0)*0.475*44/12</f>
        <v>1.7563003629011262</v>
      </c>
      <c r="AW159" s="21">
        <f>EXP(-LN(2)/2)*AW158+(1-EXP(-LN(2)/2))/(LN(2)/2)*AQ159*AT159*VLOOKUP('Données projet'!$B$10,Paramètres!$A$1:$I$89,3,0)*0.475*44/12</f>
        <v>9.220959138810636E-20</v>
      </c>
      <c r="AX159" s="21">
        <f t="shared" si="166"/>
        <v>20.205219124261991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213.00000000000003</v>
      </c>
      <c r="BE159" s="13">
        <f>BD159*VLOOKUP('Données projet'!$B$11,Paramètres!$A$1:$I$89,3,0)*VLOOKUP('Données projet'!$B$11,Paramètres!$A$1:$I$89,5,0)</f>
        <v>169.46280000000002</v>
      </c>
      <c r="BF159" s="13">
        <f t="shared" si="167"/>
        <v>42.969686502194378</v>
      </c>
      <c r="BG159" s="20">
        <f t="shared" si="168"/>
        <v>369.98658065798855</v>
      </c>
      <c r="BH159" s="59">
        <f t="shared" si="116"/>
        <v>663.31991399132187</v>
      </c>
      <c r="BI159" s="59">
        <f ca="1">AVERAGE(OFFSET($BH$3,0,0,'Données projet'!$E$11+1,1))-AVERAGE(OFFSET($H$3,0,0,'Données projet'!$E$11+1,1))</f>
        <v>167.80254365106839</v>
      </c>
      <c r="BJ159" s="59">
        <f t="shared" si="146"/>
        <v>167.42302164950172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7.4409802510043903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7.4409802510043903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669.99999999999989</v>
      </c>
      <c r="BZ159" s="13">
        <f>BY159*VLOOKUP('Données projet'!$B$12,Paramètres!$A$1:$I$89,3,0)*VLOOKUP('Données projet'!$B$12,Paramètres!$A$1:$I$89,5,0)</f>
        <v>330.97999999999996</v>
      </c>
      <c r="CA159" s="13">
        <f t="shared" si="170"/>
        <v>77.633451096966454</v>
      </c>
      <c r="CB159" s="20">
        <f t="shared" si="171"/>
        <v>711.66842732721636</v>
      </c>
      <c r="CC159" s="59">
        <f t="shared" si="119"/>
        <v>1005.0017606605497</v>
      </c>
      <c r="CD159" s="59">
        <f ca="1">AVERAGE(OFFSET($CC$3,0,0,'Données projet'!$E$12+1,1))-AVERAGE(OFFSET($H$3,0,0,'Données projet'!$E$12+1,1))</f>
        <v>322.06606384496587</v>
      </c>
      <c r="CE159" s="59">
        <f t="shared" si="148"/>
        <v>267.71713177624713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25.825637146354968</v>
      </c>
      <c r="CL159" s="21">
        <f>EXP(-LN(2)/25)*CL158+(1-EXP(-LN(2)/25))/(LN(2)/25)*Calculateur!CG159*Calculateur!CI159*VLOOKUP('Données projet'!$B$12,Paramètres!$A$1:$I$89,3,0)*0.475*44/12</f>
        <v>0.6110848060088766</v>
      </c>
      <c r="CM159" s="21">
        <f>EXP(-LN(2)/2)*CM158+(1-EXP(-LN(2)/2))/(LN(2)/2)*CG159*CJ159*VLOOKUP('Données projet'!$B$12,Paramètres!$A$1:$I$89,3,0)*0.475*44/12</f>
        <v>4.2880294900454902E-19</v>
      </c>
      <c r="CN159" s="22">
        <f t="shared" si="172"/>
        <v>26.436721952363843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401</v>
      </c>
      <c r="CU159" s="17">
        <f>CT159*VLOOKUP('Données projet'!$B$13,Paramètres!$A$1:$I$89,3,0)*VLOOKUP('Données projet'!$B$13,Paramètres!$A$1:$I$89,5,0)</f>
        <v>250.22399999999999</v>
      </c>
      <c r="CV159" s="13">
        <f t="shared" si="173"/>
        <v>60.633904580527918</v>
      </c>
      <c r="CW159" s="20">
        <f t="shared" si="174"/>
        <v>541.41085047775289</v>
      </c>
      <c r="CX159" s="59">
        <f t="shared" si="122"/>
        <v>834.74418381108626</v>
      </c>
      <c r="CY159" s="59">
        <f ca="1">AVERAGE(OFFSET($CX$3,0,0,'Données projet'!$E$13+1,1))-AVERAGE(OFFSET($H$3,0,0,'Données projet'!$E$13+1,1))</f>
        <v>269.77739619445515</v>
      </c>
      <c r="CZ159" s="59">
        <f t="shared" si="150"/>
        <v>347.56964743629885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11.439939853318906</v>
      </c>
      <c r="DG159" s="21">
        <f>EXP(-LN(2)/25)*DG158+(1-EXP(-LN(2)/25))/(LN(2)/25)*Calculateur!DB159*Calculateur!DD159*VLOOKUP('Données projet'!$B$13,Paramètres!$A$1:$I$89,3,0)*0.475*44/12</f>
        <v>2.7885467780512951</v>
      </c>
      <c r="DH159" s="21">
        <f>EXP(-LN(2)/2)*DH158+(1-EXP(-LN(2)/2))/(LN(2)/2)*DB159*DE159*VLOOKUP('Données projet'!$B$13,Paramètres!$A$1:$I$89,3,0)*0.475*44/12</f>
        <v>2.6929788723405845E-21</v>
      </c>
      <c r="DI159" s="22">
        <f t="shared" si="175"/>
        <v>14.228486631370201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669.99999999999989</v>
      </c>
      <c r="DP159" s="17">
        <f>DO159*VLOOKUP('Données projet'!$B$14,Paramètres!$A$1:$I$89,3,0)*VLOOKUP('Données projet'!$B$14,Paramètres!$A$1:$I$89,5,0)</f>
        <v>322.26999999999992</v>
      </c>
      <c r="DQ159" s="13">
        <f t="shared" si="176"/>
        <v>75.825476822885776</v>
      </c>
      <c r="DR159" s="20">
        <f t="shared" si="177"/>
        <v>693.34962213319261</v>
      </c>
      <c r="DS159" s="59">
        <f t="shared" si="125"/>
        <v>986.68295546652598</v>
      </c>
      <c r="DT159" s="59">
        <f ca="1">AVERAGE(OFFSET($DS$3,0,0,'Données projet'!$E$14+1,1))-AVERAGE(OFFSET($H$3,0,0,'Données projet'!$E$14+1,1))</f>
        <v>312.64506496298173</v>
      </c>
      <c r="DU159" s="59">
        <f t="shared" si="152"/>
        <v>259.97532509897508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25.146015116187751</v>
      </c>
      <c r="EB159" s="21">
        <f>EXP(-LN(2)/25)*EB158+(1-EXP(-LN(2)/25))/(LN(2)/25)*Calculateur!DW159*Calculateur!DY159*VLOOKUP('Données projet'!$B$14,Paramètres!$A$1:$I$89,3,0)*0.475*44/12</f>
        <v>0.59500362690338127</v>
      </c>
      <c r="EC159" s="21">
        <f>EXP(-LN(2)/2)*EC158+(1-EXP(-LN(2)/2))/(LN(2)/2)*DW159*DZ159*VLOOKUP('Données projet'!$B$14,Paramètres!$A$1:$I$89,3,0)*0.475*44/12</f>
        <v>4.1751866087284593E-19</v>
      </c>
      <c r="ED159" s="22">
        <f t="shared" si="178"/>
        <v>25.741018743091132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267</v>
      </c>
      <c r="EK159" s="17">
        <f>EJ159*VLOOKUP('Données projet'!$B$15,Paramètres!$A$1:$I$89,3,0)*VLOOKUP('Données projet'!$B$15,Paramètres!$A$1:$I$89,5,0)</f>
        <v>241.58159999999998</v>
      </c>
      <c r="EL159" s="13">
        <f t="shared" si="179"/>
        <v>58.779689232021951</v>
      </c>
      <c r="EM159" s="20">
        <f t="shared" si="180"/>
        <v>523.12924541243819</v>
      </c>
      <c r="EN159" s="59">
        <f t="shared" si="128"/>
        <v>816.46257874577145</v>
      </c>
      <c r="EO159" s="59">
        <f ca="1">AVERAGE(OFFSET($EN$3,0,0,'Données projet'!$E$15+1,1))-AVERAGE(OFFSET($H$3,0,0,'Données projet'!$E$15+1,1))</f>
        <v>269.64423257646359</v>
      </c>
      <c r="EP159" s="59">
        <f t="shared" si="154"/>
        <v>161.0819079811821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33.558986002657775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33.558986002657775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349.00000000000017</v>
      </c>
      <c r="FF159" s="17">
        <f>FE159*VLOOKUP('Données projet'!$B$16,Paramètres!$A$1:$I$89,3,0)*VLOOKUP('Données projet'!$B$16,Paramètres!$A$1:$I$89,5,0)</f>
        <v>272.22000000000014</v>
      </c>
      <c r="FG159" s="13">
        <f t="shared" si="182"/>
        <v>65.320184547527205</v>
      </c>
      <c r="FH159" s="20">
        <f t="shared" si="183"/>
        <v>587.88248808694345</v>
      </c>
      <c r="FI159" s="59">
        <f t="shared" si="131"/>
        <v>881.21582142027682</v>
      </c>
      <c r="FJ159" s="59">
        <f ca="1">AVERAGE(OFFSET($FI$3,0,0,'Données projet'!$E$16+1,1))-AVERAGE(OFFSET($H$3,0,0,'Données projet'!$E$16+1,1))</f>
        <v>283.77864672734273</v>
      </c>
      <c r="FK159" s="59">
        <f t="shared" si="156"/>
        <v>270.94620935643866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15.783404978930063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15.783404978930063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319</v>
      </c>
      <c r="GA159" s="17">
        <f>FZ159*VLOOKUP('Données projet'!$B$17,Paramètres!$A$1:$I$89,3,0)*VLOOKUP('Données projet'!$B$17,Paramètres!$A$1:$I$89,5,0)</f>
        <v>308.53680000000003</v>
      </c>
      <c r="GB159" s="13">
        <f t="shared" si="185"/>
        <v>72.963171684496103</v>
      </c>
      <c r="GC159" s="20">
        <f t="shared" si="186"/>
        <v>664.4457840171641</v>
      </c>
      <c r="GD159" s="59">
        <f t="shared" si="134"/>
        <v>957.77911735049747</v>
      </c>
      <c r="GE159" s="59">
        <f ca="1">AVERAGE(OFFSET($GD$3,0,0,'Données projet'!$E$17+1,1))-AVERAGE(OFFSET($H$3,0,0,'Données projet'!$E$17+1,1))</f>
        <v>347.54503437087288</v>
      </c>
      <c r="GF159" s="59">
        <f t="shared" si="158"/>
        <v>340.05673244455954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11.641293291957615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11.641293291957615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735.00000000000011</v>
      </c>
      <c r="O160" s="13">
        <f>N160*VLOOKUP('Données projet'!$B$9,Paramètres!$A$1:$I$89,3,0)*VLOOKUP('Données projet'!$B$9,Paramètres!$A$1:$I$89,5,0)</f>
        <v>343.98</v>
      </c>
      <c r="P160" s="13">
        <f t="shared" si="141"/>
        <v>80.321681832084693</v>
      </c>
      <c r="Q160" s="20">
        <f t="shared" si="162"/>
        <v>738.9920958575475</v>
      </c>
      <c r="R160" s="59">
        <f t="shared" si="109"/>
        <v>1032.3254291908809</v>
      </c>
      <c r="S160" s="59">
        <f ca="1">AVERAGE(OFFSET($R$3,0,0,'Données projet'!$E$9+1,1))-AVERAGE(OFFSET($H$3,0,0,'Données projet'!$E$9+1,1))</f>
        <v>342.49944586217674</v>
      </c>
      <c r="T160" s="59">
        <f t="shared" si="142"/>
        <v>282.29766600872563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25.668927314543041</v>
      </c>
      <c r="AA160" s="21">
        <f>EXP(-LN(2)/25)*AA159+(1-EXP(-LN(2)/25))/(LN(2)/25)*Calculateur!V160*Calculateur!X160*VLOOKUP('Données projet'!$B$9,Paramètres!$A$1:$I$89,3,0)*0.475*44/12</f>
        <v>1.1849531084020561</v>
      </c>
      <c r="AB160" s="21">
        <f>EXP(-LN(2)/2)*AB159+(1-EXP(-LN(2)/2))/(LN(2)/2)*V160*Y160*VLOOKUP('Données projet'!$B$9,Paramètres!$A$1:$I$89,3,0)*0.475*44/12</f>
        <v>6.3474120740804361E-21</v>
      </c>
      <c r="AC160" s="22">
        <f t="shared" si="163"/>
        <v>26.853880422945096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739.99999999999966</v>
      </c>
      <c r="AJ160" s="13">
        <f>AI160*VLOOKUP('Données projet'!$B$10,Paramètres!$A$1:$I$89,3,0)*VLOOKUP('Données projet'!$B$10,Paramètres!$A$1:$I$89,5,0)</f>
        <v>413.65999999999985</v>
      </c>
      <c r="AK160" s="13">
        <f t="shared" si="164"/>
        <v>94.540585122244352</v>
      </c>
      <c r="AL160" s="20">
        <f t="shared" si="165"/>
        <v>885.11601908790863</v>
      </c>
      <c r="AM160" s="59">
        <f t="shared" si="113"/>
        <v>1178.4493524212419</v>
      </c>
      <c r="AN160" s="59">
        <f ca="1">AVERAGE(OFFSET($AM$3,0,0,'Données projet'!$E$10+1,1))-AVERAGE(OFFSET($H$3,0,0,'Données projet'!$E$10+1,1))</f>
        <v>490.96084572840579</v>
      </c>
      <c r="AO160" s="59">
        <f t="shared" si="144"/>
        <v>597.91658789908263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18.087146717179909</v>
      </c>
      <c r="AV160" s="21">
        <f>EXP(-LN(2)/25)*AV159+(1-EXP(-LN(2)/25))/(LN(2)/25)*Calculateur!AQ160*Calculateur!AS160*VLOOKUP('Données projet'!$B$10,Paramètres!$A$1:$I$89,3,0)*0.475*44/12</f>
        <v>1.7082742371177728</v>
      </c>
      <c r="AW160" s="21">
        <f>EXP(-LN(2)/2)*AW159+(1-EXP(-LN(2)/2))/(LN(2)/2)*AQ160*AT160*VLOOKUP('Données projet'!$B$10,Paramètres!$A$1:$I$89,3,0)*0.475*44/12</f>
        <v>6.520202736097068E-20</v>
      </c>
      <c r="AX160" s="21">
        <f t="shared" si="166"/>
        <v>19.795420954297683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213.00000000000003</v>
      </c>
      <c r="BE160" s="13">
        <f>BD160*VLOOKUP('Données projet'!$B$11,Paramètres!$A$1:$I$89,3,0)*VLOOKUP('Données projet'!$B$11,Paramètres!$A$1:$I$89,5,0)</f>
        <v>169.46280000000002</v>
      </c>
      <c r="BF160" s="13">
        <f t="shared" si="167"/>
        <v>42.969686502194378</v>
      </c>
      <c r="BG160" s="20">
        <f t="shared" si="168"/>
        <v>369.98658065798855</v>
      </c>
      <c r="BH160" s="59">
        <f t="shared" si="116"/>
        <v>663.31991399132187</v>
      </c>
      <c r="BI160" s="59">
        <f ca="1">AVERAGE(OFFSET($BH$3,0,0,'Données projet'!$E$11+1,1))-AVERAGE(OFFSET($H$3,0,0,'Données projet'!$E$11+1,1))</f>
        <v>167.80254365106839</v>
      </c>
      <c r="BJ160" s="59">
        <f t="shared" si="146"/>
        <v>167.42302164950172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7.2950671668320028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7.2950671668320028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669.99999999999989</v>
      </c>
      <c r="BZ160" s="13">
        <f>BY160*VLOOKUP('Données projet'!$B$12,Paramètres!$A$1:$I$89,3,0)*VLOOKUP('Données projet'!$B$12,Paramètres!$A$1:$I$89,5,0)</f>
        <v>330.97999999999996</v>
      </c>
      <c r="CA160" s="13">
        <f t="shared" si="170"/>
        <v>77.633451096966454</v>
      </c>
      <c r="CB160" s="20">
        <f t="shared" si="171"/>
        <v>711.66842732721636</v>
      </c>
      <c r="CC160" s="59">
        <f t="shared" si="119"/>
        <v>1005.0017606605497</v>
      </c>
      <c r="CD160" s="59">
        <f ca="1">AVERAGE(OFFSET($CC$3,0,0,'Données projet'!$E$12+1,1))-AVERAGE(OFFSET($H$3,0,0,'Données projet'!$E$12+1,1))</f>
        <v>322.06606384496587</v>
      </c>
      <c r="CE160" s="59">
        <f t="shared" si="148"/>
        <v>267.71713177624713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25.319212153998215</v>
      </c>
      <c r="CL160" s="21">
        <f>EXP(-LN(2)/25)*CL159+(1-EXP(-LN(2)/25))/(LN(2)/25)*Calculateur!CG160*Calculateur!CI160*VLOOKUP('Données projet'!$B$12,Paramètres!$A$1:$I$89,3,0)*0.475*44/12</f>
        <v>0.59437465985301052</v>
      </c>
      <c r="CM160" s="21">
        <f>EXP(-LN(2)/2)*CM159+(1-EXP(-LN(2)/2))/(LN(2)/2)*CG160*CJ160*VLOOKUP('Données projet'!$B$12,Paramètres!$A$1:$I$89,3,0)*0.475*44/12</f>
        <v>3.0320947303390597E-19</v>
      </c>
      <c r="CN160" s="22">
        <f t="shared" si="172"/>
        <v>25.913586813851225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401</v>
      </c>
      <c r="CU160" s="17">
        <f>CT160*VLOOKUP('Données projet'!$B$13,Paramètres!$A$1:$I$89,3,0)*VLOOKUP('Données projet'!$B$13,Paramètres!$A$1:$I$89,5,0)</f>
        <v>250.22399999999999</v>
      </c>
      <c r="CV160" s="13">
        <f t="shared" si="173"/>
        <v>60.633904580527918</v>
      </c>
      <c r="CW160" s="20">
        <f t="shared" si="174"/>
        <v>541.41085047775289</v>
      </c>
      <c r="CX160" s="59">
        <f t="shared" si="122"/>
        <v>834.74418381108626</v>
      </c>
      <c r="CY160" s="59">
        <f ca="1">AVERAGE(OFFSET($CX$3,0,0,'Données projet'!$E$13+1,1))-AVERAGE(OFFSET($H$3,0,0,'Données projet'!$E$13+1,1))</f>
        <v>269.77739619445515</v>
      </c>
      <c r="CZ160" s="59">
        <f t="shared" si="150"/>
        <v>347.56964743629885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11.215609610469645</v>
      </c>
      <c r="DG160" s="21">
        <f>EXP(-LN(2)/25)*DG159+(1-EXP(-LN(2)/25))/(LN(2)/25)*Calculateur!DB160*Calculateur!DD160*VLOOKUP('Données projet'!$B$13,Paramètres!$A$1:$I$89,3,0)*0.475*44/12</f>
        <v>2.7122938197621806</v>
      </c>
      <c r="DH160" s="21">
        <f>EXP(-LN(2)/2)*DH159+(1-EXP(-LN(2)/2))/(LN(2)/2)*DB160*DE160*VLOOKUP('Données projet'!$B$13,Paramètres!$A$1:$I$89,3,0)*0.475*44/12</f>
        <v>1.9042236222241292E-21</v>
      </c>
      <c r="DI160" s="22">
        <f t="shared" si="175"/>
        <v>13.927903430231826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669.99999999999989</v>
      </c>
      <c r="DP160" s="17">
        <f>DO160*VLOOKUP('Données projet'!$B$14,Paramètres!$A$1:$I$89,3,0)*VLOOKUP('Données projet'!$B$14,Paramètres!$A$1:$I$89,5,0)</f>
        <v>322.26999999999992</v>
      </c>
      <c r="DQ160" s="13">
        <f t="shared" si="176"/>
        <v>75.825476822885776</v>
      </c>
      <c r="DR160" s="20">
        <f t="shared" si="177"/>
        <v>693.34962213319261</v>
      </c>
      <c r="DS160" s="59">
        <f t="shared" si="125"/>
        <v>986.68295546652598</v>
      </c>
      <c r="DT160" s="59">
        <f ca="1">AVERAGE(OFFSET($DS$3,0,0,'Données projet'!$E$14+1,1))-AVERAGE(OFFSET($H$3,0,0,'Données projet'!$E$14+1,1))</f>
        <v>312.64506496298173</v>
      </c>
      <c r="DU160" s="59">
        <f t="shared" si="152"/>
        <v>259.97532509897508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24.652917097314074</v>
      </c>
      <c r="EB160" s="21">
        <f>EXP(-LN(2)/25)*EB159+(1-EXP(-LN(2)/25))/(LN(2)/25)*Calculateur!DW160*Calculateur!DY160*VLOOKUP('Données projet'!$B$14,Paramètres!$A$1:$I$89,3,0)*0.475*44/12</f>
        <v>0.57873322143582751</v>
      </c>
      <c r="EC160" s="21">
        <f>EXP(-LN(2)/2)*EC159+(1-EXP(-LN(2)/2))/(LN(2)/2)*DW160*DZ160*VLOOKUP('Données projet'!$B$14,Paramètres!$A$1:$I$89,3,0)*0.475*44/12</f>
        <v>2.9523027637511581E-19</v>
      </c>
      <c r="ED160" s="22">
        <f t="shared" si="178"/>
        <v>25.231650318749899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267</v>
      </c>
      <c r="EK160" s="17">
        <f>EJ160*VLOOKUP('Données projet'!$B$15,Paramètres!$A$1:$I$89,3,0)*VLOOKUP('Données projet'!$B$15,Paramètres!$A$1:$I$89,5,0)</f>
        <v>241.58159999999998</v>
      </c>
      <c r="EL160" s="13">
        <f t="shared" si="179"/>
        <v>58.779689232021951</v>
      </c>
      <c r="EM160" s="20">
        <f t="shared" si="180"/>
        <v>523.12924541243819</v>
      </c>
      <c r="EN160" s="59">
        <f t="shared" si="128"/>
        <v>816.46257874577145</v>
      </c>
      <c r="EO160" s="59">
        <f ca="1">AVERAGE(OFFSET($EN$3,0,0,'Données projet'!$E$15+1,1))-AVERAGE(OFFSET($H$3,0,0,'Données projet'!$E$15+1,1))</f>
        <v>269.64423257646359</v>
      </c>
      <c r="EP160" s="59">
        <f t="shared" si="154"/>
        <v>161.0819079811821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32.900914756105976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32.900914756105976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349.00000000000017</v>
      </c>
      <c r="FF160" s="17">
        <f>FE160*VLOOKUP('Données projet'!$B$16,Paramètres!$A$1:$I$89,3,0)*VLOOKUP('Données projet'!$B$16,Paramètres!$A$1:$I$89,5,0)</f>
        <v>272.22000000000014</v>
      </c>
      <c r="FG160" s="13">
        <f t="shared" si="182"/>
        <v>65.320184547527205</v>
      </c>
      <c r="FH160" s="20">
        <f t="shared" si="183"/>
        <v>587.88248808694345</v>
      </c>
      <c r="FI160" s="59">
        <f t="shared" si="131"/>
        <v>881.21582142027682</v>
      </c>
      <c r="FJ160" s="59">
        <f ca="1">AVERAGE(OFFSET($FI$3,0,0,'Données projet'!$E$16+1,1))-AVERAGE(OFFSET($H$3,0,0,'Données projet'!$E$16+1,1))</f>
        <v>283.77864672734273</v>
      </c>
      <c r="FK160" s="59">
        <f t="shared" si="156"/>
        <v>270.94620935643866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15.473902034219702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15.473902034219702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319</v>
      </c>
      <c r="GA160" s="17">
        <f>FZ160*VLOOKUP('Données projet'!$B$17,Paramètres!$A$1:$I$89,3,0)*VLOOKUP('Données projet'!$B$17,Paramètres!$A$1:$I$89,5,0)</f>
        <v>308.53680000000003</v>
      </c>
      <c r="GB160" s="13">
        <f t="shared" si="185"/>
        <v>72.963171684496103</v>
      </c>
      <c r="GC160" s="20">
        <f t="shared" si="186"/>
        <v>664.4457840171641</v>
      </c>
      <c r="GD160" s="59">
        <f t="shared" si="134"/>
        <v>957.77911735049747</v>
      </c>
      <c r="GE160" s="59">
        <f ca="1">AVERAGE(OFFSET($GD$3,0,0,'Données projet'!$E$17+1,1))-AVERAGE(OFFSET($H$3,0,0,'Données projet'!$E$17+1,1))</f>
        <v>347.54503437087288</v>
      </c>
      <c r="GF160" s="59">
        <f t="shared" si="158"/>
        <v>340.05673244455954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11.413014630990119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11.413014630990119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735.00000000000011</v>
      </c>
      <c r="O161" s="13">
        <f>N161*VLOOKUP('Données projet'!$B$9,Paramètres!$A$1:$I$89,3,0)*VLOOKUP('Données projet'!$B$9,Paramètres!$A$1:$I$89,5,0)</f>
        <v>343.98</v>
      </c>
      <c r="P161" s="13">
        <f t="shared" si="141"/>
        <v>80.321681832084693</v>
      </c>
      <c r="Q161" s="20">
        <f t="shared" si="162"/>
        <v>738.9920958575475</v>
      </c>
      <c r="R161" s="59">
        <f t="shared" si="109"/>
        <v>1032.3254291908809</v>
      </c>
      <c r="S161" s="59">
        <f ca="1">AVERAGE(OFFSET($R$3,0,0,'Données projet'!$E$9+1,1))-AVERAGE(OFFSET($H$3,0,0,'Données projet'!$E$9+1,1))</f>
        <v>342.49944586217674</v>
      </c>
      <c r="T161" s="59">
        <f t="shared" si="142"/>
        <v>282.29766600872563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25.165575306404563</v>
      </c>
      <c r="AA161" s="21">
        <f>EXP(-LN(2)/25)*AA160+(1-EXP(-LN(2)/25))/(LN(2)/25)*Calculateur!V161*Calculateur!X161*VLOOKUP('Données projet'!$B$9,Paramètres!$A$1:$I$89,3,0)*0.475*44/12</f>
        <v>1.1525505033388261</v>
      </c>
      <c r="AB161" s="21">
        <f>EXP(-LN(2)/2)*AB160+(1-EXP(-LN(2)/2))/(LN(2)/2)*V161*Y161*VLOOKUP('Données projet'!$B$9,Paramètres!$A$1:$I$89,3,0)*0.475*44/12</f>
        <v>4.4882981205676447E-21</v>
      </c>
      <c r="AC161" s="22">
        <f t="shared" si="163"/>
        <v>26.318125809743389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739.99999999999966</v>
      </c>
      <c r="AJ161" s="13">
        <f>AI161*VLOOKUP('Données projet'!$B$10,Paramètres!$A$1:$I$89,3,0)*VLOOKUP('Données projet'!$B$10,Paramètres!$A$1:$I$89,5,0)</f>
        <v>413.65999999999985</v>
      </c>
      <c r="AK161" s="13">
        <f t="shared" si="164"/>
        <v>94.540585122244352</v>
      </c>
      <c r="AL161" s="20">
        <f t="shared" si="165"/>
        <v>885.11601908790863</v>
      </c>
      <c r="AM161" s="59">
        <f t="shared" si="113"/>
        <v>1178.4493524212419</v>
      </c>
      <c r="AN161" s="59">
        <f ca="1">AVERAGE(OFFSET($AM$3,0,0,'Données projet'!$E$10+1,1))-AVERAGE(OFFSET($H$3,0,0,'Données projet'!$E$10+1,1))</f>
        <v>490.96084572840579</v>
      </c>
      <c r="AO161" s="59">
        <f t="shared" si="144"/>
        <v>597.91658789908263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17.732468802126181</v>
      </c>
      <c r="AV161" s="21">
        <f>EXP(-LN(2)/25)*AV160+(1-EXP(-LN(2)/25))/(LN(2)/25)*Calculateur!AQ161*Calculateur!AS161*VLOOKUP('Données projet'!$B$10,Paramètres!$A$1:$I$89,3,0)*0.475*44/12</f>
        <v>1.6615613882695495</v>
      </c>
      <c r="AW161" s="21">
        <f>EXP(-LN(2)/2)*AW160+(1-EXP(-LN(2)/2))/(LN(2)/2)*AQ161*AT161*VLOOKUP('Données projet'!$B$10,Paramètres!$A$1:$I$89,3,0)*0.475*44/12</f>
        <v>4.610479569405318E-20</v>
      </c>
      <c r="AX161" s="21">
        <f t="shared" si="166"/>
        <v>19.394030190395732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213.00000000000003</v>
      </c>
      <c r="BE161" s="13">
        <f>BD161*VLOOKUP('Données projet'!$B$11,Paramètres!$A$1:$I$89,3,0)*VLOOKUP('Données projet'!$B$11,Paramètres!$A$1:$I$89,5,0)</f>
        <v>169.46280000000002</v>
      </c>
      <c r="BF161" s="13">
        <f t="shared" si="167"/>
        <v>42.969686502194378</v>
      </c>
      <c r="BG161" s="20">
        <f t="shared" si="168"/>
        <v>369.98658065798855</v>
      </c>
      <c r="BH161" s="59">
        <f t="shared" si="116"/>
        <v>663.31991399132187</v>
      </c>
      <c r="BI161" s="59">
        <f ca="1">AVERAGE(OFFSET($BH$3,0,0,'Données projet'!$E$11+1,1))-AVERAGE(OFFSET($H$3,0,0,'Données projet'!$E$11+1,1))</f>
        <v>167.80254365106839</v>
      </c>
      <c r="BJ161" s="59">
        <f t="shared" si="146"/>
        <v>167.42302164950172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7.152015349242042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7.152015349242042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669.99999999999989</v>
      </c>
      <c r="BZ161" s="13">
        <f>BY161*VLOOKUP('Données projet'!$B$12,Paramètres!$A$1:$I$89,3,0)*VLOOKUP('Données projet'!$B$12,Paramètres!$A$1:$I$89,5,0)</f>
        <v>330.97999999999996</v>
      </c>
      <c r="CA161" s="13">
        <f t="shared" si="170"/>
        <v>77.633451096966454</v>
      </c>
      <c r="CB161" s="20">
        <f t="shared" si="171"/>
        <v>711.66842732721636</v>
      </c>
      <c r="CC161" s="59">
        <f t="shared" si="119"/>
        <v>1005.0017606605497</v>
      </c>
      <c r="CD161" s="59">
        <f ca="1">AVERAGE(OFFSET($CC$3,0,0,'Données projet'!$E$12+1,1))-AVERAGE(OFFSET($H$3,0,0,'Données projet'!$E$12+1,1))</f>
        <v>322.06606384496587</v>
      </c>
      <c r="CE161" s="59">
        <f t="shared" si="148"/>
        <v>267.71713177624713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24.822717846852836</v>
      </c>
      <c r="CL161" s="21">
        <f>EXP(-LN(2)/25)*CL160+(1-EXP(-LN(2)/25))/(LN(2)/25)*Calculateur!CG161*Calculateur!CI161*VLOOKUP('Données projet'!$B$12,Paramètres!$A$1:$I$89,3,0)*0.475*44/12</f>
        <v>0.57812145352252509</v>
      </c>
      <c r="CM161" s="21">
        <f>EXP(-LN(2)/2)*CM160+(1-EXP(-LN(2)/2))/(LN(2)/2)*CG161*CJ161*VLOOKUP('Données projet'!$B$12,Paramètres!$A$1:$I$89,3,0)*0.475*44/12</f>
        <v>2.1440147450227456E-19</v>
      </c>
      <c r="CN161" s="22">
        <f t="shared" si="172"/>
        <v>25.40083930037536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401</v>
      </c>
      <c r="CU161" s="17">
        <f>CT161*VLOOKUP('Données projet'!$B$13,Paramètres!$A$1:$I$89,3,0)*VLOOKUP('Données projet'!$B$13,Paramètres!$A$1:$I$89,5,0)</f>
        <v>250.22399999999999</v>
      </c>
      <c r="CV161" s="13">
        <f t="shared" si="173"/>
        <v>60.633904580527918</v>
      </c>
      <c r="CW161" s="20">
        <f t="shared" si="174"/>
        <v>541.41085047775289</v>
      </c>
      <c r="CX161" s="59">
        <f t="shared" si="122"/>
        <v>834.74418381108626</v>
      </c>
      <c r="CY161" s="59">
        <f ca="1">AVERAGE(OFFSET($CX$3,0,0,'Données projet'!$E$13+1,1))-AVERAGE(OFFSET($H$3,0,0,'Données projet'!$E$13+1,1))</f>
        <v>269.77739619445515</v>
      </c>
      <c r="CZ161" s="59">
        <f t="shared" si="150"/>
        <v>347.56964743629885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10.995678346854721</v>
      </c>
      <c r="DG161" s="21">
        <f>EXP(-LN(2)/25)*DG160+(1-EXP(-LN(2)/25))/(LN(2)/25)*Calculateur!DB161*Calculateur!DD161*VLOOKUP('Données projet'!$B$13,Paramètres!$A$1:$I$89,3,0)*0.475*44/12</f>
        <v>2.6381260026274509</v>
      </c>
      <c r="DH161" s="21">
        <f>EXP(-LN(2)/2)*DH160+(1-EXP(-LN(2)/2))/(LN(2)/2)*DB161*DE161*VLOOKUP('Données projet'!$B$13,Paramètres!$A$1:$I$89,3,0)*0.475*44/12</f>
        <v>1.3464894361702923E-21</v>
      </c>
      <c r="DI161" s="22">
        <f t="shared" si="175"/>
        <v>13.633804349482173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669.99999999999989</v>
      </c>
      <c r="DP161" s="17">
        <f>DO161*VLOOKUP('Données projet'!$B$14,Paramètres!$A$1:$I$89,3,0)*VLOOKUP('Données projet'!$B$14,Paramètres!$A$1:$I$89,5,0)</f>
        <v>322.26999999999992</v>
      </c>
      <c r="DQ161" s="13">
        <f t="shared" si="176"/>
        <v>75.825476822885776</v>
      </c>
      <c r="DR161" s="20">
        <f t="shared" si="177"/>
        <v>693.34962213319261</v>
      </c>
      <c r="DS161" s="59">
        <f t="shared" si="125"/>
        <v>986.68295546652598</v>
      </c>
      <c r="DT161" s="59">
        <f ca="1">AVERAGE(OFFSET($DS$3,0,0,'Données projet'!$E$14+1,1))-AVERAGE(OFFSET($H$3,0,0,'Données projet'!$E$14+1,1))</f>
        <v>312.64506496298173</v>
      </c>
      <c r="DU161" s="59">
        <f t="shared" si="152"/>
        <v>259.97532509897508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24.169488429830412</v>
      </c>
      <c r="EB161" s="21">
        <f>EXP(-LN(2)/25)*EB160+(1-EXP(-LN(2)/25))/(LN(2)/25)*Calculateur!DW161*Calculateur!DY161*VLOOKUP('Données projet'!$B$14,Paramètres!$A$1:$I$89,3,0)*0.475*44/12</f>
        <v>0.56290773106140735</v>
      </c>
      <c r="EC161" s="21">
        <f>EXP(-LN(2)/2)*EC160+(1-EXP(-LN(2)/2))/(LN(2)/2)*DW161*DZ161*VLOOKUP('Données projet'!$B$14,Paramètres!$A$1:$I$89,3,0)*0.475*44/12</f>
        <v>2.0875933043642297E-19</v>
      </c>
      <c r="ED161" s="22">
        <f t="shared" si="178"/>
        <v>24.73239616089182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267</v>
      </c>
      <c r="EK161" s="17">
        <f>EJ161*VLOOKUP('Données projet'!$B$15,Paramètres!$A$1:$I$89,3,0)*VLOOKUP('Données projet'!$B$15,Paramètres!$A$1:$I$89,5,0)</f>
        <v>241.58159999999998</v>
      </c>
      <c r="EL161" s="13">
        <f t="shared" si="179"/>
        <v>58.779689232021951</v>
      </c>
      <c r="EM161" s="20">
        <f t="shared" si="180"/>
        <v>523.12924541243819</v>
      </c>
      <c r="EN161" s="59">
        <f t="shared" si="128"/>
        <v>816.46257874577145</v>
      </c>
      <c r="EO161" s="59">
        <f ca="1">AVERAGE(OFFSET($EN$3,0,0,'Données projet'!$E$15+1,1))-AVERAGE(OFFSET($H$3,0,0,'Données projet'!$E$15+1,1))</f>
        <v>269.64423257646359</v>
      </c>
      <c r="EP161" s="59">
        <f t="shared" si="154"/>
        <v>161.0819079811821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32.25574788531523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32.25574788531523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349.00000000000017</v>
      </c>
      <c r="FF161" s="17">
        <f>FE161*VLOOKUP('Données projet'!$B$16,Paramètres!$A$1:$I$89,3,0)*VLOOKUP('Données projet'!$B$16,Paramètres!$A$1:$I$89,5,0)</f>
        <v>272.22000000000014</v>
      </c>
      <c r="FG161" s="13">
        <f t="shared" si="182"/>
        <v>65.320184547527205</v>
      </c>
      <c r="FH161" s="20">
        <f t="shared" si="183"/>
        <v>587.88248808694345</v>
      </c>
      <c r="FI161" s="59">
        <f t="shared" si="131"/>
        <v>881.21582142027682</v>
      </c>
      <c r="FJ161" s="59">
        <f ca="1">AVERAGE(OFFSET($FI$3,0,0,'Données projet'!$E$16+1,1))-AVERAGE(OFFSET($H$3,0,0,'Données projet'!$E$16+1,1))</f>
        <v>283.77864672734273</v>
      </c>
      <c r="FK161" s="59">
        <f t="shared" si="156"/>
        <v>270.94620935643866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15.170468253476955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15.170468253476955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319</v>
      </c>
      <c r="GA161" s="17">
        <f>FZ161*VLOOKUP('Données projet'!$B$17,Paramètres!$A$1:$I$89,3,0)*VLOOKUP('Données projet'!$B$17,Paramètres!$A$1:$I$89,5,0)</f>
        <v>308.53680000000003</v>
      </c>
      <c r="GB161" s="13">
        <f t="shared" si="185"/>
        <v>72.963171684496103</v>
      </c>
      <c r="GC161" s="20">
        <f t="shared" si="186"/>
        <v>664.4457840171641</v>
      </c>
      <c r="GD161" s="59">
        <f t="shared" si="134"/>
        <v>957.77911735049747</v>
      </c>
      <c r="GE161" s="59">
        <f ca="1">AVERAGE(OFFSET($GD$3,0,0,'Données projet'!$E$17+1,1))-AVERAGE(OFFSET($H$3,0,0,'Données projet'!$E$17+1,1))</f>
        <v>347.54503437087288</v>
      </c>
      <c r="GF161" s="59">
        <f t="shared" si="158"/>
        <v>340.05673244455954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11.189212375327962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11.189212375327962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735.00000000000011</v>
      </c>
      <c r="O162" s="13">
        <f>N162*VLOOKUP('Données projet'!$B$9,Paramètres!$A$1:$I$89,3,0)*VLOOKUP('Données projet'!$B$9,Paramètres!$A$1:$I$89,5,0)</f>
        <v>343.98</v>
      </c>
      <c r="P162" s="13">
        <f t="shared" si="141"/>
        <v>80.321681832084693</v>
      </c>
      <c r="Q162" s="20">
        <f t="shared" si="162"/>
        <v>738.9920958575475</v>
      </c>
      <c r="R162" s="59">
        <f t="shared" si="109"/>
        <v>1032.3254291908809</v>
      </c>
      <c r="S162" s="59">
        <f ca="1">AVERAGE(OFFSET($R$3,0,0,'Données projet'!$E$9+1,1))-AVERAGE(OFFSET($H$3,0,0,'Données projet'!$E$9+1,1))</f>
        <v>342.49944586217674</v>
      </c>
      <c r="T162" s="59">
        <f t="shared" si="142"/>
        <v>282.29766600872563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24.672093724131269</v>
      </c>
      <c r="AA162" s="21">
        <f>EXP(-LN(2)/25)*AA161+(1-EXP(-LN(2)/25))/(LN(2)/25)*Calculateur!V162*Calculateur!X162*VLOOKUP('Données projet'!$B$9,Paramètres!$A$1:$I$89,3,0)*0.475*44/12</f>
        <v>1.1210339492150292</v>
      </c>
      <c r="AB162" s="21">
        <f>EXP(-LN(2)/2)*AB161+(1-EXP(-LN(2)/2))/(LN(2)/2)*V162*Y162*VLOOKUP('Données projet'!$B$9,Paramètres!$A$1:$I$89,3,0)*0.475*44/12</f>
        <v>3.173706037040218E-21</v>
      </c>
      <c r="AC162" s="22">
        <f t="shared" si="163"/>
        <v>25.793127673346298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739.99999999999966</v>
      </c>
      <c r="AJ162" s="13">
        <f>AI162*VLOOKUP('Données projet'!$B$10,Paramètres!$A$1:$I$89,3,0)*VLOOKUP('Données projet'!$B$10,Paramètres!$A$1:$I$89,5,0)</f>
        <v>413.65999999999985</v>
      </c>
      <c r="AK162" s="13">
        <f t="shared" si="164"/>
        <v>94.540585122244352</v>
      </c>
      <c r="AL162" s="20">
        <f t="shared" si="165"/>
        <v>885.11601908790863</v>
      </c>
      <c r="AM162" s="59">
        <f t="shared" si="113"/>
        <v>1178.4493524212419</v>
      </c>
      <c r="AN162" s="59">
        <f ca="1">AVERAGE(OFFSET($AM$3,0,0,'Données projet'!$E$10+1,1))-AVERAGE(OFFSET($H$3,0,0,'Données projet'!$E$10+1,1))</f>
        <v>490.96084572840579</v>
      </c>
      <c r="AO162" s="59">
        <f t="shared" si="144"/>
        <v>597.91658789908263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17.384745904654491</v>
      </c>
      <c r="AV162" s="21">
        <f>EXP(-LN(2)/25)*AV161+(1-EXP(-LN(2)/25))/(LN(2)/25)*Calculateur!AQ162*Calculateur!AS162*VLOOKUP('Données projet'!$B$10,Paramètres!$A$1:$I$89,3,0)*0.475*44/12</f>
        <v>1.6161259047296028</v>
      </c>
      <c r="AW162" s="21">
        <f>EXP(-LN(2)/2)*AW161+(1-EXP(-LN(2)/2))/(LN(2)/2)*AQ162*AT162*VLOOKUP('Données projet'!$B$10,Paramètres!$A$1:$I$89,3,0)*0.475*44/12</f>
        <v>3.260101368048534E-20</v>
      </c>
      <c r="AX162" s="21">
        <f t="shared" si="166"/>
        <v>19.000871809384094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213.00000000000003</v>
      </c>
      <c r="BE162" s="13">
        <f>BD162*VLOOKUP('Données projet'!$B$11,Paramètres!$A$1:$I$89,3,0)*VLOOKUP('Données projet'!$B$11,Paramètres!$A$1:$I$89,5,0)</f>
        <v>169.46280000000002</v>
      </c>
      <c r="BF162" s="13">
        <f t="shared" si="167"/>
        <v>42.969686502194378</v>
      </c>
      <c r="BG162" s="20">
        <f t="shared" si="168"/>
        <v>369.98658065798855</v>
      </c>
      <c r="BH162" s="59">
        <f t="shared" si="116"/>
        <v>663.31991399132187</v>
      </c>
      <c r="BI162" s="59">
        <f ca="1">AVERAGE(OFFSET($BH$3,0,0,'Données projet'!$E$11+1,1))-AVERAGE(OFFSET($H$3,0,0,'Données projet'!$E$11+1,1))</f>
        <v>167.80254365106839</v>
      </c>
      <c r="BJ162" s="59">
        <f t="shared" si="146"/>
        <v>167.42302164950172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7.0117686905420271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7.0117686905420271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669.99999999999989</v>
      </c>
      <c r="BZ162" s="13">
        <f>BY162*VLOOKUP('Données projet'!$B$12,Paramètres!$A$1:$I$89,3,0)*VLOOKUP('Données projet'!$B$12,Paramètres!$A$1:$I$89,5,0)</f>
        <v>330.97999999999996</v>
      </c>
      <c r="CA162" s="13">
        <f t="shared" si="170"/>
        <v>77.633451096966454</v>
      </c>
      <c r="CB162" s="20">
        <f t="shared" si="171"/>
        <v>711.66842732721636</v>
      </c>
      <c r="CC162" s="59">
        <f t="shared" si="119"/>
        <v>1005.0017606605497</v>
      </c>
      <c r="CD162" s="59">
        <f ca="1">AVERAGE(OFFSET($CC$3,0,0,'Données projet'!$E$12+1,1))-AVERAGE(OFFSET($H$3,0,0,'Données projet'!$E$12+1,1))</f>
        <v>322.06606384496587</v>
      </c>
      <c r="CE162" s="59">
        <f t="shared" si="148"/>
        <v>267.71713177624713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24.335959490238952</v>
      </c>
      <c r="CL162" s="21">
        <f>EXP(-LN(2)/25)*CL161+(1-EXP(-LN(2)/25))/(LN(2)/25)*Calculateur!CG162*Calculateur!CI162*VLOOKUP('Données projet'!$B$12,Paramètres!$A$1:$I$89,3,0)*0.475*44/12</f>
        <v>0.56231269197386569</v>
      </c>
      <c r="CM162" s="21">
        <f>EXP(-LN(2)/2)*CM161+(1-EXP(-LN(2)/2))/(LN(2)/2)*CG162*CJ162*VLOOKUP('Données projet'!$B$12,Paramètres!$A$1:$I$89,3,0)*0.475*44/12</f>
        <v>1.5160473651695301E-19</v>
      </c>
      <c r="CN162" s="22">
        <f t="shared" si="172"/>
        <v>24.898272182212818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401</v>
      </c>
      <c r="CU162" s="17">
        <f>CT162*VLOOKUP('Données projet'!$B$13,Paramètres!$A$1:$I$89,3,0)*VLOOKUP('Données projet'!$B$13,Paramètres!$A$1:$I$89,5,0)</f>
        <v>250.22399999999999</v>
      </c>
      <c r="CV162" s="13">
        <f t="shared" si="173"/>
        <v>60.633904580527918</v>
      </c>
      <c r="CW162" s="20">
        <f t="shared" si="174"/>
        <v>541.41085047775289</v>
      </c>
      <c r="CX162" s="59">
        <f t="shared" si="122"/>
        <v>834.74418381108626</v>
      </c>
      <c r="CY162" s="59">
        <f ca="1">AVERAGE(OFFSET($CX$3,0,0,'Données projet'!$E$13+1,1))-AVERAGE(OFFSET($H$3,0,0,'Données projet'!$E$13+1,1))</f>
        <v>269.77739619445515</v>
      </c>
      <c r="CZ162" s="59">
        <f t="shared" si="150"/>
        <v>347.56964743629885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10.78005980117446</v>
      </c>
      <c r="DG162" s="21">
        <f>EXP(-LN(2)/25)*DG161+(1-EXP(-LN(2)/25))/(LN(2)/25)*Calculateur!DB162*Calculateur!DD162*VLOOKUP('Données projet'!$B$13,Paramètres!$A$1:$I$89,3,0)*0.475*44/12</f>
        <v>2.5659863083525862</v>
      </c>
      <c r="DH162" s="21">
        <f>EXP(-LN(2)/2)*DH161+(1-EXP(-LN(2)/2))/(LN(2)/2)*DB162*DE162*VLOOKUP('Données projet'!$B$13,Paramètres!$A$1:$I$89,3,0)*0.475*44/12</f>
        <v>9.5211181111206458E-22</v>
      </c>
      <c r="DI162" s="22">
        <f t="shared" si="175"/>
        <v>13.346046109527046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669.99999999999989</v>
      </c>
      <c r="DP162" s="17">
        <f>DO162*VLOOKUP('Données projet'!$B$14,Paramètres!$A$1:$I$89,3,0)*VLOOKUP('Données projet'!$B$14,Paramètres!$A$1:$I$89,5,0)</f>
        <v>322.26999999999992</v>
      </c>
      <c r="DQ162" s="13">
        <f t="shared" si="176"/>
        <v>75.825476822885776</v>
      </c>
      <c r="DR162" s="20">
        <f t="shared" si="177"/>
        <v>693.34962213319261</v>
      </c>
      <c r="DS162" s="59">
        <f t="shared" si="125"/>
        <v>986.68295546652598</v>
      </c>
      <c r="DT162" s="59">
        <f ca="1">AVERAGE(OFFSET($DS$3,0,0,'Données projet'!$E$14+1,1))-AVERAGE(OFFSET($H$3,0,0,'Données projet'!$E$14+1,1))</f>
        <v>312.64506496298173</v>
      </c>
      <c r="DU162" s="59">
        <f t="shared" si="152"/>
        <v>259.97532509897508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23.695539503653734</v>
      </c>
      <c r="EB162" s="21">
        <f>EXP(-LN(2)/25)*EB161+(1-EXP(-LN(2)/25))/(LN(2)/25)*Calculateur!DW162*Calculateur!DY162*VLOOKUP('Données projet'!$B$14,Paramètres!$A$1:$I$89,3,0)*0.475*44/12</f>
        <v>0.54751498955350208</v>
      </c>
      <c r="EC162" s="21">
        <f>EXP(-LN(2)/2)*EC161+(1-EXP(-LN(2)/2))/(LN(2)/2)*DW162*DZ162*VLOOKUP('Données projet'!$B$14,Paramètres!$A$1:$I$89,3,0)*0.475*44/12</f>
        <v>1.476151381875579E-19</v>
      </c>
      <c r="ED162" s="22">
        <f t="shared" si="178"/>
        <v>24.243054493207236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267</v>
      </c>
      <c r="EK162" s="17">
        <f>EJ162*VLOOKUP('Données projet'!$B$15,Paramètres!$A$1:$I$89,3,0)*VLOOKUP('Données projet'!$B$15,Paramètres!$A$1:$I$89,5,0)</f>
        <v>241.58159999999998</v>
      </c>
      <c r="EL162" s="13">
        <f t="shared" si="179"/>
        <v>58.779689232021951</v>
      </c>
      <c r="EM162" s="20">
        <f t="shared" si="180"/>
        <v>523.12924541243819</v>
      </c>
      <c r="EN162" s="59">
        <f t="shared" si="128"/>
        <v>816.46257874577145</v>
      </c>
      <c r="EO162" s="59">
        <f ca="1">AVERAGE(OFFSET($EN$3,0,0,'Données projet'!$E$15+1,1))-AVERAGE(OFFSET($H$3,0,0,'Données projet'!$E$15+1,1))</f>
        <v>269.64423257646359</v>
      </c>
      <c r="EP162" s="59">
        <f t="shared" si="154"/>
        <v>161.0819079811821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31.623232343347755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31.623232343347755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349.00000000000017</v>
      </c>
      <c r="FF162" s="17">
        <f>FE162*VLOOKUP('Données projet'!$B$16,Paramètres!$A$1:$I$89,3,0)*VLOOKUP('Données projet'!$B$16,Paramètres!$A$1:$I$89,5,0)</f>
        <v>272.22000000000014</v>
      </c>
      <c r="FG162" s="13">
        <f t="shared" si="182"/>
        <v>65.320184547527205</v>
      </c>
      <c r="FH162" s="20">
        <f t="shared" si="183"/>
        <v>587.88248808694345</v>
      </c>
      <c r="FI162" s="59">
        <f t="shared" si="131"/>
        <v>881.21582142027682</v>
      </c>
      <c r="FJ162" s="59">
        <f ca="1">AVERAGE(OFFSET($FI$3,0,0,'Données projet'!$E$16+1,1))-AVERAGE(OFFSET($H$3,0,0,'Données projet'!$E$16+1,1))</f>
        <v>283.77864672734273</v>
      </c>
      <c r="FK162" s="59">
        <f t="shared" si="156"/>
        <v>270.94620935643866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14.87298462409824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14.87298462409824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319</v>
      </c>
      <c r="GA162" s="17">
        <f>FZ162*VLOOKUP('Données projet'!$B$17,Paramètres!$A$1:$I$89,3,0)*VLOOKUP('Données projet'!$B$17,Paramètres!$A$1:$I$89,5,0)</f>
        <v>308.53680000000003</v>
      </c>
      <c r="GB162" s="13">
        <f t="shared" si="185"/>
        <v>72.963171684496103</v>
      </c>
      <c r="GC162" s="20">
        <f t="shared" si="186"/>
        <v>664.4457840171641</v>
      </c>
      <c r="GD162" s="59">
        <f t="shared" si="134"/>
        <v>957.77911735049747</v>
      </c>
      <c r="GE162" s="59">
        <f ca="1">AVERAGE(OFFSET($GD$3,0,0,'Données projet'!$E$17+1,1))-AVERAGE(OFFSET($H$3,0,0,'Données projet'!$E$17+1,1))</f>
        <v>347.54503437087288</v>
      </c>
      <c r="GF162" s="59">
        <f t="shared" si="158"/>
        <v>340.05673244455954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10.969798745393442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10.969798745393442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735.00000000000011</v>
      </c>
      <c r="O163" s="13">
        <f>N163*VLOOKUP('Données projet'!$B$9,Paramètres!$A$1:$I$89,3,0)*VLOOKUP('Données projet'!$B$9,Paramètres!$A$1:$I$89,5,0)</f>
        <v>343.98</v>
      </c>
      <c r="P163" s="13">
        <f t="shared" si="141"/>
        <v>80.321681832084693</v>
      </c>
      <c r="Q163" s="20">
        <f t="shared" si="162"/>
        <v>738.9920958575475</v>
      </c>
      <c r="R163" s="59">
        <f t="shared" si="109"/>
        <v>1032.3254291908809</v>
      </c>
      <c r="S163" s="59">
        <f ca="1">AVERAGE(OFFSET($R$3,0,0,'Données projet'!$E$9+1,1))-AVERAGE(OFFSET($H$3,0,0,'Données projet'!$E$9+1,1))</f>
        <v>342.49944586217674</v>
      </c>
      <c r="T163" s="59">
        <f t="shared" si="142"/>
        <v>282.29766600872563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24.188289014692312</v>
      </c>
      <c r="AA163" s="21">
        <f>EXP(-LN(2)/25)*AA162+(1-EXP(-LN(2)/25))/(LN(2)/25)*Calculateur!V163*Calculateur!X163*VLOOKUP('Données projet'!$B$9,Paramètres!$A$1:$I$89,3,0)*0.475*44/12</f>
        <v>1.090379216921131</v>
      </c>
      <c r="AB163" s="21">
        <f>EXP(-LN(2)/2)*AB162+(1-EXP(-LN(2)/2))/(LN(2)/2)*V163*Y163*VLOOKUP('Données projet'!$B$9,Paramètres!$A$1:$I$89,3,0)*0.475*44/12</f>
        <v>2.2441490602838223E-21</v>
      </c>
      <c r="AC163" s="22">
        <f t="shared" si="163"/>
        <v>25.278668231613445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739.99999999999966</v>
      </c>
      <c r="AJ163" s="13">
        <f>AI163*VLOOKUP('Données projet'!$B$10,Paramètres!$A$1:$I$89,3,0)*VLOOKUP('Données projet'!$B$10,Paramètres!$A$1:$I$89,5,0)</f>
        <v>413.65999999999985</v>
      </c>
      <c r="AK163" s="13">
        <f t="shared" si="164"/>
        <v>94.540585122244352</v>
      </c>
      <c r="AL163" s="20">
        <f t="shared" si="165"/>
        <v>885.11601908790863</v>
      </c>
      <c r="AM163" s="59">
        <f t="shared" si="113"/>
        <v>1178.4493524212419</v>
      </c>
      <c r="AN163" s="59">
        <f ca="1">AVERAGE(OFFSET($AM$3,0,0,'Données projet'!$E$10+1,1))-AVERAGE(OFFSET($H$3,0,0,'Données projet'!$E$10+1,1))</f>
        <v>490.96084572840579</v>
      </c>
      <c r="AO163" s="59">
        <f t="shared" si="144"/>
        <v>597.91658789908263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17.043841641112195</v>
      </c>
      <c r="AV163" s="21">
        <f>EXP(-LN(2)/25)*AV162+(1-EXP(-LN(2)/25))/(LN(2)/25)*Calculateur!AQ163*Calculateur!AS163*VLOOKUP('Données projet'!$B$10,Paramètres!$A$1:$I$89,3,0)*0.475*44/12</f>
        <v>1.5719328568764042</v>
      </c>
      <c r="AW163" s="21">
        <f>EXP(-LN(2)/2)*AW162+(1-EXP(-LN(2)/2))/(LN(2)/2)*AQ163*AT163*VLOOKUP('Données projet'!$B$10,Paramètres!$A$1:$I$89,3,0)*0.475*44/12</f>
        <v>2.305239784702659E-20</v>
      </c>
      <c r="AX163" s="21">
        <f t="shared" si="166"/>
        <v>18.6157744979886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213.00000000000003</v>
      </c>
      <c r="BE163" s="13">
        <f>BD163*VLOOKUP('Données projet'!$B$11,Paramètres!$A$1:$I$89,3,0)*VLOOKUP('Données projet'!$B$11,Paramètres!$A$1:$I$89,5,0)</f>
        <v>169.46280000000002</v>
      </c>
      <c r="BF163" s="13">
        <f t="shared" si="167"/>
        <v>42.969686502194378</v>
      </c>
      <c r="BG163" s="20">
        <f t="shared" si="168"/>
        <v>369.98658065798855</v>
      </c>
      <c r="BH163" s="59">
        <f t="shared" si="116"/>
        <v>663.31991399132187</v>
      </c>
      <c r="BI163" s="59">
        <f ca="1">AVERAGE(OFFSET($BH$3,0,0,'Données projet'!$E$11+1,1))-AVERAGE(OFFSET($H$3,0,0,'Données projet'!$E$11+1,1))</f>
        <v>167.80254365106839</v>
      </c>
      <c r="BJ163" s="59">
        <f t="shared" si="146"/>
        <v>167.42302164950172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6.874272183277105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6.874272183277105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669.99999999999989</v>
      </c>
      <c r="BZ163" s="13">
        <f>BY163*VLOOKUP('Données projet'!$B$12,Paramètres!$A$1:$I$89,3,0)*VLOOKUP('Données projet'!$B$12,Paramètres!$A$1:$I$89,5,0)</f>
        <v>330.97999999999996</v>
      </c>
      <c r="CA163" s="13">
        <f t="shared" si="170"/>
        <v>77.633451096966454</v>
      </c>
      <c r="CB163" s="20">
        <f t="shared" si="171"/>
        <v>711.66842732721636</v>
      </c>
      <c r="CC163" s="59">
        <f t="shared" si="119"/>
        <v>1005.0017606605497</v>
      </c>
      <c r="CD163" s="59">
        <f ca="1">AVERAGE(OFFSET($CC$3,0,0,'Données projet'!$E$12+1,1))-AVERAGE(OFFSET($H$3,0,0,'Données projet'!$E$12+1,1))</f>
        <v>322.06606384496587</v>
      </c>
      <c r="CE163" s="59">
        <f t="shared" si="148"/>
        <v>267.71713177624713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23.858746168104986</v>
      </c>
      <c r="CL163" s="21">
        <f>EXP(-LN(2)/25)*CL162+(1-EXP(-LN(2)/25))/(LN(2)/25)*Calculateur!CG163*Calculateur!CI163*VLOOKUP('Données projet'!$B$12,Paramètres!$A$1:$I$89,3,0)*0.475*44/12</f>
        <v>0.54693622184110102</v>
      </c>
      <c r="CM163" s="21">
        <f>EXP(-LN(2)/2)*CM162+(1-EXP(-LN(2)/2))/(LN(2)/2)*CG163*CJ163*VLOOKUP('Données projet'!$B$12,Paramètres!$A$1:$I$89,3,0)*0.475*44/12</f>
        <v>1.0720073725113729E-19</v>
      </c>
      <c r="CN163" s="22">
        <f t="shared" si="172"/>
        <v>24.405682389946087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401</v>
      </c>
      <c r="CU163" s="17">
        <f>CT163*VLOOKUP('Données projet'!$B$13,Paramètres!$A$1:$I$89,3,0)*VLOOKUP('Données projet'!$B$13,Paramètres!$A$1:$I$89,5,0)</f>
        <v>250.22399999999999</v>
      </c>
      <c r="CV163" s="13">
        <f t="shared" si="173"/>
        <v>60.633904580527918</v>
      </c>
      <c r="CW163" s="20">
        <f t="shared" si="174"/>
        <v>541.41085047775289</v>
      </c>
      <c r="CX163" s="59">
        <f t="shared" si="122"/>
        <v>834.74418381108626</v>
      </c>
      <c r="CY163" s="59">
        <f ca="1">AVERAGE(OFFSET($CX$3,0,0,'Données projet'!$E$13+1,1))-AVERAGE(OFFSET($H$3,0,0,'Données projet'!$E$13+1,1))</f>
        <v>269.77739619445515</v>
      </c>
      <c r="CZ163" s="59">
        <f t="shared" si="150"/>
        <v>347.56964743629885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10.568669403660662</v>
      </c>
      <c r="DG163" s="21">
        <f>EXP(-LN(2)/25)*DG162+(1-EXP(-LN(2)/25))/(LN(2)/25)*Calculateur!DB163*Calculateur!DD163*VLOOKUP('Données projet'!$B$13,Paramètres!$A$1:$I$89,3,0)*0.475*44/12</f>
        <v>2.4958192778113295</v>
      </c>
      <c r="DH163" s="21">
        <f>EXP(-LN(2)/2)*DH162+(1-EXP(-LN(2)/2))/(LN(2)/2)*DB163*DE163*VLOOKUP('Données projet'!$B$13,Paramètres!$A$1:$I$89,3,0)*0.475*44/12</f>
        <v>6.7324471808514613E-22</v>
      </c>
      <c r="DI163" s="22">
        <f t="shared" si="175"/>
        <v>13.064488681471992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669.99999999999989</v>
      </c>
      <c r="DP163" s="17">
        <f>DO163*VLOOKUP('Données projet'!$B$14,Paramètres!$A$1:$I$89,3,0)*VLOOKUP('Données projet'!$B$14,Paramètres!$A$1:$I$89,5,0)</f>
        <v>322.26999999999992</v>
      </c>
      <c r="DQ163" s="13">
        <f t="shared" si="176"/>
        <v>75.825476822885776</v>
      </c>
      <c r="DR163" s="20">
        <f t="shared" si="177"/>
        <v>693.34962213319261</v>
      </c>
      <c r="DS163" s="59">
        <f t="shared" si="125"/>
        <v>986.68295546652598</v>
      </c>
      <c r="DT163" s="59">
        <f ca="1">AVERAGE(OFFSET($DS$3,0,0,'Données projet'!$E$14+1,1))-AVERAGE(OFFSET($H$3,0,0,'Données projet'!$E$14+1,1))</f>
        <v>312.64506496298173</v>
      </c>
      <c r="DU163" s="59">
        <f t="shared" si="152"/>
        <v>259.97532509897508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23.230884426839079</v>
      </c>
      <c r="EB163" s="21">
        <f>EXP(-LN(2)/25)*EB162+(1-EXP(-LN(2)/25))/(LN(2)/25)*Calculateur!DW163*Calculateur!DY163*VLOOKUP('Données projet'!$B$14,Paramètres!$A$1:$I$89,3,0)*0.475*44/12</f>
        <v>0.53254316337159968</v>
      </c>
      <c r="EC163" s="21">
        <f>EXP(-LN(2)/2)*EC162+(1-EXP(-LN(2)/2))/(LN(2)/2)*DW163*DZ163*VLOOKUP('Données projet'!$B$14,Paramètres!$A$1:$I$89,3,0)*0.475*44/12</f>
        <v>1.0437966521821148E-19</v>
      </c>
      <c r="ED163" s="22">
        <f t="shared" si="178"/>
        <v>23.763427590210679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267</v>
      </c>
      <c r="EK163" s="17">
        <f>EJ163*VLOOKUP('Données projet'!$B$15,Paramètres!$A$1:$I$89,3,0)*VLOOKUP('Données projet'!$B$15,Paramètres!$A$1:$I$89,5,0)</f>
        <v>241.58159999999998</v>
      </c>
      <c r="EL163" s="13">
        <f t="shared" si="179"/>
        <v>58.779689232021951</v>
      </c>
      <c r="EM163" s="20">
        <f t="shared" si="180"/>
        <v>523.12924541243819</v>
      </c>
      <c r="EN163" s="59">
        <f t="shared" si="128"/>
        <v>816.46257874577145</v>
      </c>
      <c r="EO163" s="59">
        <f ca="1">AVERAGE(OFFSET($EN$3,0,0,'Données projet'!$E$15+1,1))-AVERAGE(OFFSET($H$3,0,0,'Données projet'!$E$15+1,1))</f>
        <v>269.64423257646359</v>
      </c>
      <c r="EP163" s="59">
        <f t="shared" si="154"/>
        <v>161.0819079811821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31.003120045361879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31.003120045361879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349.00000000000017</v>
      </c>
      <c r="FF163" s="17">
        <f>FE163*VLOOKUP('Données projet'!$B$16,Paramètres!$A$1:$I$89,3,0)*VLOOKUP('Données projet'!$B$16,Paramètres!$A$1:$I$89,5,0)</f>
        <v>272.22000000000014</v>
      </c>
      <c r="FG163" s="13">
        <f t="shared" si="182"/>
        <v>65.320184547527205</v>
      </c>
      <c r="FH163" s="20">
        <f t="shared" si="183"/>
        <v>587.88248808694345</v>
      </c>
      <c r="FI163" s="59">
        <f t="shared" si="131"/>
        <v>881.21582142027682</v>
      </c>
      <c r="FJ163" s="59">
        <f ca="1">AVERAGE(OFFSET($FI$3,0,0,'Données projet'!$E$16+1,1))-AVERAGE(OFFSET($H$3,0,0,'Données projet'!$E$16+1,1))</f>
        <v>283.77864672734273</v>
      </c>
      <c r="FK163" s="59">
        <f t="shared" si="156"/>
        <v>270.94620935643866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14.581334467244545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14.581334467244545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319</v>
      </c>
      <c r="GA163" s="17">
        <f>FZ163*VLOOKUP('Données projet'!$B$17,Paramètres!$A$1:$I$89,3,0)*VLOOKUP('Données projet'!$B$17,Paramètres!$A$1:$I$89,5,0)</f>
        <v>308.53680000000003</v>
      </c>
      <c r="GB163" s="13">
        <f t="shared" si="185"/>
        <v>72.963171684496103</v>
      </c>
      <c r="GC163" s="20">
        <f t="shared" si="186"/>
        <v>664.4457840171641</v>
      </c>
      <c r="GD163" s="59">
        <f t="shared" si="134"/>
        <v>957.77911735049747</v>
      </c>
      <c r="GE163" s="59">
        <f ca="1">AVERAGE(OFFSET($GD$3,0,0,'Données projet'!$E$17+1,1))-AVERAGE(OFFSET($H$3,0,0,'Données projet'!$E$17+1,1))</f>
        <v>347.54503437087288</v>
      </c>
      <c r="GF163" s="59">
        <f t="shared" si="158"/>
        <v>340.05673244455954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10.754687682912838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10.754687682912838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735.00000000000011</v>
      </c>
      <c r="O164" s="13">
        <f>N164*VLOOKUP('Données projet'!$B$9,Paramètres!$A$1:$I$89,3,0)*VLOOKUP('Données projet'!$B$9,Paramètres!$A$1:$I$89,5,0)</f>
        <v>343.98</v>
      </c>
      <c r="P164" s="13">
        <f t="shared" si="141"/>
        <v>80.321681832084693</v>
      </c>
      <c r="Q164" s="20">
        <f t="shared" si="162"/>
        <v>738.9920958575475</v>
      </c>
      <c r="R164" s="59">
        <f t="shared" si="109"/>
        <v>1032.3254291908809</v>
      </c>
      <c r="S164" s="59">
        <f ca="1">AVERAGE(OFFSET($R$3,0,0,'Données projet'!$E$9+1,1))-AVERAGE(OFFSET($H$3,0,0,'Données projet'!$E$9+1,1))</f>
        <v>342.49944586217674</v>
      </c>
      <c r="T164" s="59">
        <f t="shared" si="142"/>
        <v>282.29766600872563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23.713971420513719</v>
      </c>
      <c r="AA164" s="21">
        <f>EXP(-LN(2)/25)*AA163+(1-EXP(-LN(2)/25))/(LN(2)/25)*Calculateur!V164*Calculateur!X164*VLOOKUP('Données projet'!$B$9,Paramètres!$A$1:$I$89,3,0)*0.475*44/12</f>
        <v>1.0605627398938717</v>
      </c>
      <c r="AB164" s="21">
        <f>EXP(-LN(2)/2)*AB163+(1-EXP(-LN(2)/2))/(LN(2)/2)*V164*Y164*VLOOKUP('Données projet'!$B$9,Paramètres!$A$1:$I$89,3,0)*0.475*44/12</f>
        <v>1.586853018520109E-21</v>
      </c>
      <c r="AC164" s="22">
        <f t="shared" si="163"/>
        <v>24.77453416040759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739.99999999999966</v>
      </c>
      <c r="AJ164" s="13">
        <f>AI164*VLOOKUP('Données projet'!$B$10,Paramètres!$A$1:$I$89,3,0)*VLOOKUP('Données projet'!$B$10,Paramètres!$A$1:$I$89,5,0)</f>
        <v>413.65999999999985</v>
      </c>
      <c r="AK164" s="13">
        <f t="shared" si="164"/>
        <v>94.540585122244352</v>
      </c>
      <c r="AL164" s="20">
        <f t="shared" si="165"/>
        <v>885.11601908790863</v>
      </c>
      <c r="AM164" s="59">
        <f t="shared" si="113"/>
        <v>1178.4493524212419</v>
      </c>
      <c r="AN164" s="59">
        <f ca="1">AVERAGE(OFFSET($AM$3,0,0,'Données projet'!$E$10+1,1))-AVERAGE(OFFSET($H$3,0,0,'Données projet'!$E$10+1,1))</f>
        <v>490.96084572840579</v>
      </c>
      <c r="AO164" s="59">
        <f t="shared" si="144"/>
        <v>597.91658789908263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16.709622302246895</v>
      </c>
      <c r="AV164" s="21">
        <f>EXP(-LN(2)/25)*AV163+(1-EXP(-LN(2)/25))/(LN(2)/25)*Calculateur!AQ164*Calculateur!AS164*VLOOKUP('Données projet'!$B$10,Paramètres!$A$1:$I$89,3,0)*0.475*44/12</f>
        <v>1.5289482702407626</v>
      </c>
      <c r="AW164" s="21">
        <f>EXP(-LN(2)/2)*AW163+(1-EXP(-LN(2)/2))/(LN(2)/2)*AQ164*AT164*VLOOKUP('Données projet'!$B$10,Paramètres!$A$1:$I$89,3,0)*0.475*44/12</f>
        <v>1.630050684024267E-20</v>
      </c>
      <c r="AX164" s="21">
        <f t="shared" si="166"/>
        <v>18.238570572487657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213.00000000000003</v>
      </c>
      <c r="BE164" s="13">
        <f>BD164*VLOOKUP('Données projet'!$B$11,Paramètres!$A$1:$I$89,3,0)*VLOOKUP('Données projet'!$B$11,Paramètres!$A$1:$I$89,5,0)</f>
        <v>169.46280000000002</v>
      </c>
      <c r="BF164" s="13">
        <f t="shared" si="167"/>
        <v>42.969686502194378</v>
      </c>
      <c r="BG164" s="20">
        <f t="shared" si="168"/>
        <v>369.98658065798855</v>
      </c>
      <c r="BH164" s="59">
        <f t="shared" si="116"/>
        <v>663.31991399132187</v>
      </c>
      <c r="BI164" s="59">
        <f ca="1">AVERAGE(OFFSET($BH$3,0,0,'Données projet'!$E$11+1,1))-AVERAGE(OFFSET($H$3,0,0,'Données projet'!$E$11+1,1))</f>
        <v>167.80254365106839</v>
      </c>
      <c r="BJ164" s="59">
        <f t="shared" si="146"/>
        <v>167.42302164950172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6.7394718986550588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6.7394718986550588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669.99999999999989</v>
      </c>
      <c r="BZ164" s="13">
        <f>BY164*VLOOKUP('Données projet'!$B$12,Paramètres!$A$1:$I$89,3,0)*VLOOKUP('Données projet'!$B$12,Paramètres!$A$1:$I$89,5,0)</f>
        <v>330.97999999999996</v>
      </c>
      <c r="CA164" s="13">
        <f t="shared" si="170"/>
        <v>77.633451096966454</v>
      </c>
      <c r="CB164" s="20">
        <f t="shared" si="171"/>
        <v>711.66842732721636</v>
      </c>
      <c r="CC164" s="59">
        <f t="shared" si="119"/>
        <v>1005.0017606605497</v>
      </c>
      <c r="CD164" s="59">
        <f ca="1">AVERAGE(OFFSET($CC$3,0,0,'Données projet'!$E$12+1,1))-AVERAGE(OFFSET($H$3,0,0,'Données projet'!$E$12+1,1))</f>
        <v>322.06606384496587</v>
      </c>
      <c r="CE164" s="59">
        <f t="shared" si="148"/>
        <v>267.71713177624713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23.390890708146681</v>
      </c>
      <c r="CL164" s="21">
        <f>EXP(-LN(2)/25)*CL163+(1-EXP(-LN(2)/25))/(LN(2)/25)*Calculateur!CG164*Calculateur!CI164*VLOOKUP('Données projet'!$B$12,Paramètres!$A$1:$I$89,3,0)*0.475*44/12</f>
        <v>0.53198022209273021</v>
      </c>
      <c r="CM164" s="21">
        <f>EXP(-LN(2)/2)*CM163+(1-EXP(-LN(2)/2))/(LN(2)/2)*CG164*CJ164*VLOOKUP('Données projet'!$B$12,Paramètres!$A$1:$I$89,3,0)*0.475*44/12</f>
        <v>7.5802368258476517E-20</v>
      </c>
      <c r="CN164" s="22">
        <f t="shared" si="172"/>
        <v>23.922870930239412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401</v>
      </c>
      <c r="CU164" s="17">
        <f>CT164*VLOOKUP('Données projet'!$B$13,Paramètres!$A$1:$I$89,3,0)*VLOOKUP('Données projet'!$B$13,Paramètres!$A$1:$I$89,5,0)</f>
        <v>250.22399999999999</v>
      </c>
      <c r="CV164" s="13">
        <f t="shared" si="173"/>
        <v>60.633904580527918</v>
      </c>
      <c r="CW164" s="20">
        <f t="shared" si="174"/>
        <v>541.41085047775289</v>
      </c>
      <c r="CX164" s="59">
        <f t="shared" si="122"/>
        <v>834.74418381108626</v>
      </c>
      <c r="CY164" s="59">
        <f ca="1">AVERAGE(OFFSET($CX$3,0,0,'Données projet'!$E$13+1,1))-AVERAGE(OFFSET($H$3,0,0,'Données projet'!$E$13+1,1))</f>
        <v>269.77739619445515</v>
      </c>
      <c r="CZ164" s="59">
        <f t="shared" si="150"/>
        <v>347.56964743629885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10.361424242906699</v>
      </c>
      <c r="DG164" s="21">
        <f>EXP(-LN(2)/25)*DG163+(1-EXP(-LN(2)/25))/(LN(2)/25)*Calculateur!DB164*Calculateur!DD164*VLOOKUP('Données projet'!$B$13,Paramètres!$A$1:$I$89,3,0)*0.475*44/12</f>
        <v>2.427570968410147</v>
      </c>
      <c r="DH164" s="21">
        <f>EXP(-LN(2)/2)*DH163+(1-EXP(-LN(2)/2))/(LN(2)/2)*DB164*DE164*VLOOKUP('Données projet'!$B$13,Paramètres!$A$1:$I$89,3,0)*0.475*44/12</f>
        <v>4.7605590555603229E-22</v>
      </c>
      <c r="DI164" s="22">
        <f t="shared" si="175"/>
        <v>12.788995211316845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669.99999999999989</v>
      </c>
      <c r="DP164" s="17">
        <f>DO164*VLOOKUP('Données projet'!$B$14,Paramètres!$A$1:$I$89,3,0)*VLOOKUP('Données projet'!$B$14,Paramètres!$A$1:$I$89,5,0)</f>
        <v>322.26999999999992</v>
      </c>
      <c r="DQ164" s="13">
        <f t="shared" si="176"/>
        <v>75.825476822885776</v>
      </c>
      <c r="DR164" s="20">
        <f t="shared" si="177"/>
        <v>693.34962213319261</v>
      </c>
      <c r="DS164" s="59">
        <f t="shared" si="125"/>
        <v>986.68295546652598</v>
      </c>
      <c r="DT164" s="59">
        <f ca="1">AVERAGE(OFFSET($DS$3,0,0,'Données projet'!$E$14+1,1))-AVERAGE(OFFSET($H$3,0,0,'Données projet'!$E$14+1,1))</f>
        <v>312.64506496298173</v>
      </c>
      <c r="DU164" s="59">
        <f t="shared" si="152"/>
        <v>259.97532509897508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22.775340952669151</v>
      </c>
      <c r="EB164" s="21">
        <f>EXP(-LN(2)/25)*EB163+(1-EXP(-LN(2)/25))/(LN(2)/25)*Calculateur!DW164*Calculateur!DY164*VLOOKUP('Données projet'!$B$14,Paramètres!$A$1:$I$89,3,0)*0.475*44/12</f>
        <v>0.51798074256397542</v>
      </c>
      <c r="EC164" s="21">
        <f>EXP(-LN(2)/2)*EC163+(1-EXP(-LN(2)/2))/(LN(2)/2)*DW164*DZ164*VLOOKUP('Données projet'!$B$14,Paramètres!$A$1:$I$89,3,0)*0.475*44/12</f>
        <v>7.3807569093778952E-20</v>
      </c>
      <c r="ED164" s="22">
        <f t="shared" si="178"/>
        <v>23.293321695233125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267</v>
      </c>
      <c r="EK164" s="17">
        <f>EJ164*VLOOKUP('Données projet'!$B$15,Paramètres!$A$1:$I$89,3,0)*VLOOKUP('Données projet'!$B$15,Paramètres!$A$1:$I$89,5,0)</f>
        <v>241.58159999999998</v>
      </c>
      <c r="EL164" s="13">
        <f t="shared" si="179"/>
        <v>58.779689232021951</v>
      </c>
      <c r="EM164" s="20">
        <f t="shared" si="180"/>
        <v>523.12924541243819</v>
      </c>
      <c r="EN164" s="59">
        <f t="shared" si="128"/>
        <v>816.46257874577145</v>
      </c>
      <c r="EO164" s="59">
        <f ca="1">AVERAGE(OFFSET($EN$3,0,0,'Données projet'!$E$15+1,1))-AVERAGE(OFFSET($H$3,0,0,'Données projet'!$E$15+1,1))</f>
        <v>269.64423257646359</v>
      </c>
      <c r="EP164" s="59">
        <f t="shared" si="154"/>
        <v>161.0819079811821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30.395167771308348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30.395167771308348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349.00000000000017</v>
      </c>
      <c r="FF164" s="17">
        <f>FE164*VLOOKUP('Données projet'!$B$16,Paramètres!$A$1:$I$89,3,0)*VLOOKUP('Données projet'!$B$16,Paramètres!$A$1:$I$89,5,0)</f>
        <v>272.22000000000014</v>
      </c>
      <c r="FG164" s="13">
        <f t="shared" si="182"/>
        <v>65.320184547527205</v>
      </c>
      <c r="FH164" s="20">
        <f t="shared" si="183"/>
        <v>587.88248808694345</v>
      </c>
      <c r="FI164" s="59">
        <f t="shared" si="131"/>
        <v>881.21582142027682</v>
      </c>
      <c r="FJ164" s="59">
        <f ca="1">AVERAGE(OFFSET($FI$3,0,0,'Données projet'!$E$16+1,1))-AVERAGE(OFFSET($H$3,0,0,'Données projet'!$E$16+1,1))</f>
        <v>283.77864672734273</v>
      </c>
      <c r="FK164" s="59">
        <f t="shared" si="156"/>
        <v>270.94620935643866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14.295403392077722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14.295403392077722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319</v>
      </c>
      <c r="GA164" s="17">
        <f>FZ164*VLOOKUP('Données projet'!$B$17,Paramètres!$A$1:$I$89,3,0)*VLOOKUP('Données projet'!$B$17,Paramètres!$A$1:$I$89,5,0)</f>
        <v>308.53680000000003</v>
      </c>
      <c r="GB164" s="13">
        <f t="shared" si="185"/>
        <v>72.963171684496103</v>
      </c>
      <c r="GC164" s="20">
        <f t="shared" si="186"/>
        <v>664.4457840171641</v>
      </c>
      <c r="GD164" s="59">
        <f t="shared" si="134"/>
        <v>957.77911735049747</v>
      </c>
      <c r="GE164" s="59">
        <f ca="1">AVERAGE(OFFSET($GD$3,0,0,'Données projet'!$E$17+1,1))-AVERAGE(OFFSET($H$3,0,0,'Données projet'!$E$17+1,1))</f>
        <v>347.54503437087288</v>
      </c>
      <c r="GF164" s="59">
        <f t="shared" si="158"/>
        <v>340.05673244455954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10.543794817162686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10.543794817162686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735.00000000000011</v>
      </c>
      <c r="O165" s="13">
        <f>N165*VLOOKUP('Données projet'!$B$9,Paramètres!$A$1:$I$89,3,0)*VLOOKUP('Données projet'!$B$9,Paramètres!$A$1:$I$89,5,0)</f>
        <v>343.98</v>
      </c>
      <c r="P165" s="13">
        <f t="shared" si="141"/>
        <v>80.321681832084693</v>
      </c>
      <c r="Q165" s="20">
        <f t="shared" si="162"/>
        <v>738.9920958575475</v>
      </c>
      <c r="R165" s="59">
        <f t="shared" si="109"/>
        <v>1032.3254291908809</v>
      </c>
      <c r="S165" s="59">
        <f ca="1">AVERAGE(OFFSET($R$3,0,0,'Données projet'!$E$9+1,1))-AVERAGE(OFFSET($H$3,0,0,'Données projet'!$E$9+1,1))</f>
        <v>342.49944586217674</v>
      </c>
      <c r="T165" s="59">
        <f t="shared" si="142"/>
        <v>282.29766600872563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23.2489549050518</v>
      </c>
      <c r="AA165" s="21">
        <f>EXP(-LN(2)/25)*AA164+(1-EXP(-LN(2)/25))/(LN(2)/25)*Calculateur!V165*Calculateur!X165*VLOOKUP('Données projet'!$B$9,Paramètres!$A$1:$I$89,3,0)*0.475*44/12</f>
        <v>1.0315615959989033</v>
      </c>
      <c r="AB165" s="21">
        <f>EXP(-LN(2)/2)*AB164+(1-EXP(-LN(2)/2))/(LN(2)/2)*V165*Y165*VLOOKUP('Données projet'!$B$9,Paramètres!$A$1:$I$89,3,0)*0.475*44/12</f>
        <v>1.1220745301419112E-21</v>
      </c>
      <c r="AC165" s="22">
        <f t="shared" si="163"/>
        <v>24.280516501050702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739.99999999999966</v>
      </c>
      <c r="AJ165" s="13">
        <f>AI165*VLOOKUP('Données projet'!$B$10,Paramètres!$A$1:$I$89,3,0)*VLOOKUP('Données projet'!$B$10,Paramètres!$A$1:$I$89,5,0)</f>
        <v>413.65999999999985</v>
      </c>
      <c r="AK165" s="13">
        <f t="shared" si="164"/>
        <v>94.540585122244352</v>
      </c>
      <c r="AL165" s="20">
        <f t="shared" si="165"/>
        <v>885.11601908790863</v>
      </c>
      <c r="AM165" s="59">
        <f t="shared" si="113"/>
        <v>1178.4493524212419</v>
      </c>
      <c r="AN165" s="59">
        <f ca="1">AVERAGE(OFFSET($AM$3,0,0,'Données projet'!$E$10+1,1))-AVERAGE(OFFSET($H$3,0,0,'Données projet'!$E$10+1,1))</f>
        <v>490.96084572840579</v>
      </c>
      <c r="AO165" s="59">
        <f t="shared" si="144"/>
        <v>597.91658789908263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16.381956800763074</v>
      </c>
      <c r="AV165" s="21">
        <f>EXP(-LN(2)/25)*AV164+(1-EXP(-LN(2)/25))/(LN(2)/25)*Calculateur!AQ165*Calculateur!AS165*VLOOKUP('Données projet'!$B$10,Paramètres!$A$1:$I$89,3,0)*0.475*44/12</f>
        <v>1.4871390993871338</v>
      </c>
      <c r="AW165" s="21">
        <f>EXP(-LN(2)/2)*AW164+(1-EXP(-LN(2)/2))/(LN(2)/2)*AQ165*AT165*VLOOKUP('Données projet'!$B$10,Paramètres!$A$1:$I$89,3,0)*0.475*44/12</f>
        <v>1.1526198923513295E-20</v>
      </c>
      <c r="AX165" s="21">
        <f t="shared" si="166"/>
        <v>17.869095900150207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213.00000000000003</v>
      </c>
      <c r="BE165" s="13">
        <f>BD165*VLOOKUP('Données projet'!$B$11,Paramètres!$A$1:$I$89,3,0)*VLOOKUP('Données projet'!$B$11,Paramètres!$A$1:$I$89,5,0)</f>
        <v>169.46280000000002</v>
      </c>
      <c r="BF165" s="13">
        <f t="shared" si="167"/>
        <v>42.969686502194378</v>
      </c>
      <c r="BG165" s="20">
        <f t="shared" si="168"/>
        <v>369.98658065798855</v>
      </c>
      <c r="BH165" s="59">
        <f t="shared" si="116"/>
        <v>663.31991399132187</v>
      </c>
      <c r="BI165" s="59">
        <f ca="1">AVERAGE(OFFSET($BH$3,0,0,'Données projet'!$E$11+1,1))-AVERAGE(OFFSET($H$3,0,0,'Données projet'!$E$11+1,1))</f>
        <v>167.80254365106839</v>
      </c>
      <c r="BJ165" s="59">
        <f t="shared" si="146"/>
        <v>167.42302164950172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6.6073149653943961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6.6073149653943961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669.99999999999989</v>
      </c>
      <c r="BZ165" s="13">
        <f>BY165*VLOOKUP('Données projet'!$B$12,Paramètres!$A$1:$I$89,3,0)*VLOOKUP('Données projet'!$B$12,Paramètres!$A$1:$I$89,5,0)</f>
        <v>330.97999999999996</v>
      </c>
      <c r="CA165" s="13">
        <f t="shared" si="170"/>
        <v>77.633451096966454</v>
      </c>
      <c r="CB165" s="20">
        <f t="shared" si="171"/>
        <v>711.66842732721636</v>
      </c>
      <c r="CC165" s="59">
        <f t="shared" si="119"/>
        <v>1005.0017606605497</v>
      </c>
      <c r="CD165" s="59">
        <f ca="1">AVERAGE(OFFSET($CC$3,0,0,'Données projet'!$E$12+1,1))-AVERAGE(OFFSET($H$3,0,0,'Données projet'!$E$12+1,1))</f>
        <v>322.06606384496587</v>
      </c>
      <c r="CE165" s="59">
        <f t="shared" si="148"/>
        <v>267.71713177624713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22.932209608394505</v>
      </c>
      <c r="CL165" s="21">
        <f>EXP(-LN(2)/25)*CL164+(1-EXP(-LN(2)/25))/(LN(2)/25)*Calculateur!CG165*Calculateur!CI165*VLOOKUP('Données projet'!$B$12,Paramètres!$A$1:$I$89,3,0)*0.475*44/12</f>
        <v>0.51743319494398043</v>
      </c>
      <c r="CM165" s="21">
        <f>EXP(-LN(2)/2)*CM164+(1-EXP(-LN(2)/2))/(LN(2)/2)*CG165*CJ165*VLOOKUP('Données projet'!$B$12,Paramètres!$A$1:$I$89,3,0)*0.475*44/12</f>
        <v>5.3600368625568651E-20</v>
      </c>
      <c r="CN165" s="22">
        <f t="shared" si="172"/>
        <v>23.449642803338484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401</v>
      </c>
      <c r="CU165" s="17">
        <f>CT165*VLOOKUP('Données projet'!$B$13,Paramètres!$A$1:$I$89,3,0)*VLOOKUP('Données projet'!$B$13,Paramètres!$A$1:$I$89,5,0)</f>
        <v>250.22399999999999</v>
      </c>
      <c r="CV165" s="13">
        <f t="shared" si="173"/>
        <v>60.633904580527918</v>
      </c>
      <c r="CW165" s="20">
        <f t="shared" si="174"/>
        <v>541.41085047775289</v>
      </c>
      <c r="CX165" s="59">
        <f t="shared" si="122"/>
        <v>834.74418381108626</v>
      </c>
      <c r="CY165" s="59">
        <f ca="1">AVERAGE(OFFSET($CX$3,0,0,'Données projet'!$E$13+1,1))-AVERAGE(OFFSET($H$3,0,0,'Données projet'!$E$13+1,1))</f>
        <v>269.77739619445515</v>
      </c>
      <c r="CZ165" s="59">
        <f t="shared" si="150"/>
        <v>347.56964743629885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10.158243033348054</v>
      </c>
      <c r="DG165" s="21">
        <f>EXP(-LN(2)/25)*DG164+(1-EXP(-LN(2)/25))/(LN(2)/25)*Calculateur!DB165*Calculateur!DD165*VLOOKUP('Données projet'!$B$13,Paramètres!$A$1:$I$89,3,0)*0.475*44/12</f>
        <v>2.3611889126185623</v>
      </c>
      <c r="DH165" s="21">
        <f>EXP(-LN(2)/2)*DH164+(1-EXP(-LN(2)/2))/(LN(2)/2)*DB165*DE165*VLOOKUP('Données projet'!$B$13,Paramètres!$A$1:$I$89,3,0)*0.475*44/12</f>
        <v>3.3662235904257307E-22</v>
      </c>
      <c r="DI165" s="22">
        <f t="shared" si="175"/>
        <v>12.519431945966616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669.99999999999989</v>
      </c>
      <c r="DP165" s="17">
        <f>DO165*VLOOKUP('Données projet'!$B$14,Paramètres!$A$1:$I$89,3,0)*VLOOKUP('Données projet'!$B$14,Paramètres!$A$1:$I$89,5,0)</f>
        <v>322.26999999999992</v>
      </c>
      <c r="DQ165" s="13">
        <f t="shared" si="176"/>
        <v>75.825476822885776</v>
      </c>
      <c r="DR165" s="20">
        <f t="shared" si="177"/>
        <v>693.34962213319261</v>
      </c>
      <c r="DS165" s="59">
        <f t="shared" si="125"/>
        <v>986.68295546652598</v>
      </c>
      <c r="DT165" s="59">
        <f ca="1">AVERAGE(OFFSET($DS$3,0,0,'Données projet'!$E$14+1,1))-AVERAGE(OFFSET($H$3,0,0,'Données projet'!$E$14+1,1))</f>
        <v>312.64506496298173</v>
      </c>
      <c r="DU165" s="59">
        <f t="shared" si="152"/>
        <v>259.97532509897508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22.328730408173609</v>
      </c>
      <c r="EB165" s="21">
        <f>EXP(-LN(2)/25)*EB164+(1-EXP(-LN(2)/25))/(LN(2)/25)*Calculateur!DW165*Calculateur!DY165*VLOOKUP('Données projet'!$B$14,Paramètres!$A$1:$I$89,3,0)*0.475*44/12</f>
        <v>0.50381653191914011</v>
      </c>
      <c r="EC165" s="21">
        <f>EXP(-LN(2)/2)*EC164+(1-EXP(-LN(2)/2))/(LN(2)/2)*DW165*DZ165*VLOOKUP('Données projet'!$B$14,Paramètres!$A$1:$I$89,3,0)*0.475*44/12</f>
        <v>5.2189832609105742E-20</v>
      </c>
      <c r="ED165" s="22">
        <f t="shared" si="178"/>
        <v>22.832546940092747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267</v>
      </c>
      <c r="EK165" s="17">
        <f>EJ165*VLOOKUP('Données projet'!$B$15,Paramètres!$A$1:$I$89,3,0)*VLOOKUP('Données projet'!$B$15,Paramètres!$A$1:$I$89,5,0)</f>
        <v>241.58159999999998</v>
      </c>
      <c r="EL165" s="13">
        <f t="shared" si="179"/>
        <v>58.779689232021951</v>
      </c>
      <c r="EM165" s="20">
        <f t="shared" si="180"/>
        <v>523.12924541243819</v>
      </c>
      <c r="EN165" s="59">
        <f t="shared" si="128"/>
        <v>816.46257874577145</v>
      </c>
      <c r="EO165" s="59">
        <f ca="1">AVERAGE(OFFSET($EN$3,0,0,'Données projet'!$E$15+1,1))-AVERAGE(OFFSET($H$3,0,0,'Données projet'!$E$15+1,1))</f>
        <v>269.64423257646359</v>
      </c>
      <c r="EP165" s="59">
        <f t="shared" si="154"/>
        <v>161.0819079811821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29.799137070534737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29.799137070534737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349.00000000000017</v>
      </c>
      <c r="FF165" s="17">
        <f>FE165*VLOOKUP('Données projet'!$B$16,Paramètres!$A$1:$I$89,3,0)*VLOOKUP('Données projet'!$B$16,Paramètres!$A$1:$I$89,5,0)</f>
        <v>272.22000000000014</v>
      </c>
      <c r="FG165" s="13">
        <f t="shared" si="182"/>
        <v>65.320184547527205</v>
      </c>
      <c r="FH165" s="20">
        <f t="shared" si="183"/>
        <v>587.88248808694345</v>
      </c>
      <c r="FI165" s="59">
        <f t="shared" si="131"/>
        <v>881.21582142027682</v>
      </c>
      <c r="FJ165" s="59">
        <f ca="1">AVERAGE(OFFSET($FI$3,0,0,'Données projet'!$E$16+1,1))-AVERAGE(OFFSET($H$3,0,0,'Données projet'!$E$16+1,1))</f>
        <v>283.77864672734273</v>
      </c>
      <c r="FK165" s="59">
        <f t="shared" si="156"/>
        <v>270.94620935643866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14.015079250894184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14.015079250894184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319</v>
      </c>
      <c r="GA165" s="17">
        <f>FZ165*VLOOKUP('Données projet'!$B$17,Paramètres!$A$1:$I$89,3,0)*VLOOKUP('Données projet'!$B$17,Paramètres!$A$1:$I$89,5,0)</f>
        <v>308.53680000000003</v>
      </c>
      <c r="GB165" s="13">
        <f t="shared" si="185"/>
        <v>72.963171684496103</v>
      </c>
      <c r="GC165" s="20">
        <f t="shared" si="186"/>
        <v>664.4457840171641</v>
      </c>
      <c r="GD165" s="59">
        <f t="shared" si="134"/>
        <v>957.77911735049747</v>
      </c>
      <c r="GE165" s="59">
        <f ca="1">AVERAGE(OFFSET($GD$3,0,0,'Données projet'!$E$17+1,1))-AVERAGE(OFFSET($H$3,0,0,'Données projet'!$E$17+1,1))</f>
        <v>347.54503437087288</v>
      </c>
      <c r="GF165" s="59">
        <f t="shared" si="158"/>
        <v>340.05673244455954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10.337037431877947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10.337037431877947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735.00000000000011</v>
      </c>
      <c r="O166" s="13">
        <f>N166*VLOOKUP('Données projet'!$B$9,Paramètres!$A$1:$I$89,3,0)*VLOOKUP('Données projet'!$B$9,Paramètres!$A$1:$I$89,5,0)</f>
        <v>343.98</v>
      </c>
      <c r="P166" s="13">
        <f t="shared" si="141"/>
        <v>80.321681832084693</v>
      </c>
      <c r="Q166" s="20">
        <f t="shared" si="162"/>
        <v>738.9920958575475</v>
      </c>
      <c r="R166" s="59">
        <f t="shared" si="109"/>
        <v>1032.3254291908809</v>
      </c>
      <c r="S166" s="59">
        <f ca="1">AVERAGE(OFFSET($R$3,0,0,'Données projet'!$E$9+1,1))-AVERAGE(OFFSET($H$3,0,0,'Données projet'!$E$9+1,1))</f>
        <v>342.49944586217674</v>
      </c>
      <c r="T166" s="59">
        <f t="shared" si="142"/>
        <v>282.29766600872563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22.793057079826021</v>
      </c>
      <c r="AA166" s="21">
        <f>EXP(-LN(2)/25)*AA165+(1-EXP(-LN(2)/25))/(LN(2)/25)*Calculateur!V166*Calculateur!X166*VLOOKUP('Données projet'!$B$9,Paramètres!$A$1:$I$89,3,0)*0.475*44/12</f>
        <v>1.0033534899088465</v>
      </c>
      <c r="AB166" s="21">
        <f>EXP(-LN(2)/2)*AB165+(1-EXP(-LN(2)/2))/(LN(2)/2)*V166*Y166*VLOOKUP('Données projet'!$B$9,Paramètres!$A$1:$I$89,3,0)*0.475*44/12</f>
        <v>7.9342650926005451E-22</v>
      </c>
      <c r="AC166" s="22">
        <f t="shared" si="163"/>
        <v>23.796410569734867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739.99999999999966</v>
      </c>
      <c r="AJ166" s="13">
        <f>AI166*VLOOKUP('Données projet'!$B$10,Paramètres!$A$1:$I$89,3,0)*VLOOKUP('Données projet'!$B$10,Paramètres!$A$1:$I$89,5,0)</f>
        <v>413.65999999999985</v>
      </c>
      <c r="AK166" s="13">
        <f t="shared" si="164"/>
        <v>94.540585122244352</v>
      </c>
      <c r="AL166" s="20">
        <f t="shared" si="165"/>
        <v>885.11601908790863</v>
      </c>
      <c r="AM166" s="59">
        <f t="shared" si="113"/>
        <v>1178.4493524212419</v>
      </c>
      <c r="AN166" s="59">
        <f ca="1">AVERAGE(OFFSET($AM$3,0,0,'Données projet'!$E$10+1,1))-AVERAGE(OFFSET($H$3,0,0,'Données projet'!$E$10+1,1))</f>
        <v>490.96084572840579</v>
      </c>
      <c r="AO166" s="59">
        <f t="shared" si="144"/>
        <v>597.91658789908263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16.060716619907129</v>
      </c>
      <c r="AV166" s="21">
        <f>EXP(-LN(2)/25)*AV165+(1-EXP(-LN(2)/25))/(LN(2)/25)*Calculateur!AQ166*Calculateur!AS166*VLOOKUP('Données projet'!$B$10,Paramètres!$A$1:$I$89,3,0)*0.475*44/12</f>
        <v>1.4464732025091462</v>
      </c>
      <c r="AW166" s="21">
        <f>EXP(-LN(2)/2)*AW165+(1-EXP(-LN(2)/2))/(LN(2)/2)*AQ166*AT166*VLOOKUP('Données projet'!$B$10,Paramètres!$A$1:$I$89,3,0)*0.475*44/12</f>
        <v>8.150253420121335E-21</v>
      </c>
      <c r="AX166" s="21">
        <f t="shared" si="166"/>
        <v>17.507189822416276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213.00000000000003</v>
      </c>
      <c r="BE166" s="13">
        <f>BD166*VLOOKUP('Données projet'!$B$11,Paramètres!$A$1:$I$89,3,0)*VLOOKUP('Données projet'!$B$11,Paramètres!$A$1:$I$89,5,0)</f>
        <v>169.46280000000002</v>
      </c>
      <c r="BF166" s="13">
        <f t="shared" si="167"/>
        <v>42.969686502194378</v>
      </c>
      <c r="BG166" s="20">
        <f t="shared" si="168"/>
        <v>369.98658065798855</v>
      </c>
      <c r="BH166" s="59">
        <f t="shared" si="116"/>
        <v>663.31991399132187</v>
      </c>
      <c r="BI166" s="59">
        <f ca="1">AVERAGE(OFFSET($BH$3,0,0,'Données projet'!$E$11+1,1))-AVERAGE(OFFSET($H$3,0,0,'Données projet'!$E$11+1,1))</f>
        <v>167.80254365106839</v>
      </c>
      <c r="BJ166" s="59">
        <f t="shared" si="146"/>
        <v>167.42302164950172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6.4777495489872052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6.4777495489872052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669.99999999999989</v>
      </c>
      <c r="BZ166" s="13">
        <f>BY166*VLOOKUP('Données projet'!$B$12,Paramètres!$A$1:$I$89,3,0)*VLOOKUP('Données projet'!$B$12,Paramètres!$A$1:$I$89,5,0)</f>
        <v>330.97999999999996</v>
      </c>
      <c r="CA166" s="13">
        <f t="shared" si="170"/>
        <v>77.633451096966454</v>
      </c>
      <c r="CB166" s="20">
        <f t="shared" si="171"/>
        <v>711.66842732721636</v>
      </c>
      <c r="CC166" s="59">
        <f t="shared" si="119"/>
        <v>1005.0017606605497</v>
      </c>
      <c r="CD166" s="59">
        <f ca="1">AVERAGE(OFFSET($CC$3,0,0,'Données projet'!$E$12+1,1))-AVERAGE(OFFSET($H$3,0,0,'Données projet'!$E$12+1,1))</f>
        <v>322.06606384496587</v>
      </c>
      <c r="CE166" s="59">
        <f t="shared" si="148"/>
        <v>267.71713177624713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22.482522965240623</v>
      </c>
      <c r="CL166" s="21">
        <f>EXP(-LN(2)/25)*CL165+(1-EXP(-LN(2)/25))/(LN(2)/25)*Calculateur!CG166*Calculateur!CI166*VLOOKUP('Données projet'!$B$12,Paramètres!$A$1:$I$89,3,0)*0.475*44/12</f>
        <v>0.5032839570176082</v>
      </c>
      <c r="CM166" s="21">
        <f>EXP(-LN(2)/2)*CM165+(1-EXP(-LN(2)/2))/(LN(2)/2)*CG166*CJ166*VLOOKUP('Données projet'!$B$12,Paramètres!$A$1:$I$89,3,0)*0.475*44/12</f>
        <v>3.7901184129238264E-20</v>
      </c>
      <c r="CN166" s="22">
        <f t="shared" si="172"/>
        <v>22.985806922258231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401</v>
      </c>
      <c r="CU166" s="17">
        <f>CT166*VLOOKUP('Données projet'!$B$13,Paramètres!$A$1:$I$89,3,0)*VLOOKUP('Données projet'!$B$13,Paramètres!$A$1:$I$89,5,0)</f>
        <v>250.22399999999999</v>
      </c>
      <c r="CV166" s="13">
        <f t="shared" si="173"/>
        <v>60.633904580527918</v>
      </c>
      <c r="CW166" s="20">
        <f t="shared" si="174"/>
        <v>541.41085047775289</v>
      </c>
      <c r="CX166" s="59">
        <f t="shared" si="122"/>
        <v>834.74418381108626</v>
      </c>
      <c r="CY166" s="59">
        <f ca="1">AVERAGE(OFFSET($CX$3,0,0,'Données projet'!$E$13+1,1))-AVERAGE(OFFSET($H$3,0,0,'Données projet'!$E$13+1,1))</f>
        <v>269.77739619445515</v>
      </c>
      <c r="CZ166" s="59">
        <f t="shared" si="150"/>
        <v>347.56964743629885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9.959046083380553</v>
      </c>
      <c r="DG166" s="21">
        <f>EXP(-LN(2)/25)*DG165+(1-EXP(-LN(2)/25))/(LN(2)/25)*Calculateur!DB166*Calculateur!DD166*VLOOKUP('Données projet'!$B$13,Paramètres!$A$1:$I$89,3,0)*0.475*44/12</f>
        <v>2.2966220776334794</v>
      </c>
      <c r="DH166" s="21">
        <f>EXP(-LN(2)/2)*DH165+(1-EXP(-LN(2)/2))/(LN(2)/2)*DB166*DE166*VLOOKUP('Données projet'!$B$13,Paramètres!$A$1:$I$89,3,0)*0.475*44/12</f>
        <v>2.3802795277801615E-22</v>
      </c>
      <c r="DI166" s="22">
        <f t="shared" si="175"/>
        <v>12.255668161014032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669.99999999999989</v>
      </c>
      <c r="DP166" s="17">
        <f>DO166*VLOOKUP('Données projet'!$B$14,Paramètres!$A$1:$I$89,3,0)*VLOOKUP('Données projet'!$B$14,Paramètres!$A$1:$I$89,5,0)</f>
        <v>322.26999999999992</v>
      </c>
      <c r="DQ166" s="13">
        <f t="shared" si="176"/>
        <v>75.825476822885776</v>
      </c>
      <c r="DR166" s="20">
        <f t="shared" si="177"/>
        <v>693.34962213319261</v>
      </c>
      <c r="DS166" s="59">
        <f t="shared" si="125"/>
        <v>986.68295546652598</v>
      </c>
      <c r="DT166" s="59">
        <f ca="1">AVERAGE(OFFSET($DS$3,0,0,'Données projet'!$E$14+1,1))-AVERAGE(OFFSET($H$3,0,0,'Données projet'!$E$14+1,1))</f>
        <v>312.64506496298173</v>
      </c>
      <c r="DU166" s="59">
        <f t="shared" si="152"/>
        <v>259.97532509897508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21.890877624050091</v>
      </c>
      <c r="EB166" s="21">
        <f>EXP(-LN(2)/25)*EB165+(1-EXP(-LN(2)/25))/(LN(2)/25)*Calculateur!DW166*Calculateur!DY166*VLOOKUP('Données projet'!$B$14,Paramètres!$A$1:$I$89,3,0)*0.475*44/12</f>
        <v>0.49003964235925129</v>
      </c>
      <c r="EC166" s="21">
        <f>EXP(-LN(2)/2)*EC165+(1-EXP(-LN(2)/2))/(LN(2)/2)*DW166*DZ166*VLOOKUP('Données projet'!$B$14,Paramètres!$A$1:$I$89,3,0)*0.475*44/12</f>
        <v>3.6903784546889476E-20</v>
      </c>
      <c r="ED166" s="22">
        <f t="shared" si="178"/>
        <v>22.380917266409341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267</v>
      </c>
      <c r="EK166" s="17">
        <f>EJ166*VLOOKUP('Données projet'!$B$15,Paramètres!$A$1:$I$89,3,0)*VLOOKUP('Données projet'!$B$15,Paramètres!$A$1:$I$89,5,0)</f>
        <v>241.58159999999998</v>
      </c>
      <c r="EL166" s="13">
        <f t="shared" si="179"/>
        <v>58.779689232021951</v>
      </c>
      <c r="EM166" s="20">
        <f t="shared" si="180"/>
        <v>523.12924541243819</v>
      </c>
      <c r="EN166" s="59">
        <f t="shared" si="128"/>
        <v>816.46257874577145</v>
      </c>
      <c r="EO166" s="59">
        <f ca="1">AVERAGE(OFFSET($EN$3,0,0,'Données projet'!$E$15+1,1))-AVERAGE(OFFSET($H$3,0,0,'Données projet'!$E$15+1,1))</f>
        <v>269.64423257646359</v>
      </c>
      <c r="EP166" s="59">
        <f t="shared" si="154"/>
        <v>161.0819079811821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29.214794168260465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29.214794168260465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349.00000000000017</v>
      </c>
      <c r="FF166" s="17">
        <f>FE166*VLOOKUP('Données projet'!$B$16,Paramètres!$A$1:$I$89,3,0)*VLOOKUP('Données projet'!$B$16,Paramètres!$A$1:$I$89,5,0)</f>
        <v>272.22000000000014</v>
      </c>
      <c r="FG166" s="13">
        <f t="shared" si="182"/>
        <v>65.320184547527205</v>
      </c>
      <c r="FH166" s="20">
        <f t="shared" si="183"/>
        <v>587.88248808694345</v>
      </c>
      <c r="FI166" s="59">
        <f t="shared" si="131"/>
        <v>881.21582142027682</v>
      </c>
      <c r="FJ166" s="59">
        <f ca="1">AVERAGE(OFFSET($FI$3,0,0,'Données projet'!$E$16+1,1))-AVERAGE(OFFSET($H$3,0,0,'Données projet'!$E$16+1,1))</f>
        <v>283.77864672734273</v>
      </c>
      <c r="FK166" s="59">
        <f t="shared" si="156"/>
        <v>270.94620935643866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13.740252095138413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13.740252095138413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319</v>
      </c>
      <c r="GA166" s="17">
        <f>FZ166*VLOOKUP('Données projet'!$B$17,Paramètres!$A$1:$I$89,3,0)*VLOOKUP('Données projet'!$B$17,Paramètres!$A$1:$I$89,5,0)</f>
        <v>308.53680000000003</v>
      </c>
      <c r="GB166" s="13">
        <f t="shared" si="185"/>
        <v>72.963171684496103</v>
      </c>
      <c r="GC166" s="20">
        <f t="shared" si="186"/>
        <v>664.4457840171641</v>
      </c>
      <c r="GD166" s="59">
        <f t="shared" si="134"/>
        <v>957.77911735049747</v>
      </c>
      <c r="GE166" s="59">
        <f ca="1">AVERAGE(OFFSET($GD$3,0,0,'Données projet'!$E$17+1,1))-AVERAGE(OFFSET($H$3,0,0,'Données projet'!$E$17+1,1))</f>
        <v>347.54503437087288</v>
      </c>
      <c r="GF166" s="59">
        <f t="shared" si="158"/>
        <v>340.05673244455954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10.134334432809091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10.134334432809091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735.00000000000011</v>
      </c>
      <c r="O167" s="13">
        <f>N167*VLOOKUP('Données projet'!$B$9,Paramètres!$A$1:$I$89,3,0)*VLOOKUP('Données projet'!$B$9,Paramètres!$A$1:$I$89,5,0)</f>
        <v>343.98</v>
      </c>
      <c r="P167" s="13">
        <f t="shared" si="141"/>
        <v>80.321681832084693</v>
      </c>
      <c r="Q167" s="20">
        <f t="shared" si="162"/>
        <v>738.9920958575475</v>
      </c>
      <c r="R167" s="59">
        <f t="shared" si="109"/>
        <v>1032.3254291908809</v>
      </c>
      <c r="S167" s="59">
        <f ca="1">AVERAGE(OFFSET($R$3,0,0,'Données projet'!$E$9+1,1))-AVERAGE(OFFSET($H$3,0,0,'Données projet'!$E$9+1,1))</f>
        <v>342.49944586217674</v>
      </c>
      <c r="T167" s="59">
        <f t="shared" si="142"/>
        <v>282.29766600872563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22.346099132882703</v>
      </c>
      <c r="AA167" s="21">
        <f>EXP(-LN(2)/25)*AA166+(1-EXP(-LN(2)/25))/(LN(2)/25)*Calculateur!V167*Calculateur!X167*VLOOKUP('Données projet'!$B$9,Paramètres!$A$1:$I$89,3,0)*0.475*44/12</f>
        <v>0.97591673596322226</v>
      </c>
      <c r="AB167" s="21">
        <f>EXP(-LN(2)/2)*AB166+(1-EXP(-LN(2)/2))/(LN(2)/2)*V167*Y167*VLOOKUP('Données projet'!$B$9,Paramètres!$A$1:$I$89,3,0)*0.475*44/12</f>
        <v>5.6103726507095558E-22</v>
      </c>
      <c r="AC167" s="22">
        <f t="shared" si="163"/>
        <v>23.322015868845924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739.99999999999966</v>
      </c>
      <c r="AJ167" s="13">
        <f>AI167*VLOOKUP('Données projet'!$B$10,Paramètres!$A$1:$I$89,3,0)*VLOOKUP('Données projet'!$B$10,Paramètres!$A$1:$I$89,5,0)</f>
        <v>413.65999999999985</v>
      </c>
      <c r="AK167" s="13">
        <f t="shared" si="164"/>
        <v>94.540585122244352</v>
      </c>
      <c r="AL167" s="20">
        <f t="shared" si="165"/>
        <v>885.11601908790863</v>
      </c>
      <c r="AM167" s="59">
        <f t="shared" si="113"/>
        <v>1178.4493524212419</v>
      </c>
      <c r="AN167" s="59">
        <f ca="1">AVERAGE(OFFSET($AM$3,0,0,'Données projet'!$E$10+1,1))-AVERAGE(OFFSET($H$3,0,0,'Données projet'!$E$10+1,1))</f>
        <v>490.96084572840579</v>
      </c>
      <c r="AO167" s="59">
        <f t="shared" si="144"/>
        <v>597.91658789908263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15.745775763060607</v>
      </c>
      <c r="AV167" s="21">
        <f>EXP(-LN(2)/25)*AV166+(1-EXP(-LN(2)/25))/(LN(2)/25)*Calculateur!AQ167*Calculateur!AS167*VLOOKUP('Données projet'!$B$10,Paramètres!$A$1:$I$89,3,0)*0.475*44/12</f>
        <v>1.406919316719814</v>
      </c>
      <c r="AW167" s="21">
        <f>EXP(-LN(2)/2)*AW166+(1-EXP(-LN(2)/2))/(LN(2)/2)*AQ167*AT167*VLOOKUP('Données projet'!$B$10,Paramètres!$A$1:$I$89,3,0)*0.475*44/12</f>
        <v>5.7630994617566475E-21</v>
      </c>
      <c r="AX167" s="21">
        <f t="shared" si="166"/>
        <v>17.152695079780422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213.00000000000003</v>
      </c>
      <c r="BE167" s="13">
        <f>BD167*VLOOKUP('Données projet'!$B$11,Paramètres!$A$1:$I$89,3,0)*VLOOKUP('Données projet'!$B$11,Paramètres!$A$1:$I$89,5,0)</f>
        <v>169.46280000000002</v>
      </c>
      <c r="BF167" s="13">
        <f t="shared" si="167"/>
        <v>42.969686502194378</v>
      </c>
      <c r="BG167" s="20">
        <f t="shared" si="168"/>
        <v>369.98658065798855</v>
      </c>
      <c r="BH167" s="59">
        <f t="shared" si="116"/>
        <v>663.31991399132187</v>
      </c>
      <c r="BI167" s="59">
        <f ca="1">AVERAGE(OFFSET($BH$3,0,0,'Données projet'!$E$11+1,1))-AVERAGE(OFFSET($H$3,0,0,'Données projet'!$E$11+1,1))</f>
        <v>167.80254365106839</v>
      </c>
      <c r="BJ167" s="59">
        <f t="shared" si="146"/>
        <v>167.42302164950172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6.3507248313686588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6.3507248313686588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669.99999999999989</v>
      </c>
      <c r="BZ167" s="13">
        <f>BY167*VLOOKUP('Données projet'!$B$12,Paramètres!$A$1:$I$89,3,0)*VLOOKUP('Données projet'!$B$12,Paramètres!$A$1:$I$89,5,0)</f>
        <v>330.97999999999996</v>
      </c>
      <c r="CA167" s="13">
        <f t="shared" si="170"/>
        <v>77.633451096966454</v>
      </c>
      <c r="CB167" s="20">
        <f t="shared" si="171"/>
        <v>711.66842732721636</v>
      </c>
      <c r="CC167" s="59">
        <f t="shared" si="119"/>
        <v>1005.0017606605497</v>
      </c>
      <c r="CD167" s="59">
        <f ca="1">AVERAGE(OFFSET($CC$3,0,0,'Données projet'!$E$12+1,1))-AVERAGE(OFFSET($H$3,0,0,'Données projet'!$E$12+1,1))</f>
        <v>322.06606384496587</v>
      </c>
      <c r="CE167" s="59">
        <f t="shared" si="148"/>
        <v>267.71713177624713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22.041654402877217</v>
      </c>
      <c r="CL167" s="21">
        <f>EXP(-LN(2)/25)*CL166+(1-EXP(-LN(2)/25))/(LN(2)/25)*Calculateur!CG167*Calculateur!CI167*VLOOKUP('Données projet'!$B$12,Paramètres!$A$1:$I$89,3,0)*0.475*44/12</f>
        <v>0.4895216307464087</v>
      </c>
      <c r="CM167" s="21">
        <f>EXP(-LN(2)/2)*CM166+(1-EXP(-LN(2)/2))/(LN(2)/2)*CG167*CJ167*VLOOKUP('Données projet'!$B$12,Paramètres!$A$1:$I$89,3,0)*0.475*44/12</f>
        <v>2.6800184312784332E-20</v>
      </c>
      <c r="CN167" s="22">
        <f t="shared" si="172"/>
        <v>22.531176033623627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401</v>
      </c>
      <c r="CU167" s="17">
        <f>CT167*VLOOKUP('Données projet'!$B$13,Paramètres!$A$1:$I$89,3,0)*VLOOKUP('Données projet'!$B$13,Paramètres!$A$1:$I$89,5,0)</f>
        <v>250.22399999999999</v>
      </c>
      <c r="CV167" s="13">
        <f t="shared" si="173"/>
        <v>60.633904580527918</v>
      </c>
      <c r="CW167" s="20">
        <f t="shared" si="174"/>
        <v>541.41085047775289</v>
      </c>
      <c r="CX167" s="59">
        <f t="shared" si="122"/>
        <v>834.74418381108626</v>
      </c>
      <c r="CY167" s="59">
        <f ca="1">AVERAGE(OFFSET($CX$3,0,0,'Données projet'!$E$13+1,1))-AVERAGE(OFFSET($H$3,0,0,'Données projet'!$E$13+1,1))</f>
        <v>269.77739619445515</v>
      </c>
      <c r="CZ167" s="59">
        <f t="shared" si="150"/>
        <v>347.56964743629885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9.7637552641037715</v>
      </c>
      <c r="DG167" s="21">
        <f>EXP(-LN(2)/25)*DG166+(1-EXP(-LN(2)/25))/(LN(2)/25)*Calculateur!DB167*Calculateur!DD167*VLOOKUP('Données projet'!$B$13,Paramètres!$A$1:$I$89,3,0)*0.475*44/12</f>
        <v>2.233820826146486</v>
      </c>
      <c r="DH167" s="21">
        <f>EXP(-LN(2)/2)*DH166+(1-EXP(-LN(2)/2))/(LN(2)/2)*DB167*DE167*VLOOKUP('Données projet'!$B$13,Paramètres!$A$1:$I$89,3,0)*0.475*44/12</f>
        <v>1.6831117952128653E-22</v>
      </c>
      <c r="DI167" s="22">
        <f t="shared" si="175"/>
        <v>11.997576090250258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669.99999999999989</v>
      </c>
      <c r="DP167" s="17">
        <f>DO167*VLOOKUP('Données projet'!$B$14,Paramètres!$A$1:$I$89,3,0)*VLOOKUP('Données projet'!$B$14,Paramètres!$A$1:$I$89,5,0)</f>
        <v>322.26999999999992</v>
      </c>
      <c r="DQ167" s="13">
        <f t="shared" si="176"/>
        <v>75.825476822885776</v>
      </c>
      <c r="DR167" s="20">
        <f t="shared" si="177"/>
        <v>693.34962213319261</v>
      </c>
      <c r="DS167" s="59">
        <f t="shared" si="125"/>
        <v>986.68295546652598</v>
      </c>
      <c r="DT167" s="59">
        <f ca="1">AVERAGE(OFFSET($DS$3,0,0,'Données projet'!$E$14+1,1))-AVERAGE(OFFSET($H$3,0,0,'Données projet'!$E$14+1,1))</f>
        <v>312.64506496298173</v>
      </c>
      <c r="DU167" s="59">
        <f t="shared" si="152"/>
        <v>259.97532509897508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21.461610865959408</v>
      </c>
      <c r="EB167" s="21">
        <f>EXP(-LN(2)/25)*EB166+(1-EXP(-LN(2)/25))/(LN(2)/25)*Calculateur!DW167*Calculateur!DY167*VLOOKUP('Données projet'!$B$14,Paramètres!$A$1:$I$89,3,0)*0.475*44/12</f>
        <v>0.47663948256887279</v>
      </c>
      <c r="EC167" s="21">
        <f>EXP(-LN(2)/2)*EC166+(1-EXP(-LN(2)/2))/(LN(2)/2)*DW167*DZ167*VLOOKUP('Données projet'!$B$14,Paramètres!$A$1:$I$89,3,0)*0.475*44/12</f>
        <v>2.6094916304552871E-20</v>
      </c>
      <c r="ED167" s="22">
        <f t="shared" si="178"/>
        <v>21.938250348528282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267</v>
      </c>
      <c r="EK167" s="17">
        <f>EJ167*VLOOKUP('Données projet'!$B$15,Paramètres!$A$1:$I$89,3,0)*VLOOKUP('Données projet'!$B$15,Paramètres!$A$1:$I$89,5,0)</f>
        <v>241.58159999999998</v>
      </c>
      <c r="EL167" s="13">
        <f t="shared" si="179"/>
        <v>58.779689232021951</v>
      </c>
      <c r="EM167" s="20">
        <f t="shared" si="180"/>
        <v>523.12924541243819</v>
      </c>
      <c r="EN167" s="59">
        <f t="shared" si="128"/>
        <v>816.46257874577145</v>
      </c>
      <c r="EO167" s="59">
        <f ca="1">AVERAGE(OFFSET($EN$3,0,0,'Données projet'!$E$15+1,1))-AVERAGE(OFFSET($H$3,0,0,'Données projet'!$E$15+1,1))</f>
        <v>269.64423257646359</v>
      </c>
      <c r="EP167" s="59">
        <f t="shared" si="154"/>
        <v>161.0819079811821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28.641909873885812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28.641909873885812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349.00000000000017</v>
      </c>
      <c r="FF167" s="17">
        <f>FE167*VLOOKUP('Données projet'!$B$16,Paramètres!$A$1:$I$89,3,0)*VLOOKUP('Données projet'!$B$16,Paramètres!$A$1:$I$89,5,0)</f>
        <v>272.22000000000014</v>
      </c>
      <c r="FG167" s="13">
        <f t="shared" si="182"/>
        <v>65.320184547527205</v>
      </c>
      <c r="FH167" s="20">
        <f t="shared" si="183"/>
        <v>587.88248808694345</v>
      </c>
      <c r="FI167" s="59">
        <f t="shared" si="131"/>
        <v>881.21582142027682</v>
      </c>
      <c r="FJ167" s="59">
        <f ca="1">AVERAGE(OFFSET($FI$3,0,0,'Données projet'!$E$16+1,1))-AVERAGE(OFFSET($H$3,0,0,'Données projet'!$E$16+1,1))</f>
        <v>283.77864672734273</v>
      </c>
      <c r="FK167" s="59">
        <f t="shared" si="156"/>
        <v>270.94620935643866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13.470814132278999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13.470814132278999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319</v>
      </c>
      <c r="GA167" s="17">
        <f>FZ167*VLOOKUP('Données projet'!$B$17,Paramètres!$A$1:$I$89,3,0)*VLOOKUP('Données projet'!$B$17,Paramètres!$A$1:$I$89,5,0)</f>
        <v>308.53680000000003</v>
      </c>
      <c r="GB167" s="13">
        <f t="shared" si="185"/>
        <v>72.963171684496103</v>
      </c>
      <c r="GC167" s="20">
        <f t="shared" si="186"/>
        <v>664.4457840171641</v>
      </c>
      <c r="GD167" s="59">
        <f t="shared" si="134"/>
        <v>957.77911735049747</v>
      </c>
      <c r="GE167" s="59">
        <f ca="1">AVERAGE(OFFSET($GD$3,0,0,'Données projet'!$E$17+1,1))-AVERAGE(OFFSET($H$3,0,0,'Données projet'!$E$17+1,1))</f>
        <v>347.54503437087288</v>
      </c>
      <c r="GF167" s="59">
        <f t="shared" si="158"/>
        <v>340.05673244455954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9.9356063159153525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9.9356063159153525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735.00000000000011</v>
      </c>
      <c r="O168" s="13">
        <f>N168*VLOOKUP('Données projet'!$B$9,Paramètres!$A$1:$I$89,3,0)*VLOOKUP('Données projet'!$B$9,Paramètres!$A$1:$I$89,5,0)</f>
        <v>343.98</v>
      </c>
      <c r="P168" s="13">
        <f t="shared" si="141"/>
        <v>80.321681832084693</v>
      </c>
      <c r="Q168" s="20">
        <f t="shared" si="162"/>
        <v>738.9920958575475</v>
      </c>
      <c r="R168" s="59">
        <f t="shared" si="109"/>
        <v>1032.3254291908809</v>
      </c>
      <c r="S168" s="59">
        <f ca="1">AVERAGE(OFFSET($R$3,0,0,'Données projet'!$E$9+1,1))-AVERAGE(OFFSET($H$3,0,0,'Données projet'!$E$9+1,1))</f>
        <v>342.49944586217674</v>
      </c>
      <c r="T168" s="59">
        <f t="shared" si="142"/>
        <v>282.29766600872563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21.907905758661517</v>
      </c>
      <c r="AA168" s="21">
        <f>EXP(-LN(2)/25)*AA167+(1-EXP(-LN(2)/25))/(LN(2)/25)*Calculateur!V168*Calculateur!X168*VLOOKUP('Données projet'!$B$9,Paramètres!$A$1:$I$89,3,0)*0.475*44/12</f>
        <v>0.94923024149707724</v>
      </c>
      <c r="AB168" s="21">
        <f>EXP(-LN(2)/2)*AB167+(1-EXP(-LN(2)/2))/(LN(2)/2)*V168*Y168*VLOOKUP('Données projet'!$B$9,Paramètres!$A$1:$I$89,3,0)*0.475*44/12</f>
        <v>3.9671325463002725E-22</v>
      </c>
      <c r="AC168" s="22">
        <f t="shared" si="163"/>
        <v>22.857136000158594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739.99999999999966</v>
      </c>
      <c r="AJ168" s="13">
        <f>AI168*VLOOKUP('Données projet'!$B$10,Paramètres!$A$1:$I$89,3,0)*VLOOKUP('Données projet'!$B$10,Paramètres!$A$1:$I$89,5,0)</f>
        <v>413.65999999999985</v>
      </c>
      <c r="AK168" s="13">
        <f t="shared" si="164"/>
        <v>94.540585122244352</v>
      </c>
      <c r="AL168" s="20">
        <f t="shared" si="165"/>
        <v>885.11601908790863</v>
      </c>
      <c r="AM168" s="59">
        <f t="shared" si="113"/>
        <v>1178.4493524212419</v>
      </c>
      <c r="AN168" s="59">
        <f ca="1">AVERAGE(OFFSET($AM$3,0,0,'Données projet'!$E$10+1,1))-AVERAGE(OFFSET($H$3,0,0,'Données projet'!$E$10+1,1))</f>
        <v>490.96084572840579</v>
      </c>
      <c r="AO168" s="59">
        <f t="shared" si="144"/>
        <v>597.91658789908263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15.43701070432189</v>
      </c>
      <c r="AV168" s="21">
        <f>EXP(-LN(2)/25)*AV167+(1-EXP(-LN(2)/25))/(LN(2)/25)*Calculateur!AQ168*Calculateur!AS168*VLOOKUP('Données projet'!$B$10,Paramètres!$A$1:$I$89,3,0)*0.475*44/12</f>
        <v>1.3684470340174393</v>
      </c>
      <c r="AW168" s="21">
        <f>EXP(-LN(2)/2)*AW167+(1-EXP(-LN(2)/2))/(LN(2)/2)*AQ168*AT168*VLOOKUP('Données projet'!$B$10,Paramètres!$A$1:$I$89,3,0)*0.475*44/12</f>
        <v>4.0751267100606675E-21</v>
      </c>
      <c r="AX168" s="21">
        <f t="shared" si="166"/>
        <v>16.805457738339328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213.00000000000003</v>
      </c>
      <c r="BE168" s="13">
        <f>BD168*VLOOKUP('Données projet'!$B$11,Paramètres!$A$1:$I$89,3,0)*VLOOKUP('Données projet'!$B$11,Paramètres!$A$1:$I$89,5,0)</f>
        <v>169.46280000000002</v>
      </c>
      <c r="BF168" s="13">
        <f t="shared" si="167"/>
        <v>42.969686502194378</v>
      </c>
      <c r="BG168" s="20">
        <f t="shared" si="168"/>
        <v>369.98658065798855</v>
      </c>
      <c r="BH168" s="59">
        <f t="shared" si="116"/>
        <v>663.31991399132187</v>
      </c>
      <c r="BI168" s="59">
        <f ca="1">AVERAGE(OFFSET($BH$3,0,0,'Données projet'!$E$11+1,1))-AVERAGE(OFFSET($H$3,0,0,'Données projet'!$E$11+1,1))</f>
        <v>167.80254365106839</v>
      </c>
      <c r="BJ168" s="59">
        <f t="shared" si="146"/>
        <v>167.42302164950172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6.2261909909851845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6.2261909909851845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669.99999999999989</v>
      </c>
      <c r="BZ168" s="13">
        <f>BY168*VLOOKUP('Données projet'!$B$12,Paramètres!$A$1:$I$89,3,0)*VLOOKUP('Données projet'!$B$12,Paramètres!$A$1:$I$89,5,0)</f>
        <v>330.97999999999996</v>
      </c>
      <c r="CA168" s="13">
        <f t="shared" si="170"/>
        <v>77.633451096966454</v>
      </c>
      <c r="CB168" s="20">
        <f t="shared" si="171"/>
        <v>711.66842732721636</v>
      </c>
      <c r="CC168" s="59">
        <f t="shared" si="119"/>
        <v>1005.0017606605497</v>
      </c>
      <c r="CD168" s="59">
        <f ca="1">AVERAGE(OFFSET($CC$3,0,0,'Données projet'!$E$12+1,1))-AVERAGE(OFFSET($H$3,0,0,'Données projet'!$E$12+1,1))</f>
        <v>322.06606384496587</v>
      </c>
      <c r="CE168" s="59">
        <f t="shared" si="148"/>
        <v>267.71713177624713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21.609431004118488</v>
      </c>
      <c r="CL168" s="21">
        <f>EXP(-LN(2)/25)*CL167+(1-EXP(-LN(2)/25))/(LN(2)/25)*Calculateur!CG168*Calculateur!CI168*VLOOKUP('Données projet'!$B$12,Paramètres!$A$1:$I$89,3,0)*0.475*44/12</f>
        <v>0.47613563601082443</v>
      </c>
      <c r="CM168" s="21">
        <f>EXP(-LN(2)/2)*CM167+(1-EXP(-LN(2)/2))/(LN(2)/2)*CG168*CJ168*VLOOKUP('Données projet'!$B$12,Paramètres!$A$1:$I$89,3,0)*0.475*44/12</f>
        <v>1.8950592064619135E-20</v>
      </c>
      <c r="CN168" s="22">
        <f t="shared" si="172"/>
        <v>22.085566640129311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401</v>
      </c>
      <c r="CU168" s="17">
        <f>CT168*VLOOKUP('Données projet'!$B$13,Paramètres!$A$1:$I$89,3,0)*VLOOKUP('Données projet'!$B$13,Paramètres!$A$1:$I$89,5,0)</f>
        <v>250.22399999999999</v>
      </c>
      <c r="CV168" s="13">
        <f t="shared" si="173"/>
        <v>60.633904580527918</v>
      </c>
      <c r="CW168" s="20">
        <f t="shared" si="174"/>
        <v>541.41085047775289</v>
      </c>
      <c r="CX168" s="59">
        <f t="shared" si="122"/>
        <v>834.74418381108626</v>
      </c>
      <c r="CY168" s="59">
        <f ca="1">AVERAGE(OFFSET($CX$3,0,0,'Données projet'!$E$13+1,1))-AVERAGE(OFFSET($H$3,0,0,'Données projet'!$E$13+1,1))</f>
        <v>269.77739619445515</v>
      </c>
      <c r="CZ168" s="59">
        <f t="shared" si="150"/>
        <v>347.56964743629885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9.5722939786773704</v>
      </c>
      <c r="DG168" s="21">
        <f>EXP(-LN(2)/25)*DG167+(1-EXP(-LN(2)/25))/(LN(2)/25)*Calculateur!DB168*Calculateur!DD168*VLOOKUP('Données projet'!$B$13,Paramètres!$A$1:$I$89,3,0)*0.475*44/12</f>
        <v>2.1727368781839784</v>
      </c>
      <c r="DH168" s="21">
        <f>EXP(-LN(2)/2)*DH167+(1-EXP(-LN(2)/2))/(LN(2)/2)*DB168*DE168*VLOOKUP('Données projet'!$B$13,Paramètres!$A$1:$I$89,3,0)*0.475*44/12</f>
        <v>1.1901397638900807E-22</v>
      </c>
      <c r="DI168" s="22">
        <f t="shared" si="175"/>
        <v>11.745030856861348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669.99999999999989</v>
      </c>
      <c r="DP168" s="17">
        <f>DO168*VLOOKUP('Données projet'!$B$14,Paramètres!$A$1:$I$89,3,0)*VLOOKUP('Données projet'!$B$14,Paramètres!$A$1:$I$89,5,0)</f>
        <v>322.26999999999992</v>
      </c>
      <c r="DQ168" s="13">
        <f t="shared" si="176"/>
        <v>75.825476822885776</v>
      </c>
      <c r="DR168" s="20">
        <f t="shared" si="177"/>
        <v>693.34962213319261</v>
      </c>
      <c r="DS168" s="59">
        <f t="shared" si="125"/>
        <v>986.68295546652598</v>
      </c>
      <c r="DT168" s="59">
        <f ca="1">AVERAGE(OFFSET($DS$3,0,0,'Données projet'!$E$14+1,1))-AVERAGE(OFFSET($H$3,0,0,'Données projet'!$E$14+1,1))</f>
        <v>312.64506496298173</v>
      </c>
      <c r="DU168" s="59">
        <f t="shared" si="152"/>
        <v>259.97532509897508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21.040761767168014</v>
      </c>
      <c r="EB168" s="21">
        <f>EXP(-LN(2)/25)*EB167+(1-EXP(-LN(2)/25))/(LN(2)/25)*Calculateur!DW168*Calculateur!DY168*VLOOKUP('Données projet'!$B$14,Paramètres!$A$1:$I$89,3,0)*0.475*44/12</f>
        <v>0.46360575085264594</v>
      </c>
      <c r="EC168" s="21">
        <f>EXP(-LN(2)/2)*EC167+(1-EXP(-LN(2)/2))/(LN(2)/2)*DW168*DZ168*VLOOKUP('Données projet'!$B$14,Paramètres!$A$1:$I$89,3,0)*0.475*44/12</f>
        <v>1.8451892273444738E-20</v>
      </c>
      <c r="ED168" s="22">
        <f t="shared" si="178"/>
        <v>21.504367518020661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267</v>
      </c>
      <c r="EK168" s="17">
        <f>EJ168*VLOOKUP('Données projet'!$B$15,Paramètres!$A$1:$I$89,3,0)*VLOOKUP('Données projet'!$B$15,Paramètres!$A$1:$I$89,5,0)</f>
        <v>241.58159999999998</v>
      </c>
      <c r="EL168" s="13">
        <f t="shared" si="179"/>
        <v>58.779689232021951</v>
      </c>
      <c r="EM168" s="20">
        <f t="shared" si="180"/>
        <v>523.12924541243819</v>
      </c>
      <c r="EN168" s="59">
        <f t="shared" si="128"/>
        <v>816.46257874577145</v>
      </c>
      <c r="EO168" s="59">
        <f ca="1">AVERAGE(OFFSET($EN$3,0,0,'Données projet'!$E$15+1,1))-AVERAGE(OFFSET($H$3,0,0,'Données projet'!$E$15+1,1))</f>
        <v>269.64423257646359</v>
      </c>
      <c r="EP168" s="59">
        <f t="shared" si="154"/>
        <v>161.0819079811821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28.080259491098932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28.080259491098932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349.00000000000017</v>
      </c>
      <c r="FF168" s="17">
        <f>FE168*VLOOKUP('Données projet'!$B$16,Paramètres!$A$1:$I$89,3,0)*VLOOKUP('Données projet'!$B$16,Paramètres!$A$1:$I$89,5,0)</f>
        <v>272.22000000000014</v>
      </c>
      <c r="FG168" s="13">
        <f t="shared" si="182"/>
        <v>65.320184547527205</v>
      </c>
      <c r="FH168" s="20">
        <f t="shared" si="183"/>
        <v>587.88248808694345</v>
      </c>
      <c r="FI168" s="59">
        <f t="shared" si="131"/>
        <v>881.21582142027682</v>
      </c>
      <c r="FJ168" s="59">
        <f ca="1">AVERAGE(OFFSET($FI$3,0,0,'Données projet'!$E$16+1,1))-AVERAGE(OFFSET($H$3,0,0,'Données projet'!$E$16+1,1))</f>
        <v>283.77864672734273</v>
      </c>
      <c r="FK168" s="59">
        <f t="shared" si="156"/>
        <v>270.94620935643866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13.206659683530328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13.206659683530328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319</v>
      </c>
      <c r="GA168" s="17">
        <f>FZ168*VLOOKUP('Données projet'!$B$17,Paramètres!$A$1:$I$89,3,0)*VLOOKUP('Données projet'!$B$17,Paramètres!$A$1:$I$89,5,0)</f>
        <v>308.53680000000003</v>
      </c>
      <c r="GB168" s="13">
        <f t="shared" si="185"/>
        <v>72.963171684496103</v>
      </c>
      <c r="GC168" s="20">
        <f t="shared" si="186"/>
        <v>664.4457840171641</v>
      </c>
      <c r="GD168" s="59">
        <f t="shared" si="134"/>
        <v>957.77911735049747</v>
      </c>
      <c r="GE168" s="59">
        <f ca="1">AVERAGE(OFFSET($GD$3,0,0,'Données projet'!$E$17+1,1))-AVERAGE(OFFSET($H$3,0,0,'Données projet'!$E$17+1,1))</f>
        <v>347.54503437087288</v>
      </c>
      <c r="GF168" s="59">
        <f t="shared" si="158"/>
        <v>340.05673244455954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9.7407751361817176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9.7407751361817176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735.00000000000011</v>
      </c>
      <c r="O169" s="13">
        <f>N169*VLOOKUP('Données projet'!$B$9,Paramètres!$A$1:$I$89,3,0)*VLOOKUP('Données projet'!$B$9,Paramètres!$A$1:$I$89,5,0)</f>
        <v>343.98</v>
      </c>
      <c r="P169" s="13">
        <f t="shared" si="141"/>
        <v>80.321681832084693</v>
      </c>
      <c r="Q169" s="20">
        <f t="shared" si="162"/>
        <v>738.9920958575475</v>
      </c>
      <c r="R169" s="59">
        <f t="shared" si="109"/>
        <v>1032.3254291908809</v>
      </c>
      <c r="S169" s="59">
        <f ca="1">AVERAGE(OFFSET($R$3,0,0,'Données projet'!$E$9+1,1))-AVERAGE(OFFSET($H$3,0,0,'Données projet'!$E$9+1,1))</f>
        <v>342.49944586217674</v>
      </c>
      <c r="T169" s="59">
        <f t="shared" si="142"/>
        <v>282.29766600872563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21.478305089237239</v>
      </c>
      <c r="AA169" s="21">
        <f>EXP(-LN(2)/25)*AA168+(1-EXP(-LN(2)/25))/(LN(2)/25)*Calculateur!V169*Calculateur!X169*VLOOKUP('Données projet'!$B$9,Paramètres!$A$1:$I$89,3,0)*0.475*44/12</f>
        <v>0.9232734906254908</v>
      </c>
      <c r="AB169" s="21">
        <f>EXP(-LN(2)/2)*AB168+(1-EXP(-LN(2)/2))/(LN(2)/2)*V169*Y169*VLOOKUP('Données projet'!$B$9,Paramètres!$A$1:$I$89,3,0)*0.475*44/12</f>
        <v>2.8051863253547779E-22</v>
      </c>
      <c r="AC169" s="22">
        <f t="shared" si="163"/>
        <v>22.401578579862729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739.99999999999966</v>
      </c>
      <c r="AJ169" s="13">
        <f>AI169*VLOOKUP('Données projet'!$B$10,Paramètres!$A$1:$I$89,3,0)*VLOOKUP('Données projet'!$B$10,Paramètres!$A$1:$I$89,5,0)</f>
        <v>413.65999999999985</v>
      </c>
      <c r="AK169" s="13">
        <f t="shared" si="164"/>
        <v>94.540585122244352</v>
      </c>
      <c r="AL169" s="20">
        <f t="shared" si="165"/>
        <v>885.11601908790863</v>
      </c>
      <c r="AM169" s="59">
        <f t="shared" si="113"/>
        <v>1178.4493524212419</v>
      </c>
      <c r="AN169" s="59">
        <f ca="1">AVERAGE(OFFSET($AM$3,0,0,'Données projet'!$E$10+1,1))-AVERAGE(OFFSET($H$3,0,0,'Données projet'!$E$10+1,1))</f>
        <v>490.96084572840579</v>
      </c>
      <c r="AO169" s="59">
        <f t="shared" si="144"/>
        <v>597.91658789908263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15.134300340056949</v>
      </c>
      <c r="AV169" s="21">
        <f>EXP(-LN(2)/25)*AV168+(1-EXP(-LN(2)/25))/(LN(2)/25)*Calculateur!AQ169*Calculateur!AS169*VLOOKUP('Données projet'!$B$10,Paramètres!$A$1:$I$89,3,0)*0.475*44/12</f>
        <v>1.3310267779087306</v>
      </c>
      <c r="AW169" s="21">
        <f>EXP(-LN(2)/2)*AW168+(1-EXP(-LN(2)/2))/(LN(2)/2)*AQ169*AT169*VLOOKUP('Données projet'!$B$10,Paramètres!$A$1:$I$89,3,0)*0.475*44/12</f>
        <v>2.8815497308783238E-21</v>
      </c>
      <c r="AX169" s="21">
        <f t="shared" si="166"/>
        <v>16.465327117965678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213.00000000000003</v>
      </c>
      <c r="BE169" s="13">
        <f>BD169*VLOOKUP('Données projet'!$B$11,Paramètres!$A$1:$I$89,3,0)*VLOOKUP('Données projet'!$B$11,Paramètres!$A$1:$I$89,5,0)</f>
        <v>169.46280000000002</v>
      </c>
      <c r="BF169" s="13">
        <f t="shared" si="167"/>
        <v>42.969686502194378</v>
      </c>
      <c r="BG169" s="20">
        <f t="shared" si="168"/>
        <v>369.98658065798855</v>
      </c>
      <c r="BH169" s="59">
        <f t="shared" si="116"/>
        <v>663.31991399132187</v>
      </c>
      <c r="BI169" s="59">
        <f ca="1">AVERAGE(OFFSET($BH$3,0,0,'Données projet'!$E$11+1,1))-AVERAGE(OFFSET($H$3,0,0,'Données projet'!$E$11+1,1))</f>
        <v>167.80254365106839</v>
      </c>
      <c r="BJ169" s="59">
        <f t="shared" si="146"/>
        <v>167.42302164950172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6.1040991832534877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6.1040991832534877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669.99999999999989</v>
      </c>
      <c r="BZ169" s="13">
        <f>BY169*VLOOKUP('Données projet'!$B$12,Paramètres!$A$1:$I$89,3,0)*VLOOKUP('Données projet'!$B$12,Paramètres!$A$1:$I$89,5,0)</f>
        <v>330.97999999999996</v>
      </c>
      <c r="CA169" s="13">
        <f t="shared" si="170"/>
        <v>77.633451096966454</v>
      </c>
      <c r="CB169" s="20">
        <f t="shared" si="171"/>
        <v>711.66842732721636</v>
      </c>
      <c r="CC169" s="59">
        <f t="shared" si="119"/>
        <v>1005.0017606605497</v>
      </c>
      <c r="CD169" s="59">
        <f ca="1">AVERAGE(OFFSET($CC$3,0,0,'Données projet'!$E$12+1,1))-AVERAGE(OFFSET($H$3,0,0,'Données projet'!$E$12+1,1))</f>
        <v>322.06606384496587</v>
      </c>
      <c r="CE169" s="59">
        <f t="shared" si="148"/>
        <v>267.71713177624713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21.185683242579174</v>
      </c>
      <c r="CL169" s="21">
        <f>EXP(-LN(2)/25)*CL168+(1-EXP(-LN(2)/25))/(LN(2)/25)*Calculateur!CG169*Calculateur!CI169*VLOOKUP('Données projet'!$B$12,Paramètres!$A$1:$I$89,3,0)*0.475*44/12</f>
        <v>0.46311568200522357</v>
      </c>
      <c r="CM169" s="21">
        <f>EXP(-LN(2)/2)*CM168+(1-EXP(-LN(2)/2))/(LN(2)/2)*CG169*CJ169*VLOOKUP('Données projet'!$B$12,Paramètres!$A$1:$I$89,3,0)*0.475*44/12</f>
        <v>1.3400092156392167E-20</v>
      </c>
      <c r="CN169" s="22">
        <f t="shared" si="172"/>
        <v>21.648798924584398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401</v>
      </c>
      <c r="CU169" s="17">
        <f>CT169*VLOOKUP('Données projet'!$B$13,Paramètres!$A$1:$I$89,3,0)*VLOOKUP('Données projet'!$B$13,Paramètres!$A$1:$I$89,5,0)</f>
        <v>250.22399999999999</v>
      </c>
      <c r="CV169" s="13">
        <f t="shared" si="173"/>
        <v>60.633904580527918</v>
      </c>
      <c r="CW169" s="20">
        <f t="shared" si="174"/>
        <v>541.41085047775289</v>
      </c>
      <c r="CX169" s="59">
        <f t="shared" si="122"/>
        <v>834.74418381108626</v>
      </c>
      <c r="CY169" s="59">
        <f ca="1">AVERAGE(OFFSET($CX$3,0,0,'Données projet'!$E$13+1,1))-AVERAGE(OFFSET($H$3,0,0,'Données projet'!$E$13+1,1))</f>
        <v>269.77739619445515</v>
      </c>
      <c r="CZ169" s="59">
        <f t="shared" si="150"/>
        <v>347.56964743629885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9.3845871322783285</v>
      </c>
      <c r="DG169" s="21">
        <f>EXP(-LN(2)/25)*DG168+(1-EXP(-LN(2)/25))/(LN(2)/25)*Calculateur!DB169*Calculateur!DD169*VLOOKUP('Données projet'!$B$13,Paramètres!$A$1:$I$89,3,0)*0.475*44/12</f>
        <v>2.1133232739907708</v>
      </c>
      <c r="DH169" s="21">
        <f>EXP(-LN(2)/2)*DH168+(1-EXP(-LN(2)/2))/(LN(2)/2)*DB169*DE169*VLOOKUP('Données projet'!$B$13,Paramètres!$A$1:$I$89,3,0)*0.475*44/12</f>
        <v>8.4155589760643267E-23</v>
      </c>
      <c r="DI169" s="22">
        <f t="shared" si="175"/>
        <v>11.497910406269099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669.99999999999989</v>
      </c>
      <c r="DP169" s="17">
        <f>DO169*VLOOKUP('Données projet'!$B$14,Paramètres!$A$1:$I$89,3,0)*VLOOKUP('Données projet'!$B$14,Paramètres!$A$1:$I$89,5,0)</f>
        <v>322.26999999999992</v>
      </c>
      <c r="DQ169" s="13">
        <f t="shared" si="176"/>
        <v>75.825476822885776</v>
      </c>
      <c r="DR169" s="20">
        <f t="shared" si="177"/>
        <v>693.34962213319261</v>
      </c>
      <c r="DS169" s="59">
        <f t="shared" si="125"/>
        <v>986.68295546652598</v>
      </c>
      <c r="DT169" s="59">
        <f ca="1">AVERAGE(OFFSET($DS$3,0,0,'Données projet'!$E$14+1,1))-AVERAGE(OFFSET($H$3,0,0,'Données projet'!$E$14+1,1))</f>
        <v>312.64506496298173</v>
      </c>
      <c r="DU169" s="59">
        <f t="shared" si="152"/>
        <v>259.97532509897508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20.628165262511313</v>
      </c>
      <c r="EB169" s="21">
        <f>EXP(-LN(2)/25)*EB168+(1-EXP(-LN(2)/25))/(LN(2)/25)*Calculateur!DW169*Calculateur!DY169*VLOOKUP('Données projet'!$B$14,Paramètres!$A$1:$I$89,3,0)*0.475*44/12</f>
        <v>0.45092842721561349</v>
      </c>
      <c r="EC169" s="21">
        <f>EXP(-LN(2)/2)*EC168+(1-EXP(-LN(2)/2))/(LN(2)/2)*DW169*DZ169*VLOOKUP('Données projet'!$B$14,Paramètres!$A$1:$I$89,3,0)*0.475*44/12</f>
        <v>1.3047458152276435E-20</v>
      </c>
      <c r="ED169" s="22">
        <f t="shared" si="178"/>
        <v>21.079093689726928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267</v>
      </c>
      <c r="EK169" s="17">
        <f>EJ169*VLOOKUP('Données projet'!$B$15,Paramètres!$A$1:$I$89,3,0)*VLOOKUP('Données projet'!$B$15,Paramètres!$A$1:$I$89,5,0)</f>
        <v>241.58159999999998</v>
      </c>
      <c r="EL169" s="13">
        <f t="shared" si="179"/>
        <v>58.779689232021951</v>
      </c>
      <c r="EM169" s="20">
        <f t="shared" si="180"/>
        <v>523.12924541243819</v>
      </c>
      <c r="EN169" s="59">
        <f t="shared" si="128"/>
        <v>816.46257874577145</v>
      </c>
      <c r="EO169" s="59">
        <f ca="1">AVERAGE(OFFSET($EN$3,0,0,'Données projet'!$E$15+1,1))-AVERAGE(OFFSET($H$3,0,0,'Données projet'!$E$15+1,1))</f>
        <v>269.64423257646359</v>
      </c>
      <c r="EP169" s="59">
        <f t="shared" si="154"/>
        <v>161.0819079811821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27.529622729745594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27.529622729745594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349.00000000000017</v>
      </c>
      <c r="FF169" s="17">
        <f>FE169*VLOOKUP('Données projet'!$B$16,Paramètres!$A$1:$I$89,3,0)*VLOOKUP('Données projet'!$B$16,Paramètres!$A$1:$I$89,5,0)</f>
        <v>272.22000000000014</v>
      </c>
      <c r="FG169" s="13">
        <f t="shared" si="182"/>
        <v>65.320184547527205</v>
      </c>
      <c r="FH169" s="20">
        <f t="shared" si="183"/>
        <v>587.88248808694345</v>
      </c>
      <c r="FI169" s="59">
        <f t="shared" si="131"/>
        <v>881.21582142027682</v>
      </c>
      <c r="FJ169" s="59">
        <f ca="1">AVERAGE(OFFSET($FI$3,0,0,'Données projet'!$E$16+1,1))-AVERAGE(OFFSET($H$3,0,0,'Données projet'!$E$16+1,1))</f>
        <v>283.77864672734273</v>
      </c>
      <c r="FK169" s="59">
        <f t="shared" si="156"/>
        <v>270.94620935643866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12.947685142403314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12.947685142403314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319</v>
      </c>
      <c r="GA169" s="17">
        <f>FZ169*VLOOKUP('Données projet'!$B$17,Paramètres!$A$1:$I$89,3,0)*VLOOKUP('Données projet'!$B$17,Paramètres!$A$1:$I$89,5,0)</f>
        <v>308.53680000000003</v>
      </c>
      <c r="GB169" s="13">
        <f t="shared" si="185"/>
        <v>72.963171684496103</v>
      </c>
      <c r="GC169" s="20">
        <f t="shared" si="186"/>
        <v>664.4457840171641</v>
      </c>
      <c r="GD169" s="59">
        <f t="shared" si="134"/>
        <v>957.77911735049747</v>
      </c>
      <c r="GE169" s="59">
        <f ca="1">AVERAGE(OFFSET($GD$3,0,0,'Données projet'!$E$17+1,1))-AVERAGE(OFFSET($H$3,0,0,'Données projet'!$E$17+1,1))</f>
        <v>347.54503437087288</v>
      </c>
      <c r="GF169" s="59">
        <f t="shared" si="158"/>
        <v>340.05673244455954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9.5497644770473737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9.5497644770473737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735.00000000000011</v>
      </c>
      <c r="O170" s="13">
        <f>N170*VLOOKUP('Données projet'!$B$9,Paramètres!$A$1:$I$89,3,0)*VLOOKUP('Données projet'!$B$9,Paramètres!$A$1:$I$89,5,0)</f>
        <v>343.98</v>
      </c>
      <c r="P170" s="13">
        <f t="shared" si="141"/>
        <v>80.321681832084693</v>
      </c>
      <c r="Q170" s="20">
        <f t="shared" si="162"/>
        <v>738.9920958575475</v>
      </c>
      <c r="R170" s="59">
        <f t="shared" si="109"/>
        <v>1032.3254291908809</v>
      </c>
      <c r="S170" s="59">
        <f ca="1">AVERAGE(OFFSET($R$3,0,0,'Données projet'!$E$9+1,1))-AVERAGE(OFFSET($H$3,0,0,'Données projet'!$E$9+1,1))</f>
        <v>342.49944586217674</v>
      </c>
      <c r="T170" s="59">
        <f t="shared" si="142"/>
        <v>282.29766600872563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21.057128626909837</v>
      </c>
      <c r="AA170" s="21">
        <f>EXP(-LN(2)/25)*AA169+(1-EXP(-LN(2)/25))/(LN(2)/25)*Calculateur!V170*Calculateur!X170*VLOOKUP('Données projet'!$B$9,Paramètres!$A$1:$I$89,3,0)*0.475*44/12</f>
        <v>0.898026528471494</v>
      </c>
      <c r="AB170" s="21">
        <f>EXP(-LN(2)/2)*AB169+(1-EXP(-LN(2)/2))/(LN(2)/2)*V170*Y170*VLOOKUP('Données projet'!$B$9,Paramètres!$A$1:$I$89,3,0)*0.475*44/12</f>
        <v>1.9835662731501363E-22</v>
      </c>
      <c r="AC170" s="22">
        <f t="shared" si="163"/>
        <v>21.95515515538133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739.99999999999966</v>
      </c>
      <c r="AJ170" s="13">
        <f>AI170*VLOOKUP('Données projet'!$B$10,Paramètres!$A$1:$I$89,3,0)*VLOOKUP('Données projet'!$B$10,Paramètres!$A$1:$I$89,5,0)</f>
        <v>413.65999999999985</v>
      </c>
      <c r="AK170" s="13">
        <f t="shared" si="164"/>
        <v>94.540585122244352</v>
      </c>
      <c r="AL170" s="20">
        <f t="shared" si="165"/>
        <v>885.11601908790863</v>
      </c>
      <c r="AM170" s="59">
        <f t="shared" si="113"/>
        <v>1178.4493524212419</v>
      </c>
      <c r="AN170" s="59">
        <f ca="1">AVERAGE(OFFSET($AM$3,0,0,'Données projet'!$E$10+1,1))-AVERAGE(OFFSET($H$3,0,0,'Données projet'!$E$10+1,1))</f>
        <v>490.96084572840579</v>
      </c>
      <c r="AO170" s="59">
        <f t="shared" si="144"/>
        <v>597.91658789908263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14.837525941400154</v>
      </c>
      <c r="AV170" s="21">
        <f>EXP(-LN(2)/25)*AV169+(1-EXP(-LN(2)/25))/(LN(2)/25)*Calculateur!AQ170*Calculateur!AS170*VLOOKUP('Données projet'!$B$10,Paramètres!$A$1:$I$89,3,0)*0.475*44/12</f>
        <v>1.2946297806711602</v>
      </c>
      <c r="AW170" s="21">
        <f>EXP(-LN(2)/2)*AW169+(1-EXP(-LN(2)/2))/(LN(2)/2)*AQ170*AT170*VLOOKUP('Données projet'!$B$10,Paramètres!$A$1:$I$89,3,0)*0.475*44/12</f>
        <v>2.0375633550303337E-21</v>
      </c>
      <c r="AX170" s="21">
        <f t="shared" si="166"/>
        <v>16.132155722071314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213.00000000000003</v>
      </c>
      <c r="BE170" s="13">
        <f>BD170*VLOOKUP('Données projet'!$B$11,Paramètres!$A$1:$I$89,3,0)*VLOOKUP('Données projet'!$B$11,Paramètres!$A$1:$I$89,5,0)</f>
        <v>169.46280000000002</v>
      </c>
      <c r="BF170" s="13">
        <f t="shared" si="167"/>
        <v>42.969686502194378</v>
      </c>
      <c r="BG170" s="20">
        <f t="shared" si="168"/>
        <v>369.98658065798855</v>
      </c>
      <c r="BH170" s="59">
        <f t="shared" si="116"/>
        <v>663.31991399132187</v>
      </c>
      <c r="BI170" s="59">
        <f ca="1">AVERAGE(OFFSET($BH$3,0,0,'Données projet'!$E$11+1,1))-AVERAGE(OFFSET($H$3,0,0,'Données projet'!$E$11+1,1))</f>
        <v>167.80254365106839</v>
      </c>
      <c r="BJ170" s="59">
        <f t="shared" si="146"/>
        <v>167.42302164950172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5.9844015214027593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5.9844015214027593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669.99999999999989</v>
      </c>
      <c r="BZ170" s="13">
        <f>BY170*VLOOKUP('Données projet'!$B$12,Paramètres!$A$1:$I$89,3,0)*VLOOKUP('Données projet'!$B$12,Paramètres!$A$1:$I$89,5,0)</f>
        <v>330.97999999999996</v>
      </c>
      <c r="CA170" s="13">
        <f t="shared" si="170"/>
        <v>77.633451096966454</v>
      </c>
      <c r="CB170" s="20">
        <f t="shared" si="171"/>
        <v>711.66842732721636</v>
      </c>
      <c r="CC170" s="59">
        <f t="shared" si="119"/>
        <v>1005.0017606605497</v>
      </c>
      <c r="CD170" s="59">
        <f ca="1">AVERAGE(OFFSET($CC$3,0,0,'Données projet'!$E$12+1,1))-AVERAGE(OFFSET($H$3,0,0,'Données projet'!$E$12+1,1))</f>
        <v>322.06606384496587</v>
      </c>
      <c r="CE170" s="59">
        <f t="shared" si="148"/>
        <v>267.71713177624713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20.770244916183035</v>
      </c>
      <c r="CL170" s="21">
        <f>EXP(-LN(2)/25)*CL169+(1-EXP(-LN(2)/25))/(LN(2)/25)*Calculateur!CG170*Calculateur!CI170*VLOOKUP('Données projet'!$B$12,Paramètres!$A$1:$I$89,3,0)*0.475*44/12</f>
        <v>0.45045175932659548</v>
      </c>
      <c r="CM170" s="21">
        <f>EXP(-LN(2)/2)*CM169+(1-EXP(-LN(2)/2))/(LN(2)/2)*CG170*CJ170*VLOOKUP('Données projet'!$B$12,Paramètres!$A$1:$I$89,3,0)*0.475*44/12</f>
        <v>9.4752960323095691E-21</v>
      </c>
      <c r="CN170" s="22">
        <f t="shared" si="172"/>
        <v>21.220696675509629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401</v>
      </c>
      <c r="CU170" s="17">
        <f>CT170*VLOOKUP('Données projet'!$B$13,Paramètres!$A$1:$I$89,3,0)*VLOOKUP('Données projet'!$B$13,Paramètres!$A$1:$I$89,5,0)</f>
        <v>250.22399999999999</v>
      </c>
      <c r="CV170" s="13">
        <f t="shared" si="173"/>
        <v>60.633904580527918</v>
      </c>
      <c r="CW170" s="20">
        <f t="shared" si="174"/>
        <v>541.41085047775289</v>
      </c>
      <c r="CX170" s="59">
        <f t="shared" si="122"/>
        <v>834.74418381108626</v>
      </c>
      <c r="CY170" s="59">
        <f ca="1">AVERAGE(OFFSET($CX$3,0,0,'Données projet'!$E$13+1,1))-AVERAGE(OFFSET($H$3,0,0,'Données projet'!$E$13+1,1))</f>
        <v>269.77739619445515</v>
      </c>
      <c r="CZ170" s="59">
        <f t="shared" si="150"/>
        <v>347.56964743629885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9.2005611026472991</v>
      </c>
      <c r="DG170" s="21">
        <f>EXP(-LN(2)/25)*DG169+(1-EXP(-LN(2)/25))/(LN(2)/25)*Calculateur!DB170*Calculateur!DD170*VLOOKUP('Données projet'!$B$13,Paramètres!$A$1:$I$89,3,0)*0.475*44/12</f>
        <v>2.0555343379286524</v>
      </c>
      <c r="DH170" s="21">
        <f>EXP(-LN(2)/2)*DH169+(1-EXP(-LN(2)/2))/(LN(2)/2)*DB170*DE170*VLOOKUP('Données projet'!$B$13,Paramètres!$A$1:$I$89,3,0)*0.475*44/12</f>
        <v>5.9506988194504036E-23</v>
      </c>
      <c r="DI170" s="22">
        <f t="shared" si="175"/>
        <v>11.256095440575951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669.99999999999989</v>
      </c>
      <c r="DP170" s="17">
        <f>DO170*VLOOKUP('Données projet'!$B$14,Paramètres!$A$1:$I$89,3,0)*VLOOKUP('Données projet'!$B$14,Paramètres!$A$1:$I$89,5,0)</f>
        <v>322.26999999999992</v>
      </c>
      <c r="DQ170" s="13">
        <f t="shared" si="176"/>
        <v>75.825476822885776</v>
      </c>
      <c r="DR170" s="20">
        <f t="shared" si="177"/>
        <v>693.34962213319261</v>
      </c>
      <c r="DS170" s="59">
        <f t="shared" si="125"/>
        <v>986.68295546652598</v>
      </c>
      <c r="DT170" s="59">
        <f ca="1">AVERAGE(OFFSET($DS$3,0,0,'Données projet'!$E$14+1,1))-AVERAGE(OFFSET($H$3,0,0,'Données projet'!$E$14+1,1))</f>
        <v>312.64506496298173</v>
      </c>
      <c r="DU170" s="59">
        <f t="shared" si="152"/>
        <v>259.97532509897508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20.223659523651914</v>
      </c>
      <c r="EB170" s="21">
        <f>EXP(-LN(2)/25)*EB169+(1-EXP(-LN(2)/25))/(LN(2)/25)*Calculateur!DW170*Calculateur!DY170*VLOOKUP('Données projet'!$B$14,Paramètres!$A$1:$I$89,3,0)*0.475*44/12</f>
        <v>0.43859776566010716</v>
      </c>
      <c r="EC170" s="21">
        <f>EXP(-LN(2)/2)*EC169+(1-EXP(-LN(2)/2))/(LN(2)/2)*DW170*DZ170*VLOOKUP('Données projet'!$B$14,Paramètres!$A$1:$I$89,3,0)*0.475*44/12</f>
        <v>9.225946136722369E-21</v>
      </c>
      <c r="ED170" s="22">
        <f t="shared" si="178"/>
        <v>20.66225728931202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267</v>
      </c>
      <c r="EK170" s="17">
        <f>EJ170*VLOOKUP('Données projet'!$B$15,Paramètres!$A$1:$I$89,3,0)*VLOOKUP('Données projet'!$B$15,Paramètres!$A$1:$I$89,5,0)</f>
        <v>241.58159999999998</v>
      </c>
      <c r="EL170" s="13">
        <f t="shared" si="179"/>
        <v>58.779689232021951</v>
      </c>
      <c r="EM170" s="20">
        <f t="shared" si="180"/>
        <v>523.12924541243819</v>
      </c>
      <c r="EN170" s="59">
        <f t="shared" si="128"/>
        <v>816.46257874577145</v>
      </c>
      <c r="EO170" s="59">
        <f ca="1">AVERAGE(OFFSET($EN$3,0,0,'Données projet'!$E$15+1,1))-AVERAGE(OFFSET($H$3,0,0,'Données projet'!$E$15+1,1))</f>
        <v>269.64423257646359</v>
      </c>
      <c r="EP170" s="59">
        <f t="shared" si="154"/>
        <v>161.0819079811821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26.989783619427133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26.989783619427133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349.00000000000017</v>
      </c>
      <c r="FF170" s="17">
        <f>FE170*VLOOKUP('Données projet'!$B$16,Paramètres!$A$1:$I$89,3,0)*VLOOKUP('Données projet'!$B$16,Paramètres!$A$1:$I$89,5,0)</f>
        <v>272.22000000000014</v>
      </c>
      <c r="FG170" s="13">
        <f t="shared" si="182"/>
        <v>65.320184547527205</v>
      </c>
      <c r="FH170" s="20">
        <f t="shared" si="183"/>
        <v>587.88248808694345</v>
      </c>
      <c r="FI170" s="59">
        <f t="shared" si="131"/>
        <v>881.21582142027682</v>
      </c>
      <c r="FJ170" s="59">
        <f ca="1">AVERAGE(OFFSET($FI$3,0,0,'Données projet'!$E$16+1,1))-AVERAGE(OFFSET($H$3,0,0,'Données projet'!$E$16+1,1))</f>
        <v>283.77864672734273</v>
      </c>
      <c r="FK170" s="59">
        <f t="shared" si="156"/>
        <v>270.94620935643866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12.693788934068927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12.693788934068927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319</v>
      </c>
      <c r="GA170" s="17">
        <f>FZ170*VLOOKUP('Données projet'!$B$17,Paramètres!$A$1:$I$89,3,0)*VLOOKUP('Données projet'!$B$17,Paramètres!$A$1:$I$89,5,0)</f>
        <v>308.53680000000003</v>
      </c>
      <c r="GB170" s="13">
        <f t="shared" si="185"/>
        <v>72.963171684496103</v>
      </c>
      <c r="GC170" s="20">
        <f t="shared" si="186"/>
        <v>664.4457840171641</v>
      </c>
      <c r="GD170" s="59">
        <f t="shared" si="134"/>
        <v>957.77911735049747</v>
      </c>
      <c r="GE170" s="59">
        <f ca="1">AVERAGE(OFFSET($GD$3,0,0,'Données projet'!$E$17+1,1))-AVERAGE(OFFSET($H$3,0,0,'Données projet'!$E$17+1,1))</f>
        <v>347.54503437087288</v>
      </c>
      <c r="GF170" s="59">
        <f t="shared" si="158"/>
        <v>340.05673244455954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9.3624994204336556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9.3624994204336556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735.00000000000011</v>
      </c>
      <c r="O171" s="13">
        <f>N171*VLOOKUP('Données projet'!$B$9,Paramètres!$A$1:$I$89,3,0)*VLOOKUP('Données projet'!$B$9,Paramètres!$A$1:$I$89,5,0)</f>
        <v>343.98</v>
      </c>
      <c r="P171" s="13">
        <f t="shared" si="141"/>
        <v>80.321681832084693</v>
      </c>
      <c r="Q171" s="20">
        <f t="shared" si="162"/>
        <v>738.9920958575475</v>
      </c>
      <c r="R171" s="59">
        <f t="shared" si="109"/>
        <v>1032.3254291908809</v>
      </c>
      <c r="S171" s="59">
        <f ca="1">AVERAGE(OFFSET($R$3,0,0,'Données projet'!$E$9+1,1))-AVERAGE(OFFSET($H$3,0,0,'Données projet'!$E$9+1,1))</f>
        <v>342.49944586217674</v>
      </c>
      <c r="T171" s="59">
        <f t="shared" si="142"/>
        <v>282.29766600872563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20.6442111781164</v>
      </c>
      <c r="AA171" s="21">
        <f>EXP(-LN(2)/25)*AA170+(1-EXP(-LN(2)/25))/(LN(2)/25)*Calculateur!V171*Calculateur!X171*VLOOKUP('Données projet'!$B$9,Paramètres!$A$1:$I$89,3,0)*0.475*44/12</f>
        <v>0.87346994582527837</v>
      </c>
      <c r="AB171" s="21">
        <f>EXP(-LN(2)/2)*AB170+(1-EXP(-LN(2)/2))/(LN(2)/2)*V171*Y171*VLOOKUP('Données projet'!$B$9,Paramètres!$A$1:$I$89,3,0)*0.475*44/12</f>
        <v>1.402593162677389E-22</v>
      </c>
      <c r="AC171" s="22">
        <f t="shared" si="163"/>
        <v>21.517681123941678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739.99999999999966</v>
      </c>
      <c r="AJ171" s="13">
        <f>AI171*VLOOKUP('Données projet'!$B$10,Paramètres!$A$1:$I$89,3,0)*VLOOKUP('Données projet'!$B$10,Paramètres!$A$1:$I$89,5,0)</f>
        <v>413.65999999999985</v>
      </c>
      <c r="AK171" s="13">
        <f t="shared" si="164"/>
        <v>94.540585122244352</v>
      </c>
      <c r="AL171" s="20">
        <f t="shared" si="165"/>
        <v>885.11601908790863</v>
      </c>
      <c r="AM171" s="59">
        <f t="shared" si="113"/>
        <v>1178.4493524212419</v>
      </c>
      <c r="AN171" s="59">
        <f ca="1">AVERAGE(OFFSET($AM$3,0,0,'Données projet'!$E$10+1,1))-AVERAGE(OFFSET($H$3,0,0,'Données projet'!$E$10+1,1))</f>
        <v>490.96084572840579</v>
      </c>
      <c r="AO171" s="59">
        <f t="shared" si="144"/>
        <v>597.91658789908263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14.546571107686509</v>
      </c>
      <c r="AV171" s="21">
        <f>EXP(-LN(2)/25)*AV170+(1-EXP(-LN(2)/25))/(LN(2)/25)*Calculateur!AQ171*Calculateur!AS171*VLOOKUP('Données projet'!$B$10,Paramètres!$A$1:$I$89,3,0)*0.475*44/12</f>
        <v>1.2592280612370861</v>
      </c>
      <c r="AW171" s="21">
        <f>EXP(-LN(2)/2)*AW170+(1-EXP(-LN(2)/2))/(LN(2)/2)*AQ171*AT171*VLOOKUP('Données projet'!$B$10,Paramètres!$A$1:$I$89,3,0)*0.475*44/12</f>
        <v>1.4407748654391619E-21</v>
      </c>
      <c r="AX171" s="21">
        <f t="shared" si="166"/>
        <v>15.805799168923595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213.00000000000003</v>
      </c>
      <c r="BE171" s="13">
        <f>BD171*VLOOKUP('Données projet'!$B$11,Paramètres!$A$1:$I$89,3,0)*VLOOKUP('Données projet'!$B$11,Paramètres!$A$1:$I$89,5,0)</f>
        <v>169.46280000000002</v>
      </c>
      <c r="BF171" s="13">
        <f t="shared" si="167"/>
        <v>42.969686502194378</v>
      </c>
      <c r="BG171" s="20">
        <f t="shared" si="168"/>
        <v>369.98658065798855</v>
      </c>
      <c r="BH171" s="59">
        <f t="shared" si="116"/>
        <v>663.31991399132187</v>
      </c>
      <c r="BI171" s="59">
        <f ca="1">AVERAGE(OFFSET($BH$3,0,0,'Données projet'!$E$11+1,1))-AVERAGE(OFFSET($H$3,0,0,'Données projet'!$E$11+1,1))</f>
        <v>167.80254365106839</v>
      </c>
      <c r="BJ171" s="59">
        <f t="shared" si="146"/>
        <v>167.42302164950172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5.8670510576925592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5.8670510576925592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669.99999999999989</v>
      </c>
      <c r="BZ171" s="13">
        <f>BY171*VLOOKUP('Données projet'!$B$12,Paramètres!$A$1:$I$89,3,0)*VLOOKUP('Données projet'!$B$12,Paramètres!$A$1:$I$89,5,0)</f>
        <v>330.97999999999996</v>
      </c>
      <c r="CA171" s="13">
        <f t="shared" si="170"/>
        <v>77.633451096966454</v>
      </c>
      <c r="CB171" s="20">
        <f t="shared" si="171"/>
        <v>711.66842732721636</v>
      </c>
      <c r="CC171" s="59">
        <f t="shared" si="119"/>
        <v>1005.0017606605497</v>
      </c>
      <c r="CD171" s="59">
        <f ca="1">AVERAGE(OFFSET($CC$3,0,0,'Données projet'!$E$12+1,1))-AVERAGE(OFFSET($H$3,0,0,'Données projet'!$E$12+1,1))</f>
        <v>322.06606384496587</v>
      </c>
      <c r="CE171" s="59">
        <f t="shared" si="148"/>
        <v>267.71713177624713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20.362953081975164</v>
      </c>
      <c r="CL171" s="21">
        <f>EXP(-LN(2)/25)*CL170+(1-EXP(-LN(2)/25))/(LN(2)/25)*Calculateur!CG171*Calculateur!CI171*VLOOKUP('Données projet'!$B$12,Paramètres!$A$1:$I$89,3,0)*0.475*44/12</f>
        <v>0.4381341322795812</v>
      </c>
      <c r="CM171" s="21">
        <f>EXP(-LN(2)/2)*CM170+(1-EXP(-LN(2)/2))/(LN(2)/2)*CG171*CJ171*VLOOKUP('Données projet'!$B$12,Paramètres!$A$1:$I$89,3,0)*0.475*44/12</f>
        <v>6.7000460781960852E-21</v>
      </c>
      <c r="CN171" s="22">
        <f t="shared" si="172"/>
        <v>20.801087214254746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401</v>
      </c>
      <c r="CU171" s="17">
        <f>CT171*VLOOKUP('Données projet'!$B$13,Paramètres!$A$1:$I$89,3,0)*VLOOKUP('Données projet'!$B$13,Paramètres!$A$1:$I$89,5,0)</f>
        <v>250.22399999999999</v>
      </c>
      <c r="CV171" s="13">
        <f t="shared" si="173"/>
        <v>60.633904580527918</v>
      </c>
      <c r="CW171" s="20">
        <f t="shared" si="174"/>
        <v>541.41085047775289</v>
      </c>
      <c r="CX171" s="59">
        <f t="shared" si="122"/>
        <v>834.74418381108626</v>
      </c>
      <c r="CY171" s="59">
        <f ca="1">AVERAGE(OFFSET($CX$3,0,0,'Données projet'!$E$13+1,1))-AVERAGE(OFFSET($H$3,0,0,'Données projet'!$E$13+1,1))</f>
        <v>269.77739619445515</v>
      </c>
      <c r="CZ171" s="59">
        <f t="shared" si="150"/>
        <v>347.56964743629885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9.0201437112125404</v>
      </c>
      <c r="DG171" s="21">
        <f>EXP(-LN(2)/25)*DG170+(1-EXP(-LN(2)/25))/(LN(2)/25)*Calculateur!DB171*Calculateur!DD171*VLOOKUP('Données projet'!$B$13,Paramètres!$A$1:$I$89,3,0)*0.475*44/12</f>
        <v>1.9993256433621405</v>
      </c>
      <c r="DH171" s="21">
        <f>EXP(-LN(2)/2)*DH170+(1-EXP(-LN(2)/2))/(LN(2)/2)*DB171*DE171*VLOOKUP('Données projet'!$B$13,Paramètres!$A$1:$I$89,3,0)*0.475*44/12</f>
        <v>4.2077794880321633E-23</v>
      </c>
      <c r="DI171" s="22">
        <f t="shared" si="175"/>
        <v>11.019469354574682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669.99999999999989</v>
      </c>
      <c r="DP171" s="17">
        <f>DO171*VLOOKUP('Données projet'!$B$14,Paramètres!$A$1:$I$89,3,0)*VLOOKUP('Données projet'!$B$14,Paramètres!$A$1:$I$89,5,0)</f>
        <v>322.26999999999992</v>
      </c>
      <c r="DQ171" s="13">
        <f t="shared" si="176"/>
        <v>75.825476822885776</v>
      </c>
      <c r="DR171" s="20">
        <f t="shared" si="177"/>
        <v>693.34962213319261</v>
      </c>
      <c r="DS171" s="59">
        <f t="shared" si="125"/>
        <v>986.68295546652598</v>
      </c>
      <c r="DT171" s="59">
        <f ca="1">AVERAGE(OFFSET($DS$3,0,0,'Données projet'!$E$14+1,1))-AVERAGE(OFFSET($H$3,0,0,'Données projet'!$E$14+1,1))</f>
        <v>312.64506496298173</v>
      </c>
      <c r="DU171" s="59">
        <f t="shared" si="152"/>
        <v>259.97532509897508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19.827085895607407</v>
      </c>
      <c r="EB171" s="21">
        <f>EXP(-LN(2)/25)*EB170+(1-EXP(-LN(2)/25))/(LN(2)/25)*Calculateur!DW171*Calculateur!DY171*VLOOKUP('Données projet'!$B$14,Paramètres!$A$1:$I$89,3,0)*0.475*44/12</f>
        <v>0.42660428669327749</v>
      </c>
      <c r="EC171" s="21">
        <f>EXP(-LN(2)/2)*EC170+(1-EXP(-LN(2)/2))/(LN(2)/2)*DW171*DZ171*VLOOKUP('Données projet'!$B$14,Paramètres!$A$1:$I$89,3,0)*0.475*44/12</f>
        <v>6.5237290761382177E-21</v>
      </c>
      <c r="ED171" s="22">
        <f t="shared" si="178"/>
        <v>20.253690182300684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267</v>
      </c>
      <c r="EK171" s="17">
        <f>EJ171*VLOOKUP('Données projet'!$B$15,Paramètres!$A$1:$I$89,3,0)*VLOOKUP('Données projet'!$B$15,Paramètres!$A$1:$I$89,5,0)</f>
        <v>241.58159999999998</v>
      </c>
      <c r="EL171" s="13">
        <f t="shared" si="179"/>
        <v>58.779689232021951</v>
      </c>
      <c r="EM171" s="20">
        <f t="shared" si="180"/>
        <v>523.12924541243819</v>
      </c>
      <c r="EN171" s="59">
        <f t="shared" si="128"/>
        <v>816.46257874577145</v>
      </c>
      <c r="EO171" s="59">
        <f ca="1">AVERAGE(OFFSET($EN$3,0,0,'Données projet'!$E$15+1,1))-AVERAGE(OFFSET($H$3,0,0,'Données projet'!$E$15+1,1))</f>
        <v>269.64423257646359</v>
      </c>
      <c r="EP171" s="59">
        <f t="shared" si="154"/>
        <v>161.0819079811821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26.460530424792672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26.460530424792672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349.00000000000017</v>
      </c>
      <c r="FF171" s="17">
        <f>FE171*VLOOKUP('Données projet'!$B$16,Paramètres!$A$1:$I$89,3,0)*VLOOKUP('Données projet'!$B$16,Paramètres!$A$1:$I$89,5,0)</f>
        <v>272.22000000000014</v>
      </c>
      <c r="FG171" s="13">
        <f t="shared" si="182"/>
        <v>65.320184547527205</v>
      </c>
      <c r="FH171" s="20">
        <f t="shared" si="183"/>
        <v>587.88248808694345</v>
      </c>
      <c r="FI171" s="59">
        <f t="shared" si="131"/>
        <v>881.21582142027682</v>
      </c>
      <c r="FJ171" s="59">
        <f ca="1">AVERAGE(OFFSET($FI$3,0,0,'Données projet'!$E$16+1,1))-AVERAGE(OFFSET($H$3,0,0,'Données projet'!$E$16+1,1))</f>
        <v>283.77864672734273</v>
      </c>
      <c r="FK171" s="59">
        <f t="shared" si="156"/>
        <v>270.94620935643866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12.444871475518582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12.444871475518582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319</v>
      </c>
      <c r="GA171" s="17">
        <f>FZ171*VLOOKUP('Données projet'!$B$17,Paramètres!$A$1:$I$89,3,0)*VLOOKUP('Données projet'!$B$17,Paramètres!$A$1:$I$89,5,0)</f>
        <v>308.53680000000003</v>
      </c>
      <c r="GB171" s="13">
        <f t="shared" si="185"/>
        <v>72.963171684496103</v>
      </c>
      <c r="GC171" s="20">
        <f t="shared" si="186"/>
        <v>664.4457840171641</v>
      </c>
      <c r="GD171" s="59">
        <f t="shared" si="134"/>
        <v>957.77911735049747</v>
      </c>
      <c r="GE171" s="59">
        <f ca="1">AVERAGE(OFFSET($GD$3,0,0,'Données projet'!$E$17+1,1))-AVERAGE(OFFSET($H$3,0,0,'Données projet'!$E$17+1,1))</f>
        <v>347.54503437087288</v>
      </c>
      <c r="GF171" s="59">
        <f t="shared" si="158"/>
        <v>340.05673244455954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9.1789065173597262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9.1789065173597262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735.00000000000011</v>
      </c>
      <c r="O172" s="13">
        <f>N172*VLOOKUP('Données projet'!$B$9,Paramètres!$A$1:$I$89,3,0)*VLOOKUP('Données projet'!$B$9,Paramètres!$A$1:$I$89,5,0)</f>
        <v>343.98</v>
      </c>
      <c r="P172" s="13">
        <f t="shared" si="141"/>
        <v>80.321681832084693</v>
      </c>
      <c r="Q172" s="20">
        <f t="shared" si="162"/>
        <v>738.9920958575475</v>
      </c>
      <c r="R172" s="59">
        <f t="shared" si="109"/>
        <v>1032.3254291908809</v>
      </c>
      <c r="S172" s="59">
        <f ca="1">AVERAGE(OFFSET($R$3,0,0,'Données projet'!$E$9+1,1))-AVERAGE(OFFSET($H$3,0,0,'Données projet'!$E$9+1,1))</f>
        <v>342.49944586217674</v>
      </c>
      <c r="T172" s="59">
        <f t="shared" si="142"/>
        <v>282.29766600872563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20.239390788639028</v>
      </c>
      <c r="AA172" s="21">
        <f>EXP(-LN(2)/25)*AA171+(1-EXP(-LN(2)/25))/(LN(2)/25)*Calculateur!V172*Calculateur!X172*VLOOKUP('Données projet'!$B$9,Paramètres!$A$1:$I$89,3,0)*0.475*44/12</f>
        <v>0.84958486422289803</v>
      </c>
      <c r="AB172" s="21">
        <f>EXP(-LN(2)/2)*AB171+(1-EXP(-LN(2)/2))/(LN(2)/2)*V172*Y172*VLOOKUP('Données projet'!$B$9,Paramètres!$A$1:$I$89,3,0)*0.475*44/12</f>
        <v>9.9178313657506814E-23</v>
      </c>
      <c r="AC172" s="22">
        <f t="shared" si="163"/>
        <v>21.088975652861926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739.99999999999966</v>
      </c>
      <c r="AJ172" s="13">
        <f>AI172*VLOOKUP('Données projet'!$B$10,Paramètres!$A$1:$I$89,3,0)*VLOOKUP('Données projet'!$B$10,Paramètres!$A$1:$I$89,5,0)</f>
        <v>413.65999999999985</v>
      </c>
      <c r="AK172" s="13">
        <f t="shared" si="164"/>
        <v>94.540585122244352</v>
      </c>
      <c r="AL172" s="20">
        <f t="shared" si="165"/>
        <v>885.11601908790863</v>
      </c>
      <c r="AM172" s="59">
        <f t="shared" si="113"/>
        <v>1178.4493524212419</v>
      </c>
      <c r="AN172" s="59">
        <f ca="1">AVERAGE(OFFSET($AM$3,0,0,'Données projet'!$E$10+1,1))-AVERAGE(OFFSET($H$3,0,0,'Données projet'!$E$10+1,1))</f>
        <v>490.96084572840579</v>
      </c>
      <c r="AO172" s="59">
        <f t="shared" si="144"/>
        <v>597.91658789908263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14.261321720797062</v>
      </c>
      <c r="AV172" s="21">
        <f>EXP(-LN(2)/25)*AV171+(1-EXP(-LN(2)/25))/(LN(2)/25)*Calculateur!AQ172*Calculateur!AS172*VLOOKUP('Données projet'!$B$10,Paramètres!$A$1:$I$89,3,0)*0.475*44/12</f>
        <v>1.2247944036826321</v>
      </c>
      <c r="AW172" s="21">
        <f>EXP(-LN(2)/2)*AW171+(1-EXP(-LN(2)/2))/(LN(2)/2)*AQ172*AT172*VLOOKUP('Données projet'!$B$10,Paramètres!$A$1:$I$89,3,0)*0.475*44/12</f>
        <v>1.0187816775151669E-21</v>
      </c>
      <c r="AX172" s="21">
        <f t="shared" si="166"/>
        <v>15.486116124479693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213.00000000000003</v>
      </c>
      <c r="BE172" s="13">
        <f>BD172*VLOOKUP('Données projet'!$B$11,Paramètres!$A$1:$I$89,3,0)*VLOOKUP('Données projet'!$B$11,Paramètres!$A$1:$I$89,5,0)</f>
        <v>169.46280000000002</v>
      </c>
      <c r="BF172" s="13">
        <f t="shared" si="167"/>
        <v>42.969686502194378</v>
      </c>
      <c r="BG172" s="20">
        <f t="shared" si="168"/>
        <v>369.98658065798855</v>
      </c>
      <c r="BH172" s="59">
        <f t="shared" si="116"/>
        <v>663.31991399132187</v>
      </c>
      <c r="BI172" s="59">
        <f ca="1">AVERAGE(OFFSET($BH$3,0,0,'Données projet'!$E$11+1,1))-AVERAGE(OFFSET($H$3,0,0,'Données projet'!$E$11+1,1))</f>
        <v>167.80254365106839</v>
      </c>
      <c r="BJ172" s="59">
        <f t="shared" si="146"/>
        <v>167.42302164950172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5.752001764999001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5.752001764999001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669.99999999999989</v>
      </c>
      <c r="BZ172" s="13">
        <f>BY172*VLOOKUP('Données projet'!$B$12,Paramètres!$A$1:$I$89,3,0)*VLOOKUP('Données projet'!$B$12,Paramètres!$A$1:$I$89,5,0)</f>
        <v>330.97999999999996</v>
      </c>
      <c r="CA172" s="13">
        <f t="shared" si="170"/>
        <v>77.633451096966454</v>
      </c>
      <c r="CB172" s="20">
        <f t="shared" si="171"/>
        <v>711.66842732721636</v>
      </c>
      <c r="CC172" s="59">
        <f t="shared" si="119"/>
        <v>1005.0017606605497</v>
      </c>
      <c r="CD172" s="59">
        <f ca="1">AVERAGE(OFFSET($CC$3,0,0,'Données projet'!$E$12+1,1))-AVERAGE(OFFSET($H$3,0,0,'Données projet'!$E$12+1,1))</f>
        <v>322.06606384496587</v>
      </c>
      <c r="CE172" s="59">
        <f t="shared" si="148"/>
        <v>267.71713177624713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19.963647992212621</v>
      </c>
      <c r="CL172" s="21">
        <f>EXP(-LN(2)/25)*CL171+(1-EXP(-LN(2)/25))/(LN(2)/25)*Calculateur!CG172*Calculateur!CI172*VLOOKUP('Données projet'!$B$12,Paramètres!$A$1:$I$89,3,0)*0.475*44/12</f>
        <v>0.42615333139192341</v>
      </c>
      <c r="CM172" s="21">
        <f>EXP(-LN(2)/2)*CM171+(1-EXP(-LN(2)/2))/(LN(2)/2)*CG172*CJ172*VLOOKUP('Données projet'!$B$12,Paramètres!$A$1:$I$89,3,0)*0.475*44/12</f>
        <v>4.7376480161547853E-21</v>
      </c>
      <c r="CN172" s="22">
        <f t="shared" si="172"/>
        <v>20.389801323604544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401</v>
      </c>
      <c r="CU172" s="17">
        <f>CT172*VLOOKUP('Données projet'!$B$13,Paramètres!$A$1:$I$89,3,0)*VLOOKUP('Données projet'!$B$13,Paramètres!$A$1:$I$89,5,0)</f>
        <v>250.22399999999999</v>
      </c>
      <c r="CV172" s="13">
        <f t="shared" si="173"/>
        <v>60.633904580527918</v>
      </c>
      <c r="CW172" s="20">
        <f t="shared" si="174"/>
        <v>541.41085047775289</v>
      </c>
      <c r="CX172" s="59">
        <f t="shared" si="122"/>
        <v>834.74418381108626</v>
      </c>
      <c r="CY172" s="59">
        <f ca="1">AVERAGE(OFFSET($CX$3,0,0,'Données projet'!$E$13+1,1))-AVERAGE(OFFSET($H$3,0,0,'Données projet'!$E$13+1,1))</f>
        <v>269.77739619445515</v>
      </c>
      <c r="CZ172" s="59">
        <f t="shared" si="150"/>
        <v>347.56964743629885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8.8432641947800743</v>
      </c>
      <c r="DG172" s="21">
        <f>EXP(-LN(2)/25)*DG171+(1-EXP(-LN(2)/25))/(LN(2)/25)*Calculateur!DB172*Calculateur!DD172*VLOOKUP('Données projet'!$B$13,Paramètres!$A$1:$I$89,3,0)*0.475*44/12</f>
        <v>1.9446539785044368</v>
      </c>
      <c r="DH172" s="21">
        <f>EXP(-LN(2)/2)*DH171+(1-EXP(-LN(2)/2))/(LN(2)/2)*DB172*DE172*VLOOKUP('Données projet'!$B$13,Paramètres!$A$1:$I$89,3,0)*0.475*44/12</f>
        <v>2.9753494097252018E-23</v>
      </c>
      <c r="DI172" s="22">
        <f t="shared" si="175"/>
        <v>10.787918173284512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669.99999999999989</v>
      </c>
      <c r="DP172" s="17">
        <f>DO172*VLOOKUP('Données projet'!$B$14,Paramètres!$A$1:$I$89,3,0)*VLOOKUP('Données projet'!$B$14,Paramètres!$A$1:$I$89,5,0)</f>
        <v>322.26999999999992</v>
      </c>
      <c r="DQ172" s="13">
        <f t="shared" si="176"/>
        <v>75.825476822885776</v>
      </c>
      <c r="DR172" s="20">
        <f t="shared" si="177"/>
        <v>693.34962213319261</v>
      </c>
      <c r="DS172" s="59">
        <f t="shared" si="125"/>
        <v>986.68295546652598</v>
      </c>
      <c r="DT172" s="59">
        <f ca="1">AVERAGE(OFFSET($DS$3,0,0,'Données projet'!$E$14+1,1))-AVERAGE(OFFSET($H$3,0,0,'Données projet'!$E$14+1,1))</f>
        <v>312.64506496298173</v>
      </c>
      <c r="DU172" s="59">
        <f t="shared" si="152"/>
        <v>259.97532509897508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19.438288834522826</v>
      </c>
      <c r="EB172" s="21">
        <f>EXP(-LN(2)/25)*EB171+(1-EXP(-LN(2)/25))/(LN(2)/25)*Calculateur!DW172*Calculateur!DY172*VLOOKUP('Données projet'!$B$14,Paramètres!$A$1:$I$89,3,0)*0.475*44/12</f>
        <v>0.41493877003950541</v>
      </c>
      <c r="EC172" s="21">
        <f>EXP(-LN(2)/2)*EC171+(1-EXP(-LN(2)/2))/(LN(2)/2)*DW172*DZ172*VLOOKUP('Données projet'!$B$14,Paramètres!$A$1:$I$89,3,0)*0.475*44/12</f>
        <v>4.6129730683611845E-21</v>
      </c>
      <c r="ED172" s="22">
        <f t="shared" si="178"/>
        <v>19.853227604562331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267</v>
      </c>
      <c r="EK172" s="17">
        <f>EJ172*VLOOKUP('Données projet'!$B$15,Paramètres!$A$1:$I$89,3,0)*VLOOKUP('Données projet'!$B$15,Paramètres!$A$1:$I$89,5,0)</f>
        <v>241.58159999999998</v>
      </c>
      <c r="EL172" s="13">
        <f t="shared" si="179"/>
        <v>58.779689232021951</v>
      </c>
      <c r="EM172" s="20">
        <f t="shared" si="180"/>
        <v>523.12924541243819</v>
      </c>
      <c r="EN172" s="59">
        <f t="shared" si="128"/>
        <v>816.46257874577145</v>
      </c>
      <c r="EO172" s="59">
        <f ca="1">AVERAGE(OFFSET($EN$3,0,0,'Données projet'!$E$15+1,1))-AVERAGE(OFFSET($H$3,0,0,'Données projet'!$E$15+1,1))</f>
        <v>269.64423257646359</v>
      </c>
      <c r="EP172" s="59">
        <f t="shared" si="154"/>
        <v>161.0819079811821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25.941655562492421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25.941655562492421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349.00000000000017</v>
      </c>
      <c r="FF172" s="17">
        <f>FE172*VLOOKUP('Données projet'!$B$16,Paramètres!$A$1:$I$89,3,0)*VLOOKUP('Données projet'!$B$16,Paramètres!$A$1:$I$89,5,0)</f>
        <v>272.22000000000014</v>
      </c>
      <c r="FG172" s="13">
        <f t="shared" si="182"/>
        <v>65.320184547527205</v>
      </c>
      <c r="FH172" s="20">
        <f t="shared" si="183"/>
        <v>587.88248808694345</v>
      </c>
      <c r="FI172" s="59">
        <f t="shared" si="131"/>
        <v>881.21582142027682</v>
      </c>
      <c r="FJ172" s="59">
        <f ca="1">AVERAGE(OFFSET($FI$3,0,0,'Données projet'!$E$16+1,1))-AVERAGE(OFFSET($H$3,0,0,'Données projet'!$E$16+1,1))</f>
        <v>283.77864672734273</v>
      </c>
      <c r="FK172" s="59">
        <f t="shared" si="156"/>
        <v>270.94620935643866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12.20083513650575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12.20083513650575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319</v>
      </c>
      <c r="GA172" s="17">
        <f>FZ172*VLOOKUP('Données projet'!$B$17,Paramètres!$A$1:$I$89,3,0)*VLOOKUP('Données projet'!$B$17,Paramètres!$A$1:$I$89,5,0)</f>
        <v>308.53680000000003</v>
      </c>
      <c r="GB172" s="13">
        <f t="shared" si="185"/>
        <v>72.963171684496103</v>
      </c>
      <c r="GC172" s="20">
        <f t="shared" si="186"/>
        <v>664.4457840171641</v>
      </c>
      <c r="GD172" s="59">
        <f t="shared" si="134"/>
        <v>957.77911735049747</v>
      </c>
      <c r="GE172" s="59">
        <f ca="1">AVERAGE(OFFSET($GD$3,0,0,'Données projet'!$E$17+1,1))-AVERAGE(OFFSET($H$3,0,0,'Données projet'!$E$17+1,1))</f>
        <v>347.54503437087288</v>
      </c>
      <c r="GF172" s="59">
        <f t="shared" si="158"/>
        <v>340.05673244455954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8.9989137591344637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8.9989137591344637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735.00000000000011</v>
      </c>
      <c r="O173" s="13">
        <f>N173*VLOOKUP('Données projet'!$B$9,Paramètres!$A$1:$I$89,3,0)*VLOOKUP('Données projet'!$B$9,Paramètres!$A$1:$I$89,5,0)</f>
        <v>343.98</v>
      </c>
      <c r="P173" s="13">
        <f t="shared" si="141"/>
        <v>80.321681832084693</v>
      </c>
      <c r="Q173" s="20">
        <f t="shared" si="162"/>
        <v>738.9920958575475</v>
      </c>
      <c r="R173" s="59">
        <f t="shared" si="109"/>
        <v>1032.3254291908809</v>
      </c>
      <c r="S173" s="59">
        <f ca="1">AVERAGE(OFFSET($R$3,0,0,'Données projet'!$E$9+1,1))-AVERAGE(OFFSET($H$3,0,0,'Données projet'!$E$9+1,1))</f>
        <v>342.49944586217674</v>
      </c>
      <c r="T173" s="59">
        <f t="shared" si="142"/>
        <v>282.29766600872563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19.842508680083249</v>
      </c>
      <c r="AA173" s="21">
        <f>EXP(-LN(2)/25)*AA172+(1-EXP(-LN(2)/25))/(LN(2)/25)*Calculateur!V173*Calculateur!X173*VLOOKUP('Données projet'!$B$9,Paramètres!$A$1:$I$89,3,0)*0.475*44/12</f>
        <v>0.82635292143299666</v>
      </c>
      <c r="AB173" s="21">
        <f>EXP(-LN(2)/2)*AB172+(1-EXP(-LN(2)/2))/(LN(2)/2)*V173*Y173*VLOOKUP('Données projet'!$B$9,Paramètres!$A$1:$I$89,3,0)*0.475*44/12</f>
        <v>7.0129658133869448E-23</v>
      </c>
      <c r="AC173" s="22">
        <f t="shared" si="163"/>
        <v>20.668861601516245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739.99999999999966</v>
      </c>
      <c r="AJ173" s="13">
        <f>AI173*VLOOKUP('Données projet'!$B$10,Paramètres!$A$1:$I$89,3,0)*VLOOKUP('Données projet'!$B$10,Paramètres!$A$1:$I$89,5,0)</f>
        <v>413.65999999999985</v>
      </c>
      <c r="AK173" s="13">
        <f t="shared" si="164"/>
        <v>94.540585122244352</v>
      </c>
      <c r="AL173" s="20">
        <f t="shared" si="165"/>
        <v>885.11601908790863</v>
      </c>
      <c r="AM173" s="59">
        <f t="shared" si="113"/>
        <v>1178.4493524212419</v>
      </c>
      <c r="AN173" s="59">
        <f ca="1">AVERAGE(OFFSET($AM$3,0,0,'Données projet'!$E$10+1,1))-AVERAGE(OFFSET($H$3,0,0,'Données projet'!$E$10+1,1))</f>
        <v>490.96084572840579</v>
      </c>
      <c r="AO173" s="59">
        <f t="shared" si="144"/>
        <v>597.91658789908263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13.981665900399571</v>
      </c>
      <c r="AV173" s="21">
        <f>EXP(-LN(2)/25)*AV172+(1-EXP(-LN(2)/25))/(LN(2)/25)*Calculateur!AQ173*Calculateur!AS173*VLOOKUP('Données projet'!$B$10,Paramètres!$A$1:$I$89,3,0)*0.475*44/12</f>
        <v>1.1913023363047921</v>
      </c>
      <c r="AW173" s="21">
        <f>EXP(-LN(2)/2)*AW172+(1-EXP(-LN(2)/2))/(LN(2)/2)*AQ173*AT173*VLOOKUP('Données projet'!$B$10,Paramètres!$A$1:$I$89,3,0)*0.475*44/12</f>
        <v>7.2038743271958094E-22</v>
      </c>
      <c r="AX173" s="21">
        <f t="shared" si="166"/>
        <v>15.172968236704364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213.00000000000003</v>
      </c>
      <c r="BE173" s="13">
        <f>BD173*VLOOKUP('Données projet'!$B$11,Paramètres!$A$1:$I$89,3,0)*VLOOKUP('Données projet'!$B$11,Paramètres!$A$1:$I$89,5,0)</f>
        <v>169.46280000000002</v>
      </c>
      <c r="BF173" s="13">
        <f t="shared" si="167"/>
        <v>42.969686502194378</v>
      </c>
      <c r="BG173" s="20">
        <f t="shared" si="168"/>
        <v>369.98658065798855</v>
      </c>
      <c r="BH173" s="59">
        <f t="shared" si="116"/>
        <v>663.31991399132187</v>
      </c>
      <c r="BI173" s="59">
        <f ca="1">AVERAGE(OFFSET($BH$3,0,0,'Données projet'!$E$11+1,1))-AVERAGE(OFFSET($H$3,0,0,'Données projet'!$E$11+1,1))</f>
        <v>167.80254365106839</v>
      </c>
      <c r="BJ173" s="59">
        <f t="shared" si="146"/>
        <v>167.42302164950172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5.6392085187620236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5.6392085187620236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669.99999999999989</v>
      </c>
      <c r="BZ173" s="13">
        <f>BY173*VLOOKUP('Données projet'!$B$12,Paramètres!$A$1:$I$89,3,0)*VLOOKUP('Données projet'!$B$12,Paramètres!$A$1:$I$89,5,0)</f>
        <v>330.97999999999996</v>
      </c>
      <c r="CA173" s="13">
        <f t="shared" si="170"/>
        <v>77.633451096966454</v>
      </c>
      <c r="CB173" s="20">
        <f t="shared" si="171"/>
        <v>711.66842732721636</v>
      </c>
      <c r="CC173" s="59">
        <f t="shared" si="119"/>
        <v>1005.0017606605497</v>
      </c>
      <c r="CD173" s="59">
        <f ca="1">AVERAGE(OFFSET($CC$3,0,0,'Données projet'!$E$12+1,1))-AVERAGE(OFFSET($H$3,0,0,'Données projet'!$E$12+1,1))</f>
        <v>322.06606384496587</v>
      </c>
      <c r="CE173" s="59">
        <f t="shared" si="148"/>
        <v>267.71713177624713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19.572173031708264</v>
      </c>
      <c r="CL173" s="21">
        <f>EXP(-LN(2)/25)*CL172+(1-EXP(-LN(2)/25))/(LN(2)/25)*Calculateur!CG173*Calculateur!CI173*VLOOKUP('Données projet'!$B$12,Paramètres!$A$1:$I$89,3,0)*0.475*44/12</f>
        <v>0.41450014613458153</v>
      </c>
      <c r="CM173" s="21">
        <f>EXP(-LN(2)/2)*CM172+(1-EXP(-LN(2)/2))/(LN(2)/2)*CG173*CJ173*VLOOKUP('Données projet'!$B$12,Paramètres!$A$1:$I$89,3,0)*0.475*44/12</f>
        <v>3.350023039098043E-21</v>
      </c>
      <c r="CN173" s="22">
        <f t="shared" si="172"/>
        <v>19.986673177842846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401</v>
      </c>
      <c r="CU173" s="17">
        <f>CT173*VLOOKUP('Données projet'!$B$13,Paramètres!$A$1:$I$89,3,0)*VLOOKUP('Données projet'!$B$13,Paramètres!$A$1:$I$89,5,0)</f>
        <v>250.22399999999999</v>
      </c>
      <c r="CV173" s="13">
        <f t="shared" si="173"/>
        <v>60.633904580527918</v>
      </c>
      <c r="CW173" s="20">
        <f t="shared" si="174"/>
        <v>541.41085047775289</v>
      </c>
      <c r="CX173" s="59">
        <f t="shared" si="122"/>
        <v>834.74418381108626</v>
      </c>
      <c r="CY173" s="59">
        <f ca="1">AVERAGE(OFFSET($CX$3,0,0,'Données projet'!$E$13+1,1))-AVERAGE(OFFSET($H$3,0,0,'Données projet'!$E$13+1,1))</f>
        <v>269.77739619445515</v>
      </c>
      <c r="CZ173" s="59">
        <f t="shared" si="150"/>
        <v>347.56964743629885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8.6698531777789967</v>
      </c>
      <c r="DG173" s="21">
        <f>EXP(-LN(2)/25)*DG172+(1-EXP(-LN(2)/25))/(LN(2)/25)*Calculateur!DB173*Calculateur!DD173*VLOOKUP('Données projet'!$B$13,Paramètres!$A$1:$I$89,3,0)*0.475*44/12</f>
        <v>1.8914773131973248</v>
      </c>
      <c r="DH173" s="21">
        <f>EXP(-LN(2)/2)*DH172+(1-EXP(-LN(2)/2))/(LN(2)/2)*DB173*DE173*VLOOKUP('Données projet'!$B$13,Paramètres!$A$1:$I$89,3,0)*0.475*44/12</f>
        <v>2.1038897440160817E-23</v>
      </c>
      <c r="DI173" s="22">
        <f t="shared" si="175"/>
        <v>10.561330490976321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669.99999999999989</v>
      </c>
      <c r="DP173" s="17">
        <f>DO173*VLOOKUP('Données projet'!$B$14,Paramètres!$A$1:$I$89,3,0)*VLOOKUP('Données projet'!$B$14,Paramètres!$A$1:$I$89,5,0)</f>
        <v>322.26999999999992</v>
      </c>
      <c r="DQ173" s="13">
        <f t="shared" si="176"/>
        <v>75.825476822885776</v>
      </c>
      <c r="DR173" s="20">
        <f t="shared" si="177"/>
        <v>693.34962213319261</v>
      </c>
      <c r="DS173" s="59">
        <f t="shared" si="125"/>
        <v>986.68295546652598</v>
      </c>
      <c r="DT173" s="59">
        <f ca="1">AVERAGE(OFFSET($DS$3,0,0,'Données projet'!$E$14+1,1))-AVERAGE(OFFSET($H$3,0,0,'Données projet'!$E$14+1,1))</f>
        <v>312.64506496298173</v>
      </c>
      <c r="DU173" s="59">
        <f t="shared" si="152"/>
        <v>259.97532509897508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19.057115846663322</v>
      </c>
      <c r="EB173" s="21">
        <f>EXP(-LN(2)/25)*EB172+(1-EXP(-LN(2)/25))/(LN(2)/25)*Calculateur!DW173*Calculateur!DY173*VLOOKUP('Données projet'!$B$14,Paramètres!$A$1:$I$89,3,0)*0.475*44/12</f>
        <v>0.40359224755209355</v>
      </c>
      <c r="EC173" s="21">
        <f>EXP(-LN(2)/2)*EC172+(1-EXP(-LN(2)/2))/(LN(2)/2)*DW173*DZ173*VLOOKUP('Données projet'!$B$14,Paramètres!$A$1:$I$89,3,0)*0.475*44/12</f>
        <v>3.2618645380691089E-21</v>
      </c>
      <c r="ED173" s="22">
        <f t="shared" si="178"/>
        <v>19.460708094215416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267</v>
      </c>
      <c r="EK173" s="17">
        <f>EJ173*VLOOKUP('Données projet'!$B$15,Paramètres!$A$1:$I$89,3,0)*VLOOKUP('Données projet'!$B$15,Paramètres!$A$1:$I$89,5,0)</f>
        <v>241.58159999999998</v>
      </c>
      <c r="EL173" s="13">
        <f t="shared" si="179"/>
        <v>58.779689232021951</v>
      </c>
      <c r="EM173" s="20">
        <f t="shared" si="180"/>
        <v>523.12924541243819</v>
      </c>
      <c r="EN173" s="59">
        <f t="shared" si="128"/>
        <v>816.46257874577145</v>
      </c>
      <c r="EO173" s="59">
        <f ca="1">AVERAGE(OFFSET($EN$3,0,0,'Données projet'!$E$15+1,1))-AVERAGE(OFFSET($H$3,0,0,'Données projet'!$E$15+1,1))</f>
        <v>269.64423257646359</v>
      </c>
      <c r="EP173" s="59">
        <f t="shared" si="154"/>
        <v>161.0819079811821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25.43295551975946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25.43295551975946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349.00000000000017</v>
      </c>
      <c r="FF173" s="17">
        <f>FE173*VLOOKUP('Données projet'!$B$16,Paramètres!$A$1:$I$89,3,0)*VLOOKUP('Données projet'!$B$16,Paramètres!$A$1:$I$89,5,0)</f>
        <v>272.22000000000014</v>
      </c>
      <c r="FG173" s="13">
        <f t="shared" si="182"/>
        <v>65.320184547527205</v>
      </c>
      <c r="FH173" s="20">
        <f t="shared" si="183"/>
        <v>587.88248808694345</v>
      </c>
      <c r="FI173" s="59">
        <f t="shared" si="131"/>
        <v>881.21582142027682</v>
      </c>
      <c r="FJ173" s="59">
        <f ca="1">AVERAGE(OFFSET($FI$3,0,0,'Données projet'!$E$16+1,1))-AVERAGE(OFFSET($H$3,0,0,'Données projet'!$E$16+1,1))</f>
        <v>283.77864672734273</v>
      </c>
      <c r="FK173" s="59">
        <f t="shared" si="156"/>
        <v>270.94620935643866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11.961584201253492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11.961584201253492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319</v>
      </c>
      <c r="GA173" s="17">
        <f>FZ173*VLOOKUP('Données projet'!$B$17,Paramètres!$A$1:$I$89,3,0)*VLOOKUP('Données projet'!$B$17,Paramètres!$A$1:$I$89,5,0)</f>
        <v>308.53680000000003</v>
      </c>
      <c r="GB173" s="13">
        <f t="shared" si="185"/>
        <v>72.963171684496103</v>
      </c>
      <c r="GC173" s="20">
        <f t="shared" si="186"/>
        <v>664.4457840171641</v>
      </c>
      <c r="GD173" s="59">
        <f t="shared" si="134"/>
        <v>957.77911735049747</v>
      </c>
      <c r="GE173" s="59">
        <f ca="1">AVERAGE(OFFSET($GD$3,0,0,'Données projet'!$E$17+1,1))-AVERAGE(OFFSET($H$3,0,0,'Données projet'!$E$17+1,1))</f>
        <v>347.54503437087288</v>
      </c>
      <c r="GF173" s="59">
        <f t="shared" si="158"/>
        <v>340.05673244455954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8.8224505491132561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8.8224505491132561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735.00000000000011</v>
      </c>
      <c r="O174" s="13">
        <f>N174*VLOOKUP('Données projet'!$B$9,Paramètres!$A$1:$I$89,3,0)*VLOOKUP('Données projet'!$B$9,Paramètres!$A$1:$I$89,5,0)</f>
        <v>343.98</v>
      </c>
      <c r="P174" s="13">
        <f t="shared" si="141"/>
        <v>80.321681832084693</v>
      </c>
      <c r="Q174" s="20">
        <f t="shared" si="162"/>
        <v>738.9920958575475</v>
      </c>
      <c r="R174" s="59">
        <f t="shared" si="109"/>
        <v>1032.3254291908809</v>
      </c>
      <c r="S174" s="59">
        <f ca="1">AVERAGE(OFFSET($R$3,0,0,'Données projet'!$E$9+1,1))-AVERAGE(OFFSET($H$3,0,0,'Données projet'!$E$9+1,1))</f>
        <v>342.49944586217674</v>
      </c>
      <c r="T174" s="59">
        <f t="shared" si="142"/>
        <v>282.29766600872563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19.453409187602066</v>
      </c>
      <c r="AA174" s="21">
        <f>EXP(-LN(2)/25)*AA173+(1-EXP(-LN(2)/25))/(LN(2)/25)*Calculateur!V174*Calculateur!X174*VLOOKUP('Données projet'!$B$9,Paramètres!$A$1:$I$89,3,0)*0.475*44/12</f>
        <v>0.8037562573403999</v>
      </c>
      <c r="AB174" s="21">
        <f>EXP(-LN(2)/2)*AB173+(1-EXP(-LN(2)/2))/(LN(2)/2)*V174*Y174*VLOOKUP('Données projet'!$B$9,Paramètres!$A$1:$I$89,3,0)*0.475*44/12</f>
        <v>4.9589156828753407E-23</v>
      </c>
      <c r="AC174" s="22">
        <f t="shared" si="163"/>
        <v>20.257165444942466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739.99999999999966</v>
      </c>
      <c r="AJ174" s="13">
        <f>AI174*VLOOKUP('Données projet'!$B$10,Paramètres!$A$1:$I$89,3,0)*VLOOKUP('Données projet'!$B$10,Paramètres!$A$1:$I$89,5,0)</f>
        <v>413.65999999999985</v>
      </c>
      <c r="AK174" s="13">
        <f t="shared" si="164"/>
        <v>94.540585122244352</v>
      </c>
      <c r="AL174" s="20">
        <f t="shared" si="165"/>
        <v>885.11601908790863</v>
      </c>
      <c r="AM174" s="59">
        <f t="shared" si="113"/>
        <v>1178.4493524212419</v>
      </c>
      <c r="AN174" s="59">
        <f ca="1">AVERAGE(OFFSET($AM$3,0,0,'Données projet'!$E$10+1,1))-AVERAGE(OFFSET($H$3,0,0,'Données projet'!$E$10+1,1))</f>
        <v>490.96084572840579</v>
      </c>
      <c r="AO174" s="59">
        <f t="shared" si="144"/>
        <v>597.91658789908263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13.707493960066868</v>
      </c>
      <c r="AV174" s="21">
        <f>EXP(-LN(2)/25)*AV173+(1-EXP(-LN(2)/25))/(LN(2)/25)*Calculateur!AQ174*Calculateur!AS174*VLOOKUP('Données projet'!$B$10,Paramètres!$A$1:$I$89,3,0)*0.475*44/12</f>
        <v>1.1587261112706704</v>
      </c>
      <c r="AW174" s="21">
        <f>EXP(-LN(2)/2)*AW173+(1-EXP(-LN(2)/2))/(LN(2)/2)*AQ174*AT174*VLOOKUP('Données projet'!$B$10,Paramètres!$A$1:$I$89,3,0)*0.475*44/12</f>
        <v>5.0939083875758343E-22</v>
      </c>
      <c r="AX174" s="21">
        <f t="shared" si="166"/>
        <v>14.866220071337539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213.00000000000003</v>
      </c>
      <c r="BE174" s="13">
        <f>BD174*VLOOKUP('Données projet'!$B$11,Paramètres!$A$1:$I$89,3,0)*VLOOKUP('Données projet'!$B$11,Paramètres!$A$1:$I$89,5,0)</f>
        <v>169.46280000000002</v>
      </c>
      <c r="BF174" s="13">
        <f t="shared" si="167"/>
        <v>42.969686502194378</v>
      </c>
      <c r="BG174" s="20">
        <f t="shared" si="168"/>
        <v>369.98658065798855</v>
      </c>
      <c r="BH174" s="59">
        <f t="shared" si="116"/>
        <v>663.31991399132187</v>
      </c>
      <c r="BI174" s="59">
        <f ca="1">AVERAGE(OFFSET($BH$3,0,0,'Données projet'!$E$11+1,1))-AVERAGE(OFFSET($H$3,0,0,'Données projet'!$E$11+1,1))</f>
        <v>167.80254365106839</v>
      </c>
      <c r="BJ174" s="59">
        <f t="shared" si="146"/>
        <v>167.42302164950172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5.5286270792866663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5.5286270792866663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669.99999999999989</v>
      </c>
      <c r="BZ174" s="13">
        <f>BY174*VLOOKUP('Données projet'!$B$12,Paramètres!$A$1:$I$89,3,0)*VLOOKUP('Données projet'!$B$12,Paramètres!$A$1:$I$89,5,0)</f>
        <v>330.97999999999996</v>
      </c>
      <c r="CA174" s="13">
        <f t="shared" si="170"/>
        <v>77.633451096966454</v>
      </c>
      <c r="CB174" s="20">
        <f t="shared" si="171"/>
        <v>711.66842732721636</v>
      </c>
      <c r="CC174" s="59">
        <f t="shared" si="119"/>
        <v>1005.0017606605497</v>
      </c>
      <c r="CD174" s="59">
        <f ca="1">AVERAGE(OFFSET($CC$3,0,0,'Données projet'!$E$12+1,1))-AVERAGE(OFFSET($H$3,0,0,'Données projet'!$E$12+1,1))</f>
        <v>322.06606384496587</v>
      </c>
      <c r="CE174" s="59">
        <f t="shared" si="148"/>
        <v>267.71713177624713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19.188374656403251</v>
      </c>
      <c r="CL174" s="21">
        <f>EXP(-LN(2)/25)*CL173+(1-EXP(-LN(2)/25))/(LN(2)/25)*Calculateur!CG174*Calculateur!CI174*VLOOKUP('Données projet'!$B$12,Paramètres!$A$1:$I$89,3,0)*0.475*44/12</f>
        <v>0.40316561784091604</v>
      </c>
      <c r="CM174" s="21">
        <f>EXP(-LN(2)/2)*CM173+(1-EXP(-LN(2)/2))/(LN(2)/2)*CG174*CJ174*VLOOKUP('Données projet'!$B$12,Paramètres!$A$1:$I$89,3,0)*0.475*44/12</f>
        <v>2.368824008077393E-21</v>
      </c>
      <c r="CN174" s="22">
        <f t="shared" si="172"/>
        <v>19.591540274244167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401</v>
      </c>
      <c r="CU174" s="17">
        <f>CT174*VLOOKUP('Données projet'!$B$13,Paramètres!$A$1:$I$89,3,0)*VLOOKUP('Données projet'!$B$13,Paramètres!$A$1:$I$89,5,0)</f>
        <v>250.22399999999999</v>
      </c>
      <c r="CV174" s="13">
        <f t="shared" si="173"/>
        <v>60.633904580527918</v>
      </c>
      <c r="CW174" s="20">
        <f t="shared" si="174"/>
        <v>541.41085047775289</v>
      </c>
      <c r="CX174" s="59">
        <f t="shared" si="122"/>
        <v>834.74418381108626</v>
      </c>
      <c r="CY174" s="59">
        <f ca="1">AVERAGE(OFFSET($CX$3,0,0,'Données projet'!$E$13+1,1))-AVERAGE(OFFSET($H$3,0,0,'Données projet'!$E$13+1,1))</f>
        <v>269.77739619445515</v>
      </c>
      <c r="CZ174" s="59">
        <f t="shared" si="150"/>
        <v>347.56964743629885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8.499842645051034</v>
      </c>
      <c r="DG174" s="21">
        <f>EXP(-LN(2)/25)*DG173+(1-EXP(-LN(2)/25))/(LN(2)/25)*Calculateur!DB174*Calculateur!DD174*VLOOKUP('Données projet'!$B$13,Paramètres!$A$1:$I$89,3,0)*0.475*44/12</f>
        <v>1.8397547665994751</v>
      </c>
      <c r="DH174" s="21">
        <f>EXP(-LN(2)/2)*DH173+(1-EXP(-LN(2)/2))/(LN(2)/2)*DB174*DE174*VLOOKUP('Données projet'!$B$13,Paramètres!$A$1:$I$89,3,0)*0.475*44/12</f>
        <v>1.4876747048626009E-23</v>
      </c>
      <c r="DI174" s="22">
        <f t="shared" si="175"/>
        <v>10.339597411650509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669.99999999999989</v>
      </c>
      <c r="DP174" s="17">
        <f>DO174*VLOOKUP('Données projet'!$B$14,Paramètres!$A$1:$I$89,3,0)*VLOOKUP('Données projet'!$B$14,Paramètres!$A$1:$I$89,5,0)</f>
        <v>322.26999999999992</v>
      </c>
      <c r="DQ174" s="13">
        <f t="shared" si="176"/>
        <v>75.825476822885776</v>
      </c>
      <c r="DR174" s="20">
        <f t="shared" si="177"/>
        <v>693.34962213319261</v>
      </c>
      <c r="DS174" s="59">
        <f t="shared" si="125"/>
        <v>986.68295546652598</v>
      </c>
      <c r="DT174" s="59">
        <f ca="1">AVERAGE(OFFSET($DS$3,0,0,'Données projet'!$E$14+1,1))-AVERAGE(OFFSET($H$3,0,0,'Données projet'!$E$14+1,1))</f>
        <v>312.64506496298173</v>
      </c>
      <c r="DU174" s="59">
        <f t="shared" si="152"/>
        <v>259.97532509897508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18.683417428603178</v>
      </c>
      <c r="EB174" s="21">
        <f>EXP(-LN(2)/25)*EB173+(1-EXP(-LN(2)/25))/(LN(2)/25)*Calculateur!DW174*Calculateur!DY174*VLOOKUP('Données projet'!$B$14,Paramètres!$A$1:$I$89,3,0)*0.475*44/12</f>
        <v>0.39255599631878768</v>
      </c>
      <c r="EC174" s="21">
        <f>EXP(-LN(2)/2)*EC173+(1-EXP(-LN(2)/2))/(LN(2)/2)*DW174*DZ174*VLOOKUP('Données projet'!$B$14,Paramètres!$A$1:$I$89,3,0)*0.475*44/12</f>
        <v>2.3064865341805923E-21</v>
      </c>
      <c r="ED174" s="22">
        <f t="shared" si="178"/>
        <v>19.075973424921965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267</v>
      </c>
      <c r="EK174" s="17">
        <f>EJ174*VLOOKUP('Données projet'!$B$15,Paramètres!$A$1:$I$89,3,0)*VLOOKUP('Données projet'!$B$15,Paramètres!$A$1:$I$89,5,0)</f>
        <v>241.58159999999998</v>
      </c>
      <c r="EL174" s="13">
        <f t="shared" si="179"/>
        <v>58.779689232021951</v>
      </c>
      <c r="EM174" s="20">
        <f t="shared" si="180"/>
        <v>523.12924541243819</v>
      </c>
      <c r="EN174" s="59">
        <f t="shared" si="128"/>
        <v>816.46257874577145</v>
      </c>
      <c r="EO174" s="59">
        <f ca="1">AVERAGE(OFFSET($EN$3,0,0,'Données projet'!$E$15+1,1))-AVERAGE(OFFSET($H$3,0,0,'Données projet'!$E$15+1,1))</f>
        <v>269.64423257646359</v>
      </c>
      <c r="EP174" s="59">
        <f t="shared" si="154"/>
        <v>161.0819079811821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24.934230774588105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24.934230774588105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349.00000000000017</v>
      </c>
      <c r="FF174" s="17">
        <f>FE174*VLOOKUP('Données projet'!$B$16,Paramètres!$A$1:$I$89,3,0)*VLOOKUP('Données projet'!$B$16,Paramètres!$A$1:$I$89,5,0)</f>
        <v>272.22000000000014</v>
      </c>
      <c r="FG174" s="13">
        <f t="shared" si="182"/>
        <v>65.320184547527205</v>
      </c>
      <c r="FH174" s="20">
        <f t="shared" si="183"/>
        <v>587.88248808694345</v>
      </c>
      <c r="FI174" s="59">
        <f t="shared" si="131"/>
        <v>881.21582142027682</v>
      </c>
      <c r="FJ174" s="59">
        <f ca="1">AVERAGE(OFFSET($FI$3,0,0,'Données projet'!$E$16+1,1))-AVERAGE(OFFSET($H$3,0,0,'Données projet'!$E$16+1,1))</f>
        <v>283.77864672734273</v>
      </c>
      <c r="FK174" s="59">
        <f t="shared" si="156"/>
        <v>270.94620935643866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11.727024830912869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11.727024830912869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319</v>
      </c>
      <c r="GA174" s="17">
        <f>FZ174*VLOOKUP('Données projet'!$B$17,Paramètres!$A$1:$I$89,3,0)*VLOOKUP('Données projet'!$B$17,Paramètres!$A$1:$I$89,5,0)</f>
        <v>308.53680000000003</v>
      </c>
      <c r="GB174" s="13">
        <f t="shared" si="185"/>
        <v>72.963171684496103</v>
      </c>
      <c r="GC174" s="20">
        <f t="shared" si="186"/>
        <v>664.4457840171641</v>
      </c>
      <c r="GD174" s="59">
        <f t="shared" si="134"/>
        <v>957.77911735049747</v>
      </c>
      <c r="GE174" s="59">
        <f ca="1">AVERAGE(OFFSET($GD$3,0,0,'Données projet'!$E$17+1,1))-AVERAGE(OFFSET($H$3,0,0,'Données projet'!$E$17+1,1))</f>
        <v>347.54503437087288</v>
      </c>
      <c r="GF174" s="59">
        <f t="shared" si="158"/>
        <v>340.05673244455954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8.6494476750086342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8.6494476750086342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735.00000000000011</v>
      </c>
      <c r="O175" s="13">
        <f>N175*VLOOKUP('Données projet'!$B$9,Paramètres!$A$1:$I$89,3,0)*VLOOKUP('Données projet'!$B$9,Paramètres!$A$1:$I$89,5,0)</f>
        <v>343.98</v>
      </c>
      <c r="P175" s="13">
        <f t="shared" si="141"/>
        <v>80.321681832084693</v>
      </c>
      <c r="Q175" s="20">
        <f t="shared" si="162"/>
        <v>738.9920958575475</v>
      </c>
      <c r="R175" s="59">
        <f t="shared" si="109"/>
        <v>1032.3254291908809</v>
      </c>
      <c r="S175" s="59">
        <f ca="1">AVERAGE(OFFSET($R$3,0,0,'Données projet'!$E$9+1,1))-AVERAGE(OFFSET($H$3,0,0,'Données projet'!$E$9+1,1))</f>
        <v>342.49944586217674</v>
      </c>
      <c r="T175" s="59">
        <f t="shared" si="142"/>
        <v>282.29766600872563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19.071939698841181</v>
      </c>
      <c r="AA175" s="21">
        <f>EXP(-LN(2)/25)*AA174+(1-EXP(-LN(2)/25))/(LN(2)/25)*Calculateur!V175*Calculateur!X175*VLOOKUP('Données projet'!$B$9,Paramètres!$A$1:$I$89,3,0)*0.475*44/12</f>
        <v>0.78177750021572212</v>
      </c>
      <c r="AB175" s="21">
        <f>EXP(-LN(2)/2)*AB174+(1-EXP(-LN(2)/2))/(LN(2)/2)*V175*Y175*VLOOKUP('Données projet'!$B$9,Paramètres!$A$1:$I$89,3,0)*0.475*44/12</f>
        <v>3.5064829066934724E-23</v>
      </c>
      <c r="AC175" s="22">
        <f t="shared" si="163"/>
        <v>19.853717199056902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739.99999999999966</v>
      </c>
      <c r="AJ175" s="13">
        <f>AI175*VLOOKUP('Données projet'!$B$10,Paramètres!$A$1:$I$89,3,0)*VLOOKUP('Données projet'!$B$10,Paramètres!$A$1:$I$89,5,0)</f>
        <v>413.65999999999985</v>
      </c>
      <c r="AK175" s="13">
        <f t="shared" si="164"/>
        <v>94.540585122244352</v>
      </c>
      <c r="AL175" s="20">
        <f t="shared" si="165"/>
        <v>885.11601908790863</v>
      </c>
      <c r="AM175" s="59">
        <f t="shared" si="113"/>
        <v>1178.4493524212419</v>
      </c>
      <c r="AN175" s="59">
        <f ca="1">AVERAGE(OFFSET($AM$3,0,0,'Données projet'!$E$10+1,1))-AVERAGE(OFFSET($H$3,0,0,'Données projet'!$E$10+1,1))</f>
        <v>490.96084572840579</v>
      </c>
      <c r="AO175" s="59">
        <f t="shared" si="144"/>
        <v>597.91658789908263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13.438698364255718</v>
      </c>
      <c r="AV175" s="21">
        <f>EXP(-LN(2)/25)*AV174+(1-EXP(-LN(2)/25))/(LN(2)/25)*Calculateur!AQ175*Calculateur!AS175*VLOOKUP('Données projet'!$B$10,Paramètres!$A$1:$I$89,3,0)*0.475*44/12</f>
        <v>1.127040684823216</v>
      </c>
      <c r="AW175" s="21">
        <f>EXP(-LN(2)/2)*AW174+(1-EXP(-LN(2)/2))/(LN(2)/2)*AQ175*AT175*VLOOKUP('Données projet'!$B$10,Paramètres!$A$1:$I$89,3,0)*0.475*44/12</f>
        <v>3.6019371635979047E-22</v>
      </c>
      <c r="AX175" s="21">
        <f t="shared" si="166"/>
        <v>14.565739049078934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213.00000000000003</v>
      </c>
      <c r="BE175" s="13">
        <f>BD175*VLOOKUP('Données projet'!$B$11,Paramètres!$A$1:$I$89,3,0)*VLOOKUP('Données projet'!$B$11,Paramètres!$A$1:$I$89,5,0)</f>
        <v>169.46280000000002</v>
      </c>
      <c r="BF175" s="13">
        <f t="shared" si="167"/>
        <v>42.969686502194378</v>
      </c>
      <c r="BG175" s="20">
        <f t="shared" si="168"/>
        <v>369.98658065798855</v>
      </c>
      <c r="BH175" s="59">
        <f t="shared" si="116"/>
        <v>663.31991399132187</v>
      </c>
      <c r="BI175" s="59">
        <f ca="1">AVERAGE(OFFSET($BH$3,0,0,'Données projet'!$E$11+1,1))-AVERAGE(OFFSET($H$3,0,0,'Données projet'!$E$11+1,1))</f>
        <v>167.80254365106839</v>
      </c>
      <c r="BJ175" s="59">
        <f t="shared" si="146"/>
        <v>167.42302164950172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5.4202140743914029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5.4202140743914029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669.99999999999989</v>
      </c>
      <c r="BZ175" s="13">
        <f>BY175*VLOOKUP('Données projet'!$B$12,Paramètres!$A$1:$I$89,3,0)*VLOOKUP('Données projet'!$B$12,Paramètres!$A$1:$I$89,5,0)</f>
        <v>330.97999999999996</v>
      </c>
      <c r="CA175" s="13">
        <f t="shared" si="170"/>
        <v>77.633451096966454</v>
      </c>
      <c r="CB175" s="20">
        <f t="shared" si="171"/>
        <v>711.66842732721636</v>
      </c>
      <c r="CC175" s="59">
        <f t="shared" si="119"/>
        <v>1005.0017606605497</v>
      </c>
      <c r="CD175" s="59">
        <f ca="1">AVERAGE(OFFSET($CC$3,0,0,'Données projet'!$E$12+1,1))-AVERAGE(OFFSET($H$3,0,0,'Données projet'!$E$12+1,1))</f>
        <v>322.06606384496587</v>
      </c>
      <c r="CE175" s="59">
        <f t="shared" si="148"/>
        <v>267.71713177624713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18.812102333144075</v>
      </c>
      <c r="CL175" s="21">
        <f>EXP(-LN(2)/25)*CL174+(1-EXP(-LN(2)/25))/(LN(2)/25)*Calculateur!CG175*Calculateur!CI175*VLOOKUP('Données projet'!$B$12,Paramètres!$A$1:$I$89,3,0)*0.475*44/12</f>
        <v>0.3921410328194978</v>
      </c>
      <c r="CM175" s="21">
        <f>EXP(-LN(2)/2)*CM174+(1-EXP(-LN(2)/2))/(LN(2)/2)*CG175*CJ175*VLOOKUP('Données projet'!$B$12,Paramètres!$A$1:$I$89,3,0)*0.475*44/12</f>
        <v>1.6750115195490217E-21</v>
      </c>
      <c r="CN175" s="22">
        <f t="shared" si="172"/>
        <v>19.204243365963574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401</v>
      </c>
      <c r="CU175" s="17">
        <f>CT175*VLOOKUP('Données projet'!$B$13,Paramètres!$A$1:$I$89,3,0)*VLOOKUP('Données projet'!$B$13,Paramètres!$A$1:$I$89,5,0)</f>
        <v>250.22399999999999</v>
      </c>
      <c r="CV175" s="13">
        <f t="shared" si="173"/>
        <v>60.633904580527918</v>
      </c>
      <c r="CW175" s="20">
        <f t="shared" si="174"/>
        <v>541.41085047775289</v>
      </c>
      <c r="CX175" s="59">
        <f t="shared" si="122"/>
        <v>834.74418381108626</v>
      </c>
      <c r="CY175" s="59">
        <f ca="1">AVERAGE(OFFSET($CX$3,0,0,'Données projet'!$E$13+1,1))-AVERAGE(OFFSET($H$3,0,0,'Données projet'!$E$13+1,1))</f>
        <v>269.77739619445515</v>
      </c>
      <c r="CZ175" s="59">
        <f t="shared" si="150"/>
        <v>347.56964743629885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8.3331659151736801</v>
      </c>
      <c r="DG175" s="21">
        <f>EXP(-LN(2)/25)*DG174+(1-EXP(-LN(2)/25))/(LN(2)/25)*Calculateur!DB175*Calculateur!DD175*VLOOKUP('Données projet'!$B$13,Paramètres!$A$1:$I$89,3,0)*0.475*44/12</f>
        <v>1.789446575758314</v>
      </c>
      <c r="DH175" s="21">
        <f>EXP(-LN(2)/2)*DH174+(1-EXP(-LN(2)/2))/(LN(2)/2)*DB175*DE175*VLOOKUP('Données projet'!$B$13,Paramètres!$A$1:$I$89,3,0)*0.475*44/12</f>
        <v>1.0519448720080408E-23</v>
      </c>
      <c r="DI175" s="22">
        <f t="shared" si="175"/>
        <v>10.122612490931994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669.99999999999989</v>
      </c>
      <c r="DP175" s="17">
        <f>DO175*VLOOKUP('Données projet'!$B$14,Paramètres!$A$1:$I$89,3,0)*VLOOKUP('Données projet'!$B$14,Paramètres!$A$1:$I$89,5,0)</f>
        <v>322.26999999999992</v>
      </c>
      <c r="DQ175" s="13">
        <f t="shared" si="176"/>
        <v>75.825476822885776</v>
      </c>
      <c r="DR175" s="20">
        <f t="shared" si="177"/>
        <v>693.34962213319261</v>
      </c>
      <c r="DS175" s="59">
        <f t="shared" si="125"/>
        <v>986.68295546652598</v>
      </c>
      <c r="DT175" s="59">
        <f ca="1">AVERAGE(OFFSET($DS$3,0,0,'Données projet'!$E$14+1,1))-AVERAGE(OFFSET($H$3,0,0,'Données projet'!$E$14+1,1))</f>
        <v>312.64506496298173</v>
      </c>
      <c r="DU175" s="59">
        <f t="shared" si="152"/>
        <v>259.97532509897508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18.317047008587664</v>
      </c>
      <c r="EB175" s="21">
        <f>EXP(-LN(2)/25)*EB174+(1-EXP(-LN(2)/25))/(LN(2)/25)*Calculateur!DW175*Calculateur!DY175*VLOOKUP('Données projet'!$B$14,Paramètres!$A$1:$I$89,3,0)*0.475*44/12</f>
        <v>0.3818215319558278</v>
      </c>
      <c r="EC175" s="21">
        <f>EXP(-LN(2)/2)*EC174+(1-EXP(-LN(2)/2))/(LN(2)/2)*DW175*DZ175*VLOOKUP('Données projet'!$B$14,Paramètres!$A$1:$I$89,3,0)*0.475*44/12</f>
        <v>1.6309322690345544E-21</v>
      </c>
      <c r="ED175" s="22">
        <f t="shared" si="178"/>
        <v>18.698868540543494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267</v>
      </c>
      <c r="EK175" s="17">
        <f>EJ175*VLOOKUP('Données projet'!$B$15,Paramètres!$A$1:$I$89,3,0)*VLOOKUP('Données projet'!$B$15,Paramètres!$A$1:$I$89,5,0)</f>
        <v>241.58159999999998</v>
      </c>
      <c r="EL175" s="13">
        <f t="shared" si="179"/>
        <v>58.779689232021951</v>
      </c>
      <c r="EM175" s="20">
        <f t="shared" si="180"/>
        <v>523.12924541243819</v>
      </c>
      <c r="EN175" s="59">
        <f t="shared" si="128"/>
        <v>816.46257874577145</v>
      </c>
      <c r="EO175" s="59">
        <f ca="1">AVERAGE(OFFSET($EN$3,0,0,'Données projet'!$E$15+1,1))-AVERAGE(OFFSET($H$3,0,0,'Données projet'!$E$15+1,1))</f>
        <v>269.64423257646359</v>
      </c>
      <c r="EP175" s="59">
        <f t="shared" si="154"/>
        <v>161.0819079811821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24.445285717477503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24.445285717477503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349.00000000000017</v>
      </c>
      <c r="FF175" s="17">
        <f>FE175*VLOOKUP('Données projet'!$B$16,Paramètres!$A$1:$I$89,3,0)*VLOOKUP('Données projet'!$B$16,Paramètres!$A$1:$I$89,5,0)</f>
        <v>272.22000000000014</v>
      </c>
      <c r="FG175" s="13">
        <f t="shared" si="182"/>
        <v>65.320184547527205</v>
      </c>
      <c r="FH175" s="20">
        <f t="shared" si="183"/>
        <v>587.88248808694345</v>
      </c>
      <c r="FI175" s="59">
        <f t="shared" si="131"/>
        <v>881.21582142027682</v>
      </c>
      <c r="FJ175" s="59">
        <f ca="1">AVERAGE(OFFSET($FI$3,0,0,'Données projet'!$E$16+1,1))-AVERAGE(OFFSET($H$3,0,0,'Données projet'!$E$16+1,1))</f>
        <v>283.77864672734273</v>
      </c>
      <c r="FK175" s="59">
        <f t="shared" si="156"/>
        <v>270.94620935643866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11.497065026757536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11.497065026757536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319</v>
      </c>
      <c r="GA175" s="17">
        <f>FZ175*VLOOKUP('Données projet'!$B$17,Paramètres!$A$1:$I$89,3,0)*VLOOKUP('Données projet'!$B$17,Paramètres!$A$1:$I$89,5,0)</f>
        <v>308.53680000000003</v>
      </c>
      <c r="GB175" s="13">
        <f t="shared" si="185"/>
        <v>72.963171684496103</v>
      </c>
      <c r="GC175" s="20">
        <f t="shared" si="186"/>
        <v>664.4457840171641</v>
      </c>
      <c r="GD175" s="59">
        <f t="shared" si="134"/>
        <v>957.77911735049747</v>
      </c>
      <c r="GE175" s="59">
        <f ca="1">AVERAGE(OFFSET($GD$3,0,0,'Données projet'!$E$17+1,1))-AVERAGE(OFFSET($H$3,0,0,'Données projet'!$E$17+1,1))</f>
        <v>347.54503437087288</v>
      </c>
      <c r="GF175" s="59">
        <f t="shared" si="158"/>
        <v>340.05673244455954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8.4798372817438707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8.4798372817438707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735.00000000000011</v>
      </c>
      <c r="O176" s="13">
        <f>N176*VLOOKUP('Données projet'!$B$9,Paramètres!$A$1:$I$89,3,0)*VLOOKUP('Données projet'!$B$9,Paramètres!$A$1:$I$89,5,0)</f>
        <v>343.98</v>
      </c>
      <c r="P176" s="13">
        <f t="shared" si="141"/>
        <v>80.321681832084693</v>
      </c>
      <c r="Q176" s="20">
        <f t="shared" si="162"/>
        <v>738.9920958575475</v>
      </c>
      <c r="R176" s="59">
        <f t="shared" si="109"/>
        <v>1032.3254291908809</v>
      </c>
      <c r="S176" s="59">
        <f ca="1">AVERAGE(OFFSET($R$3,0,0,'Données projet'!$E$9+1,1))-AVERAGE(OFFSET($H$3,0,0,'Données projet'!$E$9+1,1))</f>
        <v>342.49944586217674</v>
      </c>
      <c r="T176" s="59">
        <f t="shared" si="142"/>
        <v>282.29766600872563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18.697950594081483</v>
      </c>
      <c r="AA176" s="21">
        <f>EXP(-LN(2)/25)*AA175+(1-EXP(-LN(2)/25))/(LN(2)/25)*Calculateur!V176*Calculateur!X176*VLOOKUP('Données projet'!$B$9,Paramètres!$A$1:$I$89,3,0)*0.475*44/12</f>
        <v>0.7603997533604312</v>
      </c>
      <c r="AB176" s="21">
        <f>EXP(-LN(2)/2)*AB175+(1-EXP(-LN(2)/2))/(LN(2)/2)*V176*Y176*VLOOKUP('Données projet'!$B$9,Paramètres!$A$1:$I$89,3,0)*0.475*44/12</f>
        <v>2.4794578414376703E-23</v>
      </c>
      <c r="AC176" s="22">
        <f t="shared" si="163"/>
        <v>19.458350347441915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739.99999999999966</v>
      </c>
      <c r="AJ176" s="13">
        <f>AI176*VLOOKUP('Données projet'!$B$10,Paramètres!$A$1:$I$89,3,0)*VLOOKUP('Données projet'!$B$10,Paramètres!$A$1:$I$89,5,0)</f>
        <v>413.65999999999985</v>
      </c>
      <c r="AK176" s="13">
        <f t="shared" si="164"/>
        <v>94.540585122244352</v>
      </c>
      <c r="AL176" s="20">
        <f t="shared" si="165"/>
        <v>885.11601908790863</v>
      </c>
      <c r="AM176" s="59">
        <f t="shared" si="113"/>
        <v>1178.4493524212419</v>
      </c>
      <c r="AN176" s="59">
        <f ca="1">AVERAGE(OFFSET($AM$3,0,0,'Données projet'!$E$10+1,1))-AVERAGE(OFFSET($H$3,0,0,'Données projet'!$E$10+1,1))</f>
        <v>490.96084572840579</v>
      </c>
      <c r="AO176" s="59">
        <f t="shared" si="144"/>
        <v>597.91658789908263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13.175173686129298</v>
      </c>
      <c r="AV176" s="21">
        <f>EXP(-LN(2)/25)*AV175+(1-EXP(-LN(2)/25))/(LN(2)/25)*Calculateur!AQ176*Calculateur!AS176*VLOOKUP('Données projet'!$B$10,Paramètres!$A$1:$I$89,3,0)*0.475*44/12</f>
        <v>1.0962216980282313</v>
      </c>
      <c r="AW176" s="21">
        <f>EXP(-LN(2)/2)*AW175+(1-EXP(-LN(2)/2))/(LN(2)/2)*AQ176*AT176*VLOOKUP('Données projet'!$B$10,Paramètres!$A$1:$I$89,3,0)*0.475*44/12</f>
        <v>2.5469541937879172E-22</v>
      </c>
      <c r="AX176" s="21">
        <f t="shared" si="166"/>
        <v>14.271395384157529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213.00000000000003</v>
      </c>
      <c r="BE176" s="13">
        <f>BD176*VLOOKUP('Données projet'!$B$11,Paramètres!$A$1:$I$89,3,0)*VLOOKUP('Données projet'!$B$11,Paramètres!$A$1:$I$89,5,0)</f>
        <v>169.46280000000002</v>
      </c>
      <c r="BF176" s="13">
        <f t="shared" si="167"/>
        <v>42.969686502194378</v>
      </c>
      <c r="BG176" s="20">
        <f t="shared" si="168"/>
        <v>369.98658065798855</v>
      </c>
      <c r="BH176" s="59">
        <f t="shared" si="116"/>
        <v>663.31991399132187</v>
      </c>
      <c r="BI176" s="59">
        <f ca="1">AVERAGE(OFFSET($BH$3,0,0,'Données projet'!$E$11+1,1))-AVERAGE(OFFSET($H$3,0,0,'Données projet'!$E$11+1,1))</f>
        <v>167.80254365106839</v>
      </c>
      <c r="BJ176" s="59">
        <f t="shared" si="146"/>
        <v>167.42302164950172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5.3139269823967323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5.3139269823967323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669.99999999999989</v>
      </c>
      <c r="BZ176" s="13">
        <f>BY176*VLOOKUP('Données projet'!$B$12,Paramètres!$A$1:$I$89,3,0)*VLOOKUP('Données projet'!$B$12,Paramètres!$A$1:$I$89,5,0)</f>
        <v>330.97999999999996</v>
      </c>
      <c r="CA176" s="13">
        <f t="shared" si="170"/>
        <v>77.633451096966454</v>
      </c>
      <c r="CB176" s="20">
        <f t="shared" si="171"/>
        <v>711.66842732721636</v>
      </c>
      <c r="CC176" s="59">
        <f t="shared" si="119"/>
        <v>1005.0017606605497</v>
      </c>
      <c r="CD176" s="59">
        <f ca="1">AVERAGE(OFFSET($CC$3,0,0,'Données projet'!$E$12+1,1))-AVERAGE(OFFSET($H$3,0,0,'Données projet'!$E$12+1,1))</f>
        <v>322.06606384496587</v>
      </c>
      <c r="CE176" s="59">
        <f t="shared" si="148"/>
        <v>267.71713177624713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18.443208480640557</v>
      </c>
      <c r="CL176" s="21">
        <f>EXP(-LN(2)/25)*CL175+(1-EXP(-LN(2)/25))/(LN(2)/25)*Calculateur!CG176*Calculateur!CI176*VLOOKUP('Données projet'!$B$12,Paramètres!$A$1:$I$89,3,0)*0.475*44/12</f>
        <v>0.38141791565524796</v>
      </c>
      <c r="CM176" s="21">
        <f>EXP(-LN(2)/2)*CM175+(1-EXP(-LN(2)/2))/(LN(2)/2)*CG176*CJ176*VLOOKUP('Données projet'!$B$12,Paramètres!$A$1:$I$89,3,0)*0.475*44/12</f>
        <v>1.1844120040386967E-21</v>
      </c>
      <c r="CN176" s="22">
        <f t="shared" si="172"/>
        <v>18.824626396295805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401</v>
      </c>
      <c r="CU176" s="17">
        <f>CT176*VLOOKUP('Données projet'!$B$13,Paramètres!$A$1:$I$89,3,0)*VLOOKUP('Données projet'!$B$13,Paramètres!$A$1:$I$89,5,0)</f>
        <v>250.22399999999999</v>
      </c>
      <c r="CV176" s="13">
        <f t="shared" si="173"/>
        <v>60.633904580527918</v>
      </c>
      <c r="CW176" s="20">
        <f t="shared" si="174"/>
        <v>541.41085047775289</v>
      </c>
      <c r="CX176" s="59">
        <f t="shared" si="122"/>
        <v>834.74418381108626</v>
      </c>
      <c r="CY176" s="59">
        <f ca="1">AVERAGE(OFFSET($CX$3,0,0,'Données projet'!$E$13+1,1))-AVERAGE(OFFSET($H$3,0,0,'Données projet'!$E$13+1,1))</f>
        <v>269.77739619445515</v>
      </c>
      <c r="CZ176" s="59">
        <f t="shared" si="150"/>
        <v>347.56964743629885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8.1697576143064552</v>
      </c>
      <c r="DG176" s="21">
        <f>EXP(-LN(2)/25)*DG175+(1-EXP(-LN(2)/25))/(LN(2)/25)*Calculateur!DB176*Calculateur!DD176*VLOOKUP('Données projet'!$B$13,Paramètres!$A$1:$I$89,3,0)*0.475*44/12</f>
        <v>1.7405140650412974</v>
      </c>
      <c r="DH176" s="21">
        <f>EXP(-LN(2)/2)*DH175+(1-EXP(-LN(2)/2))/(LN(2)/2)*DB176*DE176*VLOOKUP('Données projet'!$B$13,Paramètres!$A$1:$I$89,3,0)*0.475*44/12</f>
        <v>7.4383735243130046E-24</v>
      </c>
      <c r="DI176" s="22">
        <f t="shared" si="175"/>
        <v>9.910271679347753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669.99999999999989</v>
      </c>
      <c r="DP176" s="17">
        <f>DO176*VLOOKUP('Données projet'!$B$14,Paramètres!$A$1:$I$89,3,0)*VLOOKUP('Données projet'!$B$14,Paramètres!$A$1:$I$89,5,0)</f>
        <v>322.26999999999992</v>
      </c>
      <c r="DQ176" s="13">
        <f t="shared" si="176"/>
        <v>75.825476822885776</v>
      </c>
      <c r="DR176" s="20">
        <f t="shared" si="177"/>
        <v>693.34962213319261</v>
      </c>
      <c r="DS176" s="59">
        <f t="shared" si="125"/>
        <v>986.68295546652598</v>
      </c>
      <c r="DT176" s="59">
        <f ca="1">AVERAGE(OFFSET($DS$3,0,0,'Données projet'!$E$14+1,1))-AVERAGE(OFFSET($H$3,0,0,'Données projet'!$E$14+1,1))</f>
        <v>312.64506496298173</v>
      </c>
      <c r="DU176" s="59">
        <f t="shared" si="152"/>
        <v>259.97532509897508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17.957860889044763</v>
      </c>
      <c r="EB176" s="21">
        <f>EXP(-LN(2)/25)*EB175+(1-EXP(-LN(2)/25))/(LN(2)/25)*Calculateur!DW176*Calculateur!DY176*VLOOKUP('Données projet'!$B$14,Paramètres!$A$1:$I$89,3,0)*0.475*44/12</f>
        <v>0.37138060208537399</v>
      </c>
      <c r="EC176" s="21">
        <f>EXP(-LN(2)/2)*EC175+(1-EXP(-LN(2)/2))/(LN(2)/2)*DW176*DZ176*VLOOKUP('Données projet'!$B$14,Paramètres!$A$1:$I$89,3,0)*0.475*44/12</f>
        <v>1.1532432670902961E-21</v>
      </c>
      <c r="ED176" s="22">
        <f t="shared" si="178"/>
        <v>18.329241491130137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267</v>
      </c>
      <c r="EK176" s="17">
        <f>EJ176*VLOOKUP('Données projet'!$B$15,Paramètres!$A$1:$I$89,3,0)*VLOOKUP('Données projet'!$B$15,Paramètres!$A$1:$I$89,5,0)</f>
        <v>241.58159999999998</v>
      </c>
      <c r="EL176" s="13">
        <f t="shared" si="179"/>
        <v>58.779689232021951</v>
      </c>
      <c r="EM176" s="20">
        <f t="shared" si="180"/>
        <v>523.12924541243819</v>
      </c>
      <c r="EN176" s="59">
        <f t="shared" si="128"/>
        <v>816.46257874577145</v>
      </c>
      <c r="EO176" s="59">
        <f ca="1">AVERAGE(OFFSET($EN$3,0,0,'Données projet'!$E$15+1,1))-AVERAGE(OFFSET($H$3,0,0,'Données projet'!$E$15+1,1))</f>
        <v>269.64423257646359</v>
      </c>
      <c r="EP176" s="59">
        <f t="shared" si="154"/>
        <v>161.0819079811821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23.965928574709803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23.965928574709803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349.00000000000017</v>
      </c>
      <c r="FF176" s="17">
        <f>FE176*VLOOKUP('Données projet'!$B$16,Paramètres!$A$1:$I$89,3,0)*VLOOKUP('Données projet'!$B$16,Paramètres!$A$1:$I$89,5,0)</f>
        <v>272.22000000000014</v>
      </c>
      <c r="FG176" s="13">
        <f t="shared" si="182"/>
        <v>65.320184547527205</v>
      </c>
      <c r="FH176" s="20">
        <f t="shared" si="183"/>
        <v>587.88248808694345</v>
      </c>
      <c r="FI176" s="59">
        <f t="shared" si="131"/>
        <v>881.21582142027682</v>
      </c>
      <c r="FJ176" s="59">
        <f ca="1">AVERAGE(OFFSET($FI$3,0,0,'Données projet'!$E$16+1,1))-AVERAGE(OFFSET($H$3,0,0,'Données projet'!$E$16+1,1))</f>
        <v>283.77864672734273</v>
      </c>
      <c r="FK176" s="59">
        <f t="shared" si="156"/>
        <v>270.94620935643866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11.271614594100058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11.271614594100058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319</v>
      </c>
      <c r="GA176" s="17">
        <f>FZ176*VLOOKUP('Données projet'!$B$17,Paramètres!$A$1:$I$89,3,0)*VLOOKUP('Données projet'!$B$17,Paramètres!$A$1:$I$89,5,0)</f>
        <v>308.53680000000003</v>
      </c>
      <c r="GB176" s="13">
        <f t="shared" si="185"/>
        <v>72.963171684496103</v>
      </c>
      <c r="GC176" s="20">
        <f t="shared" si="186"/>
        <v>664.4457840171641</v>
      </c>
      <c r="GD176" s="59">
        <f t="shared" si="134"/>
        <v>957.77911735049747</v>
      </c>
      <c r="GE176" s="59">
        <f ca="1">AVERAGE(OFFSET($GD$3,0,0,'Données projet'!$E$17+1,1))-AVERAGE(OFFSET($H$3,0,0,'Données projet'!$E$17+1,1))</f>
        <v>347.54503437087288</v>
      </c>
      <c r="GF176" s="59">
        <f t="shared" si="158"/>
        <v>340.05673244455954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8.3135528448389042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8.3135528448389042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735.00000000000011</v>
      </c>
      <c r="O177" s="13">
        <f>N177*VLOOKUP('Données projet'!$B$9,Paramètres!$A$1:$I$89,3,0)*VLOOKUP('Données projet'!$B$9,Paramètres!$A$1:$I$89,5,0)</f>
        <v>343.98</v>
      </c>
      <c r="P177" s="13">
        <f t="shared" si="141"/>
        <v>80.321681832084693</v>
      </c>
      <c r="Q177" s="20">
        <f t="shared" si="162"/>
        <v>738.9920958575475</v>
      </c>
      <c r="R177" s="59">
        <f t="shared" si="109"/>
        <v>1032.3254291908809</v>
      </c>
      <c r="S177" s="59">
        <f ca="1">AVERAGE(OFFSET($R$3,0,0,'Données projet'!$E$9+1,1))-AVERAGE(OFFSET($H$3,0,0,'Données projet'!$E$9+1,1))</f>
        <v>342.49944586217674</v>
      </c>
      <c r="T177" s="59">
        <f t="shared" si="142"/>
        <v>282.29766600872563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18.331295187555295</v>
      </c>
      <c r="AA177" s="21">
        <f>EXP(-LN(2)/25)*AA176+(1-EXP(-LN(2)/25))/(LN(2)/25)*Calculateur!V177*Calculateur!X177*VLOOKUP('Données projet'!$B$9,Paramètres!$A$1:$I$89,3,0)*0.475*44/12</f>
        <v>0.73960658211710506</v>
      </c>
      <c r="AB177" s="21">
        <f>EXP(-LN(2)/2)*AB176+(1-EXP(-LN(2)/2))/(LN(2)/2)*V177*Y177*VLOOKUP('Données projet'!$B$9,Paramètres!$A$1:$I$89,3,0)*0.475*44/12</f>
        <v>1.7532414533467362E-23</v>
      </c>
      <c r="AC177" s="22">
        <f t="shared" si="163"/>
        <v>19.0709017696724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739.99999999999966</v>
      </c>
      <c r="AJ177" s="13">
        <f>AI177*VLOOKUP('Données projet'!$B$10,Paramètres!$A$1:$I$89,3,0)*VLOOKUP('Données projet'!$B$10,Paramètres!$A$1:$I$89,5,0)</f>
        <v>413.65999999999985</v>
      </c>
      <c r="AK177" s="13">
        <f t="shared" si="164"/>
        <v>94.540585122244352</v>
      </c>
      <c r="AL177" s="20">
        <f t="shared" si="165"/>
        <v>885.11601908790863</v>
      </c>
      <c r="AM177" s="59">
        <f t="shared" si="113"/>
        <v>1178.4493524212419</v>
      </c>
      <c r="AN177" s="59">
        <f ca="1">AVERAGE(OFFSET($AM$3,0,0,'Données projet'!$E$10+1,1))-AVERAGE(OFFSET($H$3,0,0,'Données projet'!$E$10+1,1))</f>
        <v>490.96084572840579</v>
      </c>
      <c r="AO177" s="59">
        <f t="shared" si="144"/>
        <v>597.91658789908263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12.916816566206757</v>
      </c>
      <c r="AV177" s="21">
        <f>EXP(-LN(2)/25)*AV176+(1-EXP(-LN(2)/25))/(LN(2)/25)*Calculateur!AQ177*Calculateur!AS177*VLOOKUP('Données projet'!$B$10,Paramètres!$A$1:$I$89,3,0)*0.475*44/12</f>
        <v>1.0662454580478558</v>
      </c>
      <c r="AW177" s="21">
        <f>EXP(-LN(2)/2)*AW176+(1-EXP(-LN(2)/2))/(LN(2)/2)*AQ177*AT177*VLOOKUP('Données projet'!$B$10,Paramètres!$A$1:$I$89,3,0)*0.475*44/12</f>
        <v>1.8009685817989523E-22</v>
      </c>
      <c r="AX177" s="21">
        <f t="shared" si="166"/>
        <v>13.983062024254613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213.00000000000003</v>
      </c>
      <c r="BE177" s="13">
        <f>BD177*VLOOKUP('Données projet'!$B$11,Paramètres!$A$1:$I$89,3,0)*VLOOKUP('Données projet'!$B$11,Paramètres!$A$1:$I$89,5,0)</f>
        <v>169.46280000000002</v>
      </c>
      <c r="BF177" s="13">
        <f t="shared" si="167"/>
        <v>42.969686502194378</v>
      </c>
      <c r="BG177" s="20">
        <f t="shared" si="168"/>
        <v>369.98658065798855</v>
      </c>
      <c r="BH177" s="59">
        <f t="shared" si="116"/>
        <v>663.31991399132187</v>
      </c>
      <c r="BI177" s="59">
        <f ca="1">AVERAGE(OFFSET($BH$3,0,0,'Données projet'!$E$11+1,1))-AVERAGE(OFFSET($H$3,0,0,'Données projet'!$E$11+1,1))</f>
        <v>167.80254365106839</v>
      </c>
      <c r="BJ177" s="59">
        <f t="shared" si="146"/>
        <v>167.42302164950172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5.2097241154473526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5.2097241154473526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669.99999999999989</v>
      </c>
      <c r="BZ177" s="13">
        <f>BY177*VLOOKUP('Données projet'!$B$12,Paramètres!$A$1:$I$89,3,0)*VLOOKUP('Données projet'!$B$12,Paramètres!$A$1:$I$89,5,0)</f>
        <v>330.97999999999996</v>
      </c>
      <c r="CA177" s="13">
        <f t="shared" si="170"/>
        <v>77.633451096966454</v>
      </c>
      <c r="CB177" s="20">
        <f t="shared" si="171"/>
        <v>711.66842732721636</v>
      </c>
      <c r="CC177" s="59">
        <f t="shared" si="119"/>
        <v>1005.0017606605497</v>
      </c>
      <c r="CD177" s="59">
        <f ca="1">AVERAGE(OFFSET($CC$3,0,0,'Données projet'!$E$12+1,1))-AVERAGE(OFFSET($H$3,0,0,'Données projet'!$E$12+1,1))</f>
        <v>322.06606384496587</v>
      </c>
      <c r="CE177" s="59">
        <f t="shared" si="148"/>
        <v>267.71713177624713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18.081548411581597</v>
      </c>
      <c r="CL177" s="21">
        <f>EXP(-LN(2)/25)*CL176+(1-EXP(-LN(2)/25))/(LN(2)/25)*Calculateur!CG177*Calculateur!CI177*VLOOKUP('Données projet'!$B$12,Paramètres!$A$1:$I$89,3,0)*0.475*44/12</f>
        <v>0.37098802269375875</v>
      </c>
      <c r="CM177" s="21">
        <f>EXP(-LN(2)/2)*CM176+(1-EXP(-LN(2)/2))/(LN(2)/2)*CG177*CJ177*VLOOKUP('Données projet'!$B$12,Paramètres!$A$1:$I$89,3,0)*0.475*44/12</f>
        <v>8.3750575977451102E-22</v>
      </c>
      <c r="CN177" s="22">
        <f t="shared" si="172"/>
        <v>18.452536434275356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401</v>
      </c>
      <c r="CU177" s="17">
        <f>CT177*VLOOKUP('Données projet'!$B$13,Paramètres!$A$1:$I$89,3,0)*VLOOKUP('Données projet'!$B$13,Paramètres!$A$1:$I$89,5,0)</f>
        <v>250.22399999999999</v>
      </c>
      <c r="CV177" s="13">
        <f t="shared" si="173"/>
        <v>60.633904580527918</v>
      </c>
      <c r="CW177" s="20">
        <f t="shared" si="174"/>
        <v>541.41085047775289</v>
      </c>
      <c r="CX177" s="59">
        <f t="shared" si="122"/>
        <v>834.74418381108626</v>
      </c>
      <c r="CY177" s="59">
        <f ca="1">AVERAGE(OFFSET($CX$3,0,0,'Données projet'!$E$13+1,1))-AVERAGE(OFFSET($H$3,0,0,'Données projet'!$E$13+1,1))</f>
        <v>269.77739619445515</v>
      </c>
      <c r="CZ177" s="59">
        <f t="shared" si="150"/>
        <v>347.56964743629885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8.0095536505500142</v>
      </c>
      <c r="DG177" s="21">
        <f>EXP(-LN(2)/25)*DG176+(1-EXP(-LN(2)/25))/(LN(2)/25)*Calculateur!DB177*Calculateur!DD177*VLOOKUP('Données projet'!$B$13,Paramètres!$A$1:$I$89,3,0)*0.475*44/12</f>
        <v>1.6929196164030864</v>
      </c>
      <c r="DH177" s="21">
        <f>EXP(-LN(2)/2)*DH176+(1-EXP(-LN(2)/2))/(LN(2)/2)*DB177*DE177*VLOOKUP('Données projet'!$B$13,Paramètres!$A$1:$I$89,3,0)*0.475*44/12</f>
        <v>5.2597243600402042E-24</v>
      </c>
      <c r="DI177" s="22">
        <f t="shared" si="175"/>
        <v>9.7024732669531009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669.99999999999989</v>
      </c>
      <c r="DP177" s="17">
        <f>DO177*VLOOKUP('Données projet'!$B$14,Paramètres!$A$1:$I$89,3,0)*VLOOKUP('Données projet'!$B$14,Paramètres!$A$1:$I$89,5,0)</f>
        <v>322.26999999999992</v>
      </c>
      <c r="DQ177" s="13">
        <f t="shared" si="176"/>
        <v>75.825476822885776</v>
      </c>
      <c r="DR177" s="20">
        <f t="shared" si="177"/>
        <v>693.34962213319261</v>
      </c>
      <c r="DS177" s="59">
        <f t="shared" si="125"/>
        <v>986.68295546652598</v>
      </c>
      <c r="DT177" s="59">
        <f ca="1">AVERAGE(OFFSET($DS$3,0,0,'Données projet'!$E$14+1,1))-AVERAGE(OFFSET($H$3,0,0,'Données projet'!$E$14+1,1))</f>
        <v>312.64506496298173</v>
      </c>
      <c r="DU177" s="59">
        <f t="shared" si="152"/>
        <v>259.97532509897508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17.605718190224199</v>
      </c>
      <c r="EB177" s="21">
        <f>EXP(-LN(2)/25)*EB176+(1-EXP(-LN(2)/25))/(LN(2)/25)*Calculateur!DW177*Calculateur!DY177*VLOOKUP('Données projet'!$B$14,Paramètres!$A$1:$I$89,3,0)*0.475*44/12</f>
        <v>0.36122517999129239</v>
      </c>
      <c r="EC177" s="21">
        <f>EXP(-LN(2)/2)*EC176+(1-EXP(-LN(2)/2))/(LN(2)/2)*DW177*DZ177*VLOOKUP('Données projet'!$B$14,Paramètres!$A$1:$I$89,3,0)*0.475*44/12</f>
        <v>8.1546613451727722E-22</v>
      </c>
      <c r="ED177" s="22">
        <f t="shared" si="178"/>
        <v>17.966943370215493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267</v>
      </c>
      <c r="EK177" s="17">
        <f>EJ177*VLOOKUP('Données projet'!$B$15,Paramètres!$A$1:$I$89,3,0)*VLOOKUP('Données projet'!$B$15,Paramètres!$A$1:$I$89,5,0)</f>
        <v>241.58159999999998</v>
      </c>
      <c r="EL177" s="13">
        <f t="shared" si="179"/>
        <v>58.779689232021951</v>
      </c>
      <c r="EM177" s="20">
        <f t="shared" si="180"/>
        <v>523.12924541243819</v>
      </c>
      <c r="EN177" s="59">
        <f t="shared" si="128"/>
        <v>816.46257874577145</v>
      </c>
      <c r="EO177" s="59">
        <f ca="1">AVERAGE(OFFSET($EN$3,0,0,'Données projet'!$E$15+1,1))-AVERAGE(OFFSET($H$3,0,0,'Données projet'!$E$15+1,1))</f>
        <v>269.64423257646359</v>
      </c>
      <c r="EP177" s="59">
        <f t="shared" si="154"/>
        <v>161.0819079811821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23.49597133313279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23.49597133313279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349.00000000000017</v>
      </c>
      <c r="FF177" s="17">
        <f>FE177*VLOOKUP('Données projet'!$B$16,Paramètres!$A$1:$I$89,3,0)*VLOOKUP('Données projet'!$B$16,Paramètres!$A$1:$I$89,5,0)</f>
        <v>272.22000000000014</v>
      </c>
      <c r="FG177" s="13">
        <f t="shared" si="182"/>
        <v>65.320184547527205</v>
      </c>
      <c r="FH177" s="20">
        <f t="shared" si="183"/>
        <v>587.88248808694345</v>
      </c>
      <c r="FI177" s="59">
        <f t="shared" si="131"/>
        <v>881.21582142027682</v>
      </c>
      <c r="FJ177" s="59">
        <f ca="1">AVERAGE(OFFSET($FI$3,0,0,'Données projet'!$E$16+1,1))-AVERAGE(OFFSET($H$3,0,0,'Données projet'!$E$16+1,1))</f>
        <v>283.77864672734273</v>
      </c>
      <c r="FK177" s="59">
        <f t="shared" si="156"/>
        <v>270.94620935643866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11.050585106915808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11.050585106915808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319</v>
      </c>
      <c r="GA177" s="17">
        <f>FZ177*VLOOKUP('Données projet'!$B$17,Paramètres!$A$1:$I$89,3,0)*VLOOKUP('Données projet'!$B$17,Paramètres!$A$1:$I$89,5,0)</f>
        <v>308.53680000000003</v>
      </c>
      <c r="GB177" s="13">
        <f t="shared" si="185"/>
        <v>72.963171684496103</v>
      </c>
      <c r="GC177" s="20">
        <f t="shared" si="186"/>
        <v>664.4457840171641</v>
      </c>
      <c r="GD177" s="59">
        <f t="shared" si="134"/>
        <v>957.77911735049747</v>
      </c>
      <c r="GE177" s="59">
        <f ca="1">AVERAGE(OFFSET($GD$3,0,0,'Données projet'!$E$17+1,1))-AVERAGE(OFFSET($H$3,0,0,'Données projet'!$E$17+1,1))</f>
        <v>347.54503437087288</v>
      </c>
      <c r="GF177" s="59">
        <f t="shared" si="158"/>
        <v>340.05673244455954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8.1505291443181527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8.1505291443181527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735.00000000000011</v>
      </c>
      <c r="O178" s="13">
        <f>N178*VLOOKUP('Données projet'!$B$9,Paramètres!$A$1:$I$89,3,0)*VLOOKUP('Données projet'!$B$9,Paramètres!$A$1:$I$89,5,0)</f>
        <v>343.98</v>
      </c>
      <c r="P178" s="13">
        <f t="shared" si="141"/>
        <v>80.321681832084693</v>
      </c>
      <c r="Q178" s="20">
        <f t="shared" si="162"/>
        <v>738.9920958575475</v>
      </c>
      <c r="R178" s="59">
        <f t="shared" si="109"/>
        <v>1032.3254291908809</v>
      </c>
      <c r="S178" s="59">
        <f ca="1">AVERAGE(OFFSET($R$3,0,0,'Données projet'!$E$9+1,1))-AVERAGE(OFFSET($H$3,0,0,'Données projet'!$E$9+1,1))</f>
        <v>342.49944586217674</v>
      </c>
      <c r="T178" s="59">
        <f t="shared" si="142"/>
        <v>282.29766600872563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17.971829669913369</v>
      </c>
      <c r="AA178" s="21">
        <f>EXP(-LN(2)/25)*AA177+(1-EXP(-LN(2)/25))/(LN(2)/25)*Calculateur!V178*Calculateur!X178*VLOOKUP('Données projet'!$B$9,Paramètres!$A$1:$I$89,3,0)*0.475*44/12</f>
        <v>0.71938200123489304</v>
      </c>
      <c r="AB178" s="21">
        <f>EXP(-LN(2)/2)*AB177+(1-EXP(-LN(2)/2))/(LN(2)/2)*V178*Y178*VLOOKUP('Données projet'!$B$9,Paramètres!$A$1:$I$89,3,0)*0.475*44/12</f>
        <v>1.2397289207188352E-23</v>
      </c>
      <c r="AC178" s="22">
        <f t="shared" si="163"/>
        <v>18.691211671148263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739.99999999999966</v>
      </c>
      <c r="AJ178" s="13">
        <f>AI178*VLOOKUP('Données projet'!$B$10,Paramètres!$A$1:$I$89,3,0)*VLOOKUP('Données projet'!$B$10,Paramètres!$A$1:$I$89,5,0)</f>
        <v>413.65999999999985</v>
      </c>
      <c r="AK178" s="13">
        <f t="shared" si="164"/>
        <v>94.540585122244352</v>
      </c>
      <c r="AL178" s="20">
        <f t="shared" si="165"/>
        <v>885.11601908790863</v>
      </c>
      <c r="AM178" s="59">
        <f t="shared" si="113"/>
        <v>1178.4493524212419</v>
      </c>
      <c r="AN178" s="59">
        <f ca="1">AVERAGE(OFFSET($AM$3,0,0,'Données projet'!$E$10+1,1))-AVERAGE(OFFSET($H$3,0,0,'Données projet'!$E$10+1,1))</f>
        <v>490.96084572840579</v>
      </c>
      <c r="AO178" s="59">
        <f t="shared" si="144"/>
        <v>597.91658789908263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12.663525671823612</v>
      </c>
      <c r="AV178" s="21">
        <f>EXP(-LN(2)/25)*AV177+(1-EXP(-LN(2)/25))/(LN(2)/25)*Calculateur!AQ178*Calculateur!AS178*VLOOKUP('Données projet'!$B$10,Paramètres!$A$1:$I$89,3,0)*0.475*44/12</f>
        <v>1.0370889199261255</v>
      </c>
      <c r="AW178" s="21">
        <f>EXP(-LN(2)/2)*AW177+(1-EXP(-LN(2)/2))/(LN(2)/2)*AQ178*AT178*VLOOKUP('Données projet'!$B$10,Paramètres!$A$1:$I$89,3,0)*0.475*44/12</f>
        <v>1.2734770968939586E-22</v>
      </c>
      <c r="AX178" s="21">
        <f t="shared" si="166"/>
        <v>13.700614591749737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213.00000000000003</v>
      </c>
      <c r="BE178" s="13">
        <f>BD178*VLOOKUP('Données projet'!$B$11,Paramètres!$A$1:$I$89,3,0)*VLOOKUP('Données projet'!$B$11,Paramètres!$A$1:$I$89,5,0)</f>
        <v>169.46280000000002</v>
      </c>
      <c r="BF178" s="13">
        <f t="shared" si="167"/>
        <v>42.969686502194378</v>
      </c>
      <c r="BG178" s="20">
        <f t="shared" si="168"/>
        <v>369.98658065798855</v>
      </c>
      <c r="BH178" s="59">
        <f t="shared" si="116"/>
        <v>663.31991399132187</v>
      </c>
      <c r="BI178" s="59">
        <f ca="1">AVERAGE(OFFSET($BH$3,0,0,'Données projet'!$E$11+1,1))-AVERAGE(OFFSET($H$3,0,0,'Données projet'!$E$11+1,1))</f>
        <v>167.80254365106839</v>
      </c>
      <c r="BJ178" s="59">
        <f t="shared" si="146"/>
        <v>167.42302164950172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5.1075646031613768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5.1075646031613768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669.99999999999989</v>
      </c>
      <c r="BZ178" s="13">
        <f>BY178*VLOOKUP('Données projet'!$B$12,Paramètres!$A$1:$I$89,3,0)*VLOOKUP('Données projet'!$B$12,Paramètres!$A$1:$I$89,5,0)</f>
        <v>330.97999999999996</v>
      </c>
      <c r="CA178" s="13">
        <f t="shared" si="170"/>
        <v>77.633451096966454</v>
      </c>
      <c r="CB178" s="20">
        <f t="shared" si="171"/>
        <v>711.66842732721636</v>
      </c>
      <c r="CC178" s="59">
        <f t="shared" si="119"/>
        <v>1005.0017606605497</v>
      </c>
      <c r="CD178" s="59">
        <f ca="1">AVERAGE(OFFSET($CC$3,0,0,'Données projet'!$E$12+1,1))-AVERAGE(OFFSET($H$3,0,0,'Données projet'!$E$12+1,1))</f>
        <v>322.06606384496587</v>
      </c>
      <c r="CE178" s="59">
        <f t="shared" si="148"/>
        <v>267.71713177624713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17.726980275886024</v>
      </c>
      <c r="CL178" s="21">
        <f>EXP(-LN(2)/25)*CL177+(1-EXP(-LN(2)/25))/(LN(2)/25)*Calculateur!CG178*Calculateur!CI178*VLOOKUP('Données projet'!$B$12,Paramètres!$A$1:$I$89,3,0)*0.475*44/12</f>
        <v>0.36084333570378568</v>
      </c>
      <c r="CM178" s="21">
        <f>EXP(-LN(2)/2)*CM177+(1-EXP(-LN(2)/2))/(LN(2)/2)*CG178*CJ178*VLOOKUP('Données projet'!$B$12,Paramètres!$A$1:$I$89,3,0)*0.475*44/12</f>
        <v>5.9220600201934844E-22</v>
      </c>
      <c r="CN178" s="22">
        <f t="shared" si="172"/>
        <v>18.087823611589812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401</v>
      </c>
      <c r="CU178" s="17">
        <f>CT178*VLOOKUP('Données projet'!$B$13,Paramètres!$A$1:$I$89,3,0)*VLOOKUP('Données projet'!$B$13,Paramètres!$A$1:$I$89,5,0)</f>
        <v>250.22399999999999</v>
      </c>
      <c r="CV178" s="13">
        <f t="shared" si="173"/>
        <v>60.633904580527918</v>
      </c>
      <c r="CW178" s="20">
        <f t="shared" si="174"/>
        <v>541.41085047775289</v>
      </c>
      <c r="CX178" s="59">
        <f t="shared" si="122"/>
        <v>834.74418381108626</v>
      </c>
      <c r="CY178" s="59">
        <f ca="1">AVERAGE(OFFSET($CX$3,0,0,'Données projet'!$E$13+1,1))-AVERAGE(OFFSET($H$3,0,0,'Données projet'!$E$13+1,1))</f>
        <v>269.77739619445515</v>
      </c>
      <c r="CZ178" s="59">
        <f t="shared" si="150"/>
        <v>347.56964743629885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7.8524911888080675</v>
      </c>
      <c r="DG178" s="21">
        <f>EXP(-LN(2)/25)*DG177+(1-EXP(-LN(2)/25))/(LN(2)/25)*Calculateur!DB178*Calculateur!DD178*VLOOKUP('Données projet'!$B$13,Paramètres!$A$1:$I$89,3,0)*0.475*44/12</f>
        <v>1.6466266404657706</v>
      </c>
      <c r="DH178" s="21">
        <f>EXP(-LN(2)/2)*DH177+(1-EXP(-LN(2)/2))/(LN(2)/2)*DB178*DE178*VLOOKUP('Données projet'!$B$13,Paramètres!$A$1:$I$89,3,0)*0.475*44/12</f>
        <v>3.7191867621565023E-24</v>
      </c>
      <c r="DI178" s="22">
        <f t="shared" si="175"/>
        <v>9.499117829273839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669.99999999999989</v>
      </c>
      <c r="DP178" s="17">
        <f>DO178*VLOOKUP('Données projet'!$B$14,Paramètres!$A$1:$I$89,3,0)*VLOOKUP('Données projet'!$B$14,Paramètres!$A$1:$I$89,5,0)</f>
        <v>322.26999999999992</v>
      </c>
      <c r="DQ178" s="13">
        <f t="shared" si="176"/>
        <v>75.825476822885776</v>
      </c>
      <c r="DR178" s="20">
        <f t="shared" si="177"/>
        <v>693.34962213319261</v>
      </c>
      <c r="DS178" s="59">
        <f t="shared" si="125"/>
        <v>986.68295546652598</v>
      </c>
      <c r="DT178" s="59">
        <f ca="1">AVERAGE(OFFSET($DS$3,0,0,'Données projet'!$E$14+1,1))-AVERAGE(OFFSET($H$3,0,0,'Données projet'!$E$14+1,1))</f>
        <v>312.64506496298173</v>
      </c>
      <c r="DU178" s="59">
        <f t="shared" si="152"/>
        <v>259.97532509897508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17.260480794941667</v>
      </c>
      <c r="EB178" s="21">
        <f>EXP(-LN(2)/25)*EB177+(1-EXP(-LN(2)/25))/(LN(2)/25)*Calculateur!DW178*Calculateur!DY178*VLOOKUP('Données projet'!$B$14,Paramètres!$A$1:$I$89,3,0)*0.475*44/12</f>
        <v>0.35134745844842385</v>
      </c>
      <c r="EC178" s="21">
        <f>EXP(-LN(2)/2)*EC177+(1-EXP(-LN(2)/2))/(LN(2)/2)*DW178*DZ178*VLOOKUP('Données projet'!$B$14,Paramètres!$A$1:$I$89,3,0)*0.475*44/12</f>
        <v>5.7662163354514806E-22</v>
      </c>
      <c r="ED178" s="22">
        <f t="shared" si="178"/>
        <v>17.61182825339009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267</v>
      </c>
      <c r="EK178" s="17">
        <f>EJ178*VLOOKUP('Données projet'!$B$15,Paramètres!$A$1:$I$89,3,0)*VLOOKUP('Données projet'!$B$15,Paramètres!$A$1:$I$89,5,0)</f>
        <v>241.58159999999998</v>
      </c>
      <c r="EL178" s="13">
        <f t="shared" si="179"/>
        <v>58.779689232021951</v>
      </c>
      <c r="EM178" s="20">
        <f t="shared" si="180"/>
        <v>523.12924541243819</v>
      </c>
      <c r="EN178" s="59">
        <f t="shared" si="128"/>
        <v>816.46257874577145</v>
      </c>
      <c r="EO178" s="59">
        <f ca="1">AVERAGE(OFFSET($EN$3,0,0,'Données projet'!$E$15+1,1))-AVERAGE(OFFSET($H$3,0,0,'Données projet'!$E$15+1,1))</f>
        <v>269.64423257646359</v>
      </c>
      <c r="EP178" s="59">
        <f t="shared" si="154"/>
        <v>161.0819079811821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23.035229666417489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23.035229666417489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349.00000000000017</v>
      </c>
      <c r="FF178" s="17">
        <f>FE178*VLOOKUP('Données projet'!$B$16,Paramètres!$A$1:$I$89,3,0)*VLOOKUP('Données projet'!$B$16,Paramètres!$A$1:$I$89,5,0)</f>
        <v>272.22000000000014</v>
      </c>
      <c r="FG178" s="13">
        <f t="shared" si="182"/>
        <v>65.320184547527205</v>
      </c>
      <c r="FH178" s="20">
        <f t="shared" si="183"/>
        <v>587.88248808694345</v>
      </c>
      <c r="FI178" s="59">
        <f t="shared" si="131"/>
        <v>881.21582142027682</v>
      </c>
      <c r="FJ178" s="59">
        <f ca="1">AVERAGE(OFFSET($FI$3,0,0,'Données projet'!$E$16+1,1))-AVERAGE(OFFSET($H$3,0,0,'Données projet'!$E$16+1,1))</f>
        <v>283.77864672734273</v>
      </c>
      <c r="FK178" s="59">
        <f t="shared" si="156"/>
        <v>270.94620935643866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10.833889873160565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10.833889873160565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319</v>
      </c>
      <c r="GA178" s="17">
        <f>FZ178*VLOOKUP('Données projet'!$B$17,Paramètres!$A$1:$I$89,3,0)*VLOOKUP('Données projet'!$B$17,Paramètres!$A$1:$I$89,5,0)</f>
        <v>308.53680000000003</v>
      </c>
      <c r="GB178" s="13">
        <f t="shared" si="185"/>
        <v>72.963171684496103</v>
      </c>
      <c r="GC178" s="20">
        <f t="shared" si="186"/>
        <v>664.4457840171641</v>
      </c>
      <c r="GD178" s="59">
        <f t="shared" si="134"/>
        <v>957.77911735049747</v>
      </c>
      <c r="GE178" s="59">
        <f ca="1">AVERAGE(OFFSET($GD$3,0,0,'Données projet'!$E$17+1,1))-AVERAGE(OFFSET($H$3,0,0,'Données projet'!$E$17+1,1))</f>
        <v>347.54503437087288</v>
      </c>
      <c r="GF178" s="59">
        <f t="shared" si="158"/>
        <v>340.05673244455954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7.9907022391299733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7.9907022391299733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735.00000000000011</v>
      </c>
      <c r="O179" s="13">
        <f>N179*VLOOKUP('Données projet'!$B$9,Paramètres!$A$1:$I$89,3,0)*VLOOKUP('Données projet'!$B$9,Paramètres!$A$1:$I$89,5,0)</f>
        <v>343.98</v>
      </c>
      <c r="P179" s="13">
        <f t="shared" si="141"/>
        <v>80.321681832084693</v>
      </c>
      <c r="Q179" s="20">
        <f t="shared" si="162"/>
        <v>738.9920958575475</v>
      </c>
      <c r="R179" s="59">
        <f t="shared" si="109"/>
        <v>1032.3254291908809</v>
      </c>
      <c r="S179" s="59">
        <f ca="1">AVERAGE(OFFSET($R$3,0,0,'Données projet'!$E$9+1,1))-AVERAGE(OFFSET($H$3,0,0,'Données projet'!$E$9+1,1))</f>
        <v>342.49944586217674</v>
      </c>
      <c r="T179" s="59">
        <f t="shared" si="142"/>
        <v>282.29766600872563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17.619413051820086</v>
      </c>
      <c r="AA179" s="21">
        <f>EXP(-LN(2)/25)*AA178+(1-EXP(-LN(2)/25))/(LN(2)/25)*Calculateur!V179*Calculateur!X179*VLOOKUP('Données projet'!$B$9,Paramètres!$A$1:$I$89,3,0)*0.475*44/12</f>
        <v>0.69971046258046965</v>
      </c>
      <c r="AB179" s="21">
        <f>EXP(-LN(2)/2)*AB178+(1-EXP(-LN(2)/2))/(LN(2)/2)*V179*Y179*VLOOKUP('Données projet'!$B$9,Paramètres!$A$1:$I$89,3,0)*0.475*44/12</f>
        <v>8.766207266733681E-24</v>
      </c>
      <c r="AC179" s="22">
        <f t="shared" si="163"/>
        <v>18.319123514400555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739.99999999999966</v>
      </c>
      <c r="AJ179" s="13">
        <f>AI179*VLOOKUP('Données projet'!$B$10,Paramètres!$A$1:$I$89,3,0)*VLOOKUP('Données projet'!$B$10,Paramètres!$A$1:$I$89,5,0)</f>
        <v>413.65999999999985</v>
      </c>
      <c r="AK179" s="13">
        <f t="shared" si="164"/>
        <v>94.540585122244352</v>
      </c>
      <c r="AL179" s="20">
        <f t="shared" si="165"/>
        <v>885.11601908790863</v>
      </c>
      <c r="AM179" s="59">
        <f t="shared" si="113"/>
        <v>1178.4493524212419</v>
      </c>
      <c r="AN179" s="59">
        <f ca="1">AVERAGE(OFFSET($AM$3,0,0,'Données projet'!$E$10+1,1))-AVERAGE(OFFSET($H$3,0,0,'Données projet'!$E$10+1,1))</f>
        <v>490.96084572840579</v>
      </c>
      <c r="AO179" s="59">
        <f t="shared" si="144"/>
        <v>597.91658789908263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12.415201657387129</v>
      </c>
      <c r="AV179" s="21">
        <f>EXP(-LN(2)/25)*AV178+(1-EXP(-LN(2)/25))/(LN(2)/25)*Calculateur!AQ179*Calculateur!AS179*VLOOKUP('Données projet'!$B$10,Paramètres!$A$1:$I$89,3,0)*0.475*44/12</f>
        <v>1.0087296688726095</v>
      </c>
      <c r="AW179" s="21">
        <f>EXP(-LN(2)/2)*AW178+(1-EXP(-LN(2)/2))/(LN(2)/2)*AQ179*AT179*VLOOKUP('Données projet'!$B$10,Paramètres!$A$1:$I$89,3,0)*0.475*44/12</f>
        <v>9.0048429089947617E-23</v>
      </c>
      <c r="AX179" s="21">
        <f t="shared" si="166"/>
        <v>13.423931326259739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213.00000000000003</v>
      </c>
      <c r="BE179" s="13">
        <f>BD179*VLOOKUP('Données projet'!$B$11,Paramètres!$A$1:$I$89,3,0)*VLOOKUP('Données projet'!$B$11,Paramètres!$A$1:$I$89,5,0)</f>
        <v>169.46280000000002</v>
      </c>
      <c r="BF179" s="13">
        <f t="shared" si="167"/>
        <v>42.969686502194378</v>
      </c>
      <c r="BG179" s="20">
        <f t="shared" si="168"/>
        <v>369.98658065798855</v>
      </c>
      <c r="BH179" s="59">
        <f t="shared" si="116"/>
        <v>663.31991399132187</v>
      </c>
      <c r="BI179" s="59">
        <f ca="1">AVERAGE(OFFSET($BH$3,0,0,'Données projet'!$E$11+1,1))-AVERAGE(OFFSET($H$3,0,0,'Données projet'!$E$11+1,1))</f>
        <v>167.80254365106839</v>
      </c>
      <c r="BJ179" s="59">
        <f t="shared" si="146"/>
        <v>167.42302164950172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5.0074083766001793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5.0074083766001793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669.99999999999989</v>
      </c>
      <c r="BZ179" s="13">
        <f>BY179*VLOOKUP('Données projet'!$B$12,Paramètres!$A$1:$I$89,3,0)*VLOOKUP('Données projet'!$B$12,Paramètres!$A$1:$I$89,5,0)</f>
        <v>330.97999999999996</v>
      </c>
      <c r="CA179" s="13">
        <f t="shared" si="170"/>
        <v>77.633451096966454</v>
      </c>
      <c r="CB179" s="20">
        <f t="shared" si="171"/>
        <v>711.66842732721636</v>
      </c>
      <c r="CC179" s="59">
        <f t="shared" si="119"/>
        <v>1005.0017606605497</v>
      </c>
      <c r="CD179" s="59">
        <f ca="1">AVERAGE(OFFSET($CC$3,0,0,'Données projet'!$E$12+1,1))-AVERAGE(OFFSET($H$3,0,0,'Données projet'!$E$12+1,1))</f>
        <v>322.06606384496587</v>
      </c>
      <c r="CE179" s="59">
        <f t="shared" si="148"/>
        <v>267.71713177624713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17.379365005066234</v>
      </c>
      <c r="CL179" s="21">
        <f>EXP(-LN(2)/25)*CL178+(1-EXP(-LN(2)/25))/(LN(2)/25)*Calculateur!CG179*Calculateur!CI179*VLOOKUP('Données projet'!$B$12,Paramètres!$A$1:$I$89,3,0)*0.475*44/12</f>
        <v>0.35097605571303936</v>
      </c>
      <c r="CM179" s="21">
        <f>EXP(-LN(2)/2)*CM178+(1-EXP(-LN(2)/2))/(LN(2)/2)*CG179*CJ179*VLOOKUP('Données projet'!$B$12,Paramètres!$A$1:$I$89,3,0)*0.475*44/12</f>
        <v>4.1875287988725556E-22</v>
      </c>
      <c r="CN179" s="22">
        <f t="shared" si="172"/>
        <v>17.730341060779274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401</v>
      </c>
      <c r="CU179" s="17">
        <f>CT179*VLOOKUP('Données projet'!$B$13,Paramètres!$A$1:$I$89,3,0)*VLOOKUP('Données projet'!$B$13,Paramètres!$A$1:$I$89,5,0)</f>
        <v>250.22399999999999</v>
      </c>
      <c r="CV179" s="13">
        <f t="shared" si="173"/>
        <v>60.633904580527918</v>
      </c>
      <c r="CW179" s="20">
        <f t="shared" si="174"/>
        <v>541.41085047775289</v>
      </c>
      <c r="CX179" s="59">
        <f t="shared" si="122"/>
        <v>834.74418381108626</v>
      </c>
      <c r="CY179" s="59">
        <f ca="1">AVERAGE(OFFSET($CX$3,0,0,'Données projet'!$E$13+1,1))-AVERAGE(OFFSET($H$3,0,0,'Données projet'!$E$13+1,1))</f>
        <v>269.77739619445515</v>
      </c>
      <c r="CZ179" s="59">
        <f t="shared" si="150"/>
        <v>347.56964743629885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7.698508626142238</v>
      </c>
      <c r="DG179" s="21">
        <f>EXP(-LN(2)/25)*DG178+(1-EXP(-LN(2)/25))/(LN(2)/25)*Calculateur!DB179*Calculateur!DD179*VLOOKUP('Données projet'!$B$13,Paramètres!$A$1:$I$89,3,0)*0.475*44/12</f>
        <v>1.6015995483899024</v>
      </c>
      <c r="DH179" s="21">
        <f>EXP(-LN(2)/2)*DH178+(1-EXP(-LN(2)/2))/(LN(2)/2)*DB179*DE179*VLOOKUP('Données projet'!$B$13,Paramètres!$A$1:$I$89,3,0)*0.475*44/12</f>
        <v>2.6298621800201021E-24</v>
      </c>
      <c r="DI179" s="22">
        <f t="shared" si="175"/>
        <v>9.3001081745321397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669.99999999999989</v>
      </c>
      <c r="DP179" s="17">
        <f>DO179*VLOOKUP('Données projet'!$B$14,Paramètres!$A$1:$I$89,3,0)*VLOOKUP('Données projet'!$B$14,Paramètres!$A$1:$I$89,5,0)</f>
        <v>322.26999999999992</v>
      </c>
      <c r="DQ179" s="13">
        <f t="shared" si="176"/>
        <v>75.825476822885776</v>
      </c>
      <c r="DR179" s="20">
        <f t="shared" si="177"/>
        <v>693.34962213319261</v>
      </c>
      <c r="DS179" s="59">
        <f t="shared" si="125"/>
        <v>986.68295546652598</v>
      </c>
      <c r="DT179" s="59">
        <f ca="1">AVERAGE(OFFSET($DS$3,0,0,'Données projet'!$E$14+1,1))-AVERAGE(OFFSET($H$3,0,0,'Données projet'!$E$14+1,1))</f>
        <v>312.64506496298173</v>
      </c>
      <c r="DU179" s="59">
        <f t="shared" si="152"/>
        <v>259.97532509897508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16.922013294406607</v>
      </c>
      <c r="EB179" s="21">
        <f>EXP(-LN(2)/25)*EB178+(1-EXP(-LN(2)/25))/(LN(2)/25)*Calculateur!DW179*Calculateur!DY179*VLOOKUP('Données projet'!$B$14,Paramètres!$A$1:$I$89,3,0)*0.475*44/12</f>
        <v>0.34173984372059191</v>
      </c>
      <c r="EC179" s="21">
        <f>EXP(-LN(2)/2)*EC178+(1-EXP(-LN(2)/2))/(LN(2)/2)*DW179*DZ179*VLOOKUP('Données projet'!$B$14,Paramètres!$A$1:$I$89,3,0)*0.475*44/12</f>
        <v>4.0773306725863861E-22</v>
      </c>
      <c r="ED179" s="22">
        <f t="shared" si="178"/>
        <v>17.2637531381272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267</v>
      </c>
      <c r="EK179" s="17">
        <f>EJ179*VLOOKUP('Données projet'!$B$15,Paramètres!$A$1:$I$89,3,0)*VLOOKUP('Données projet'!$B$15,Paramètres!$A$1:$I$89,5,0)</f>
        <v>241.58159999999998</v>
      </c>
      <c r="EL179" s="13">
        <f t="shared" si="179"/>
        <v>58.779689232021951</v>
      </c>
      <c r="EM179" s="20">
        <f t="shared" si="180"/>
        <v>523.12924541243819</v>
      </c>
      <c r="EN179" s="59">
        <f t="shared" si="128"/>
        <v>816.46257874577145</v>
      </c>
      <c r="EO179" s="59">
        <f ca="1">AVERAGE(OFFSET($EN$3,0,0,'Données projet'!$E$15+1,1))-AVERAGE(OFFSET($H$3,0,0,'Données projet'!$E$15+1,1))</f>
        <v>269.64423257646359</v>
      </c>
      <c r="EP179" s="59">
        <f t="shared" si="154"/>
        <v>161.0819079811821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22.583522862761807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22.583522862761807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349.00000000000017</v>
      </c>
      <c r="FF179" s="17">
        <f>FE179*VLOOKUP('Données projet'!$B$16,Paramètres!$A$1:$I$89,3,0)*VLOOKUP('Données projet'!$B$16,Paramètres!$A$1:$I$89,5,0)</f>
        <v>272.22000000000014</v>
      </c>
      <c r="FG179" s="13">
        <f t="shared" si="182"/>
        <v>65.320184547527205</v>
      </c>
      <c r="FH179" s="20">
        <f t="shared" si="183"/>
        <v>587.88248808694345</v>
      </c>
      <c r="FI179" s="59">
        <f t="shared" si="131"/>
        <v>881.21582142027682</v>
      </c>
      <c r="FJ179" s="59">
        <f ca="1">AVERAGE(OFFSET($FI$3,0,0,'Données projet'!$E$16+1,1))-AVERAGE(OFFSET($H$3,0,0,'Données projet'!$E$16+1,1))</f>
        <v>283.77864672734273</v>
      </c>
      <c r="FK179" s="59">
        <f t="shared" si="156"/>
        <v>270.94620935643866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10.621443900768222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10.621443900768222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319</v>
      </c>
      <c r="GA179" s="17">
        <f>FZ179*VLOOKUP('Données projet'!$B$17,Paramètres!$A$1:$I$89,3,0)*VLOOKUP('Données projet'!$B$17,Paramètres!$A$1:$I$89,5,0)</f>
        <v>308.53680000000003</v>
      </c>
      <c r="GB179" s="13">
        <f t="shared" si="185"/>
        <v>72.963171684496103</v>
      </c>
      <c r="GC179" s="20">
        <f t="shared" si="186"/>
        <v>664.4457840171641</v>
      </c>
      <c r="GD179" s="59">
        <f t="shared" si="134"/>
        <v>957.77911735049747</v>
      </c>
      <c r="GE179" s="59">
        <f ca="1">AVERAGE(OFFSET($GD$3,0,0,'Données projet'!$E$17+1,1))-AVERAGE(OFFSET($H$3,0,0,'Données projet'!$E$17+1,1))</f>
        <v>347.54503437087288</v>
      </c>
      <c r="GF179" s="59">
        <f t="shared" si="158"/>
        <v>340.05673244455954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7.8340094420677477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7.8340094420677477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735.00000000000011</v>
      </c>
      <c r="O180" s="13">
        <f>N180*VLOOKUP('Données projet'!$B$9,Paramètres!$A$1:$I$89,3,0)*VLOOKUP('Données projet'!$B$9,Paramètres!$A$1:$I$89,5,0)</f>
        <v>343.98</v>
      </c>
      <c r="P180" s="13">
        <f t="shared" si="141"/>
        <v>80.321681832084693</v>
      </c>
      <c r="Q180" s="20">
        <f t="shared" si="162"/>
        <v>738.9920958575475</v>
      </c>
      <c r="R180" s="59">
        <f t="shared" si="109"/>
        <v>1032.3254291908809</v>
      </c>
      <c r="S180" s="59">
        <f ca="1">AVERAGE(OFFSET($R$3,0,0,'Données projet'!$E$9+1,1))-AVERAGE(OFFSET($H$3,0,0,'Données projet'!$E$9+1,1))</f>
        <v>342.49944586217674</v>
      </c>
      <c r="T180" s="59">
        <f t="shared" si="142"/>
        <v>282.29766600872563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17.273907108654701</v>
      </c>
      <c r="AA180" s="21">
        <f>EXP(-LN(2)/25)*AA179+(1-EXP(-LN(2)/25))/(LN(2)/25)*Calculateur!V180*Calculateur!X180*VLOOKUP('Données projet'!$B$9,Paramètres!$A$1:$I$89,3,0)*0.475*44/12</f>
        <v>0.68057684318503264</v>
      </c>
      <c r="AB180" s="21">
        <f>EXP(-LN(2)/2)*AB179+(1-EXP(-LN(2)/2))/(LN(2)/2)*V180*Y180*VLOOKUP('Données projet'!$B$9,Paramètres!$A$1:$I$89,3,0)*0.475*44/12</f>
        <v>6.1986446035941759E-24</v>
      </c>
      <c r="AC180" s="22">
        <f t="shared" si="163"/>
        <v>17.954483951839734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739.99999999999966</v>
      </c>
      <c r="AJ180" s="13">
        <f>AI180*VLOOKUP('Données projet'!$B$10,Paramètres!$A$1:$I$89,3,0)*VLOOKUP('Données projet'!$B$10,Paramètres!$A$1:$I$89,5,0)</f>
        <v>413.65999999999985</v>
      </c>
      <c r="AK180" s="13">
        <f t="shared" si="164"/>
        <v>94.540585122244352</v>
      </c>
      <c r="AL180" s="20">
        <f t="shared" si="165"/>
        <v>885.11601908790863</v>
      </c>
      <c r="AM180" s="59">
        <f t="shared" si="113"/>
        <v>1178.4493524212419</v>
      </c>
      <c r="AN180" s="59">
        <f ca="1">AVERAGE(OFFSET($AM$3,0,0,'Données projet'!$E$10+1,1))-AVERAGE(OFFSET($H$3,0,0,'Données projet'!$E$10+1,1))</f>
        <v>490.96084572840579</v>
      </c>
      <c r="AO180" s="59">
        <f t="shared" si="144"/>
        <v>597.91658789908263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12.171747125411054</v>
      </c>
      <c r="AV180" s="21">
        <f>EXP(-LN(2)/25)*AV179+(1-EXP(-LN(2)/25))/(LN(2)/25)*Calculateur!AQ180*Calculateur!AS180*VLOOKUP('Données projet'!$B$10,Paramètres!$A$1:$I$89,3,0)*0.475*44/12</f>
        <v>0.9811459030305002</v>
      </c>
      <c r="AW180" s="21">
        <f>EXP(-LN(2)/2)*AW179+(1-EXP(-LN(2)/2))/(LN(2)/2)*AQ180*AT180*VLOOKUP('Données projet'!$B$10,Paramètres!$A$1:$I$89,3,0)*0.475*44/12</f>
        <v>6.3673854844697929E-23</v>
      </c>
      <c r="AX180" s="21">
        <f t="shared" si="166"/>
        <v>13.152893028441554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213.00000000000003</v>
      </c>
      <c r="BE180" s="13">
        <f>BD180*VLOOKUP('Données projet'!$B$11,Paramètres!$A$1:$I$89,3,0)*VLOOKUP('Données projet'!$B$11,Paramètres!$A$1:$I$89,5,0)</f>
        <v>169.46280000000002</v>
      </c>
      <c r="BF180" s="13">
        <f t="shared" si="167"/>
        <v>42.969686502194378</v>
      </c>
      <c r="BG180" s="20">
        <f t="shared" si="168"/>
        <v>369.98658065798855</v>
      </c>
      <c r="BH180" s="59">
        <f t="shared" si="116"/>
        <v>663.31991399132187</v>
      </c>
      <c r="BI180" s="59">
        <f ca="1">AVERAGE(OFFSET($BH$3,0,0,'Données projet'!$E$11+1,1))-AVERAGE(OFFSET($H$3,0,0,'Données projet'!$E$11+1,1))</f>
        <v>167.80254365106839</v>
      </c>
      <c r="BJ180" s="59">
        <f t="shared" si="146"/>
        <v>167.42302164950172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4.909216152552581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4.909216152552581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669.99999999999989</v>
      </c>
      <c r="BZ180" s="13">
        <f>BY180*VLOOKUP('Données projet'!$B$12,Paramètres!$A$1:$I$89,3,0)*VLOOKUP('Données projet'!$B$12,Paramètres!$A$1:$I$89,5,0)</f>
        <v>330.97999999999996</v>
      </c>
      <c r="CA180" s="13">
        <f t="shared" si="170"/>
        <v>77.633451096966454</v>
      </c>
      <c r="CB180" s="20">
        <f t="shared" si="171"/>
        <v>711.66842732721636</v>
      </c>
      <c r="CC180" s="59">
        <f t="shared" si="119"/>
        <v>1005.0017606605497</v>
      </c>
      <c r="CD180" s="59">
        <f ca="1">AVERAGE(OFFSET($CC$3,0,0,'Données projet'!$E$12+1,1))-AVERAGE(OFFSET($H$3,0,0,'Données projet'!$E$12+1,1))</f>
        <v>322.06606384496587</v>
      </c>
      <c r="CE180" s="59">
        <f t="shared" si="148"/>
        <v>267.71713177624713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17.038566257682838</v>
      </c>
      <c r="CL180" s="21">
        <f>EXP(-LN(2)/25)*CL179+(1-EXP(-LN(2)/25))/(LN(2)/25)*Calculateur!CG180*Calculateur!CI180*VLOOKUP('Données projet'!$B$12,Paramètres!$A$1:$I$89,3,0)*0.475*44/12</f>
        <v>0.3413785970125377</v>
      </c>
      <c r="CM180" s="21">
        <f>EXP(-LN(2)/2)*CM179+(1-EXP(-LN(2)/2))/(LN(2)/2)*CG180*CJ180*VLOOKUP('Données projet'!$B$12,Paramètres!$A$1:$I$89,3,0)*0.475*44/12</f>
        <v>2.9610300100967427E-22</v>
      </c>
      <c r="CN180" s="22">
        <f t="shared" si="172"/>
        <v>17.379944854695374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401</v>
      </c>
      <c r="CU180" s="17">
        <f>CT180*VLOOKUP('Données projet'!$B$13,Paramètres!$A$1:$I$89,3,0)*VLOOKUP('Données projet'!$B$13,Paramètres!$A$1:$I$89,5,0)</f>
        <v>250.22399999999999</v>
      </c>
      <c r="CV180" s="13">
        <f t="shared" si="173"/>
        <v>60.633904580527918</v>
      </c>
      <c r="CW180" s="20">
        <f t="shared" si="174"/>
        <v>541.41085047775289</v>
      </c>
      <c r="CX180" s="59">
        <f t="shared" si="122"/>
        <v>834.74418381108626</v>
      </c>
      <c r="CY180" s="59">
        <f ca="1">AVERAGE(OFFSET($CX$3,0,0,'Données projet'!$E$13+1,1))-AVERAGE(OFFSET($H$3,0,0,'Données projet'!$E$13+1,1))</f>
        <v>269.77739619445515</v>
      </c>
      <c r="CZ180" s="59">
        <f t="shared" si="150"/>
        <v>347.56964743629885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7.5475455676101957</v>
      </c>
      <c r="DG180" s="21">
        <f>EXP(-LN(2)/25)*DG179+(1-EXP(-LN(2)/25))/(LN(2)/25)*Calculateur!DB180*Calculateur!DD180*VLOOKUP('Données projet'!$B$13,Paramètres!$A$1:$I$89,3,0)*0.475*44/12</f>
        <v>1.5578037245147207</v>
      </c>
      <c r="DH180" s="21">
        <f>EXP(-LN(2)/2)*DH179+(1-EXP(-LN(2)/2))/(LN(2)/2)*DB180*DE180*VLOOKUP('Données projet'!$B$13,Paramètres!$A$1:$I$89,3,0)*0.475*44/12</f>
        <v>1.8595933810782511E-24</v>
      </c>
      <c r="DI180" s="22">
        <f t="shared" si="175"/>
        <v>9.1053492921249166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669.99999999999989</v>
      </c>
      <c r="DP180" s="17">
        <f>DO180*VLOOKUP('Données projet'!$B$14,Paramètres!$A$1:$I$89,3,0)*VLOOKUP('Données projet'!$B$14,Paramètres!$A$1:$I$89,5,0)</f>
        <v>322.26999999999992</v>
      </c>
      <c r="DQ180" s="13">
        <f t="shared" si="176"/>
        <v>75.825476822885776</v>
      </c>
      <c r="DR180" s="20">
        <f t="shared" si="177"/>
        <v>693.34962213319261</v>
      </c>
      <c r="DS180" s="59">
        <f t="shared" si="125"/>
        <v>986.68295546652598</v>
      </c>
      <c r="DT180" s="59">
        <f ca="1">AVERAGE(OFFSET($DS$3,0,0,'Données projet'!$E$14+1,1))-AVERAGE(OFFSET($H$3,0,0,'Données projet'!$E$14+1,1))</f>
        <v>312.64506496298173</v>
      </c>
      <c r="DU180" s="59">
        <f t="shared" si="152"/>
        <v>259.97532509897508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16.590182935112249</v>
      </c>
      <c r="EB180" s="21">
        <f>EXP(-LN(2)/25)*EB179+(1-EXP(-LN(2)/25))/(LN(2)/25)*Calculateur!DW180*Calculateur!DY180*VLOOKUP('Données projet'!$B$14,Paramètres!$A$1:$I$89,3,0)*0.475*44/12</f>
        <v>0.33239494972273498</v>
      </c>
      <c r="EC180" s="21">
        <f>EXP(-LN(2)/2)*EC179+(1-EXP(-LN(2)/2))/(LN(2)/2)*DW180*DZ180*VLOOKUP('Données projet'!$B$14,Paramètres!$A$1:$I$89,3,0)*0.475*44/12</f>
        <v>2.8831081677257403E-22</v>
      </c>
      <c r="ED180" s="22">
        <f t="shared" si="178"/>
        <v>16.922577884834986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267</v>
      </c>
      <c r="EK180" s="17">
        <f>EJ180*VLOOKUP('Données projet'!$B$15,Paramètres!$A$1:$I$89,3,0)*VLOOKUP('Données projet'!$B$15,Paramètres!$A$1:$I$89,5,0)</f>
        <v>241.58159999999998</v>
      </c>
      <c r="EL180" s="13">
        <f t="shared" si="179"/>
        <v>58.779689232021951</v>
      </c>
      <c r="EM180" s="20">
        <f t="shared" si="180"/>
        <v>523.12924541243819</v>
      </c>
      <c r="EN180" s="59">
        <f t="shared" si="128"/>
        <v>816.46257874577145</v>
      </c>
      <c r="EO180" s="59">
        <f ca="1">AVERAGE(OFFSET($EN$3,0,0,'Données projet'!$E$15+1,1))-AVERAGE(OFFSET($H$3,0,0,'Données projet'!$E$15+1,1))</f>
        <v>269.64423257646359</v>
      </c>
      <c r="EP180" s="59">
        <f t="shared" si="154"/>
        <v>161.0819079811821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22.140673754011868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22.140673754011868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349.00000000000017</v>
      </c>
      <c r="FF180" s="17">
        <f>FE180*VLOOKUP('Données projet'!$B$16,Paramètres!$A$1:$I$89,3,0)*VLOOKUP('Données projet'!$B$16,Paramètres!$A$1:$I$89,5,0)</f>
        <v>272.22000000000014</v>
      </c>
      <c r="FG180" s="13">
        <f t="shared" si="182"/>
        <v>65.320184547527205</v>
      </c>
      <c r="FH180" s="20">
        <f t="shared" si="183"/>
        <v>587.88248808694345</v>
      </c>
      <c r="FI180" s="59">
        <f t="shared" si="131"/>
        <v>881.21582142027682</v>
      </c>
      <c r="FJ180" s="59">
        <f ca="1">AVERAGE(OFFSET($FI$3,0,0,'Données projet'!$E$16+1,1))-AVERAGE(OFFSET($H$3,0,0,'Données projet'!$E$16+1,1))</f>
        <v>283.77864672734273</v>
      </c>
      <c r="FK180" s="59">
        <f t="shared" si="156"/>
        <v>270.94620935643866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10.413163864315244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10.413163864315244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319</v>
      </c>
      <c r="GA180" s="17">
        <f>FZ180*VLOOKUP('Données projet'!$B$17,Paramètres!$A$1:$I$89,3,0)*VLOOKUP('Données projet'!$B$17,Paramètres!$A$1:$I$89,5,0)</f>
        <v>308.53680000000003</v>
      </c>
      <c r="GB180" s="13">
        <f t="shared" si="185"/>
        <v>72.963171684496103</v>
      </c>
      <c r="GC180" s="20">
        <f t="shared" si="186"/>
        <v>664.4457840171641</v>
      </c>
      <c r="GD180" s="59">
        <f t="shared" si="134"/>
        <v>957.77911735049747</v>
      </c>
      <c r="GE180" s="59">
        <f ca="1">AVERAGE(OFFSET($GD$3,0,0,'Données projet'!$E$17+1,1))-AVERAGE(OFFSET($H$3,0,0,'Données projet'!$E$17+1,1))</f>
        <v>347.54503437087288</v>
      </c>
      <c r="GF180" s="59">
        <f t="shared" si="158"/>
        <v>340.05673244455954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7.6803892951827439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7.6803892951827439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735.00000000000011</v>
      </c>
      <c r="O181" s="13">
        <f>N181*VLOOKUP('Données projet'!$B$9,Paramètres!$A$1:$I$89,3,0)*VLOOKUP('Données projet'!$B$9,Paramètres!$A$1:$I$89,5,0)</f>
        <v>343.98</v>
      </c>
      <c r="P181" s="13">
        <f t="shared" si="141"/>
        <v>80.321681832084693</v>
      </c>
      <c r="Q181" s="20">
        <f t="shared" si="162"/>
        <v>738.9920958575475</v>
      </c>
      <c r="R181" s="59">
        <f t="shared" si="109"/>
        <v>1032.3254291908809</v>
      </c>
      <c r="S181" s="59">
        <f ca="1">AVERAGE(OFFSET($R$3,0,0,'Données projet'!$E$9+1,1))-AVERAGE(OFFSET($H$3,0,0,'Données projet'!$E$9+1,1))</f>
        <v>342.49944586217674</v>
      </c>
      <c r="T181" s="59">
        <f t="shared" si="142"/>
        <v>282.29766600872563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16.935176326296972</v>
      </c>
      <c r="AA181" s="21">
        <f>EXP(-LN(2)/25)*AA180+(1-EXP(-LN(2)/25))/(LN(2)/25)*Calculateur!V181*Calculateur!X181*VLOOKUP('Données projet'!$B$9,Paramètres!$A$1:$I$89,3,0)*0.475*44/12</f>
        <v>0.66196643361815721</v>
      </c>
      <c r="AB181" s="21">
        <f>EXP(-LN(2)/2)*AB180+(1-EXP(-LN(2)/2))/(LN(2)/2)*V181*Y181*VLOOKUP('Données projet'!$B$9,Paramètres!$A$1:$I$89,3,0)*0.475*44/12</f>
        <v>4.3831036333668405E-24</v>
      </c>
      <c r="AC181" s="22">
        <f t="shared" si="163"/>
        <v>17.59714275991513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739.99999999999966</v>
      </c>
      <c r="AJ181" s="13">
        <f>AI181*VLOOKUP('Données projet'!$B$10,Paramètres!$A$1:$I$89,3,0)*VLOOKUP('Données projet'!$B$10,Paramètres!$A$1:$I$89,5,0)</f>
        <v>413.65999999999985</v>
      </c>
      <c r="AK181" s="13">
        <f t="shared" si="164"/>
        <v>94.540585122244352</v>
      </c>
      <c r="AL181" s="20">
        <f t="shared" si="165"/>
        <v>885.11601908790863</v>
      </c>
      <c r="AM181" s="59">
        <f t="shared" si="113"/>
        <v>1178.4493524212419</v>
      </c>
      <c r="AN181" s="59">
        <f ca="1">AVERAGE(OFFSET($AM$3,0,0,'Données projet'!$E$10+1,1))-AVERAGE(OFFSET($H$3,0,0,'Données projet'!$E$10+1,1))</f>
        <v>490.96084572840579</v>
      </c>
      <c r="AO181" s="59">
        <f t="shared" si="144"/>
        <v>597.91658789908263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11.933066588314427</v>
      </c>
      <c r="AV181" s="21">
        <f>EXP(-LN(2)/25)*AV180+(1-EXP(-LN(2)/25))/(LN(2)/25)*Calculateur!AQ181*Calculateur!AS181*VLOOKUP('Données projet'!$B$10,Paramètres!$A$1:$I$89,3,0)*0.475*44/12</f>
        <v>0.95431641671591061</v>
      </c>
      <c r="AW181" s="21">
        <f>EXP(-LN(2)/2)*AW180+(1-EXP(-LN(2)/2))/(LN(2)/2)*AQ181*AT181*VLOOKUP('Données projet'!$B$10,Paramètres!$A$1:$I$89,3,0)*0.475*44/12</f>
        <v>4.5024214544973809E-23</v>
      </c>
      <c r="AX181" s="21">
        <f t="shared" si="166"/>
        <v>12.887383005030337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213.00000000000003</v>
      </c>
      <c r="BE181" s="13">
        <f>BD181*VLOOKUP('Données projet'!$B$11,Paramètres!$A$1:$I$89,3,0)*VLOOKUP('Données projet'!$B$11,Paramètres!$A$1:$I$89,5,0)</f>
        <v>169.46280000000002</v>
      </c>
      <c r="BF181" s="13">
        <f t="shared" si="167"/>
        <v>42.969686502194378</v>
      </c>
      <c r="BG181" s="20">
        <f t="shared" si="168"/>
        <v>369.98658065798855</v>
      </c>
      <c r="BH181" s="59">
        <f t="shared" si="116"/>
        <v>663.31991399132187</v>
      </c>
      <c r="BI181" s="59">
        <f ca="1">AVERAGE(OFFSET($BH$3,0,0,'Données projet'!$E$11+1,1))-AVERAGE(OFFSET($H$3,0,0,'Données projet'!$E$11+1,1))</f>
        <v>167.80254365106839</v>
      </c>
      <c r="BJ181" s="59">
        <f t="shared" si="146"/>
        <v>167.42302164950172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4.8129494181272126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4.8129494181272126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669.99999999999989</v>
      </c>
      <c r="BZ181" s="13">
        <f>BY181*VLOOKUP('Données projet'!$B$12,Paramètres!$A$1:$I$89,3,0)*VLOOKUP('Données projet'!$B$12,Paramètres!$A$1:$I$89,5,0)</f>
        <v>330.97999999999996</v>
      </c>
      <c r="CA181" s="13">
        <f t="shared" si="170"/>
        <v>77.633451096966454</v>
      </c>
      <c r="CB181" s="20">
        <f t="shared" si="171"/>
        <v>711.66842732721636</v>
      </c>
      <c r="CC181" s="59">
        <f t="shared" si="119"/>
        <v>1005.0017606605497</v>
      </c>
      <c r="CD181" s="59">
        <f ca="1">AVERAGE(OFFSET($CC$3,0,0,'Données projet'!$E$12+1,1))-AVERAGE(OFFSET($H$3,0,0,'Données projet'!$E$12+1,1))</f>
        <v>322.06606384496587</v>
      </c>
      <c r="CE181" s="59">
        <f t="shared" si="148"/>
        <v>267.71713177624713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16.704450365868922</v>
      </c>
      <c r="CL181" s="21">
        <f>EXP(-LN(2)/25)*CL180+(1-EXP(-LN(2)/25))/(LN(2)/25)*Calculateur!CG181*Calculateur!CI181*VLOOKUP('Données projet'!$B$12,Paramètres!$A$1:$I$89,3,0)*0.475*44/12</f>
        <v>0.33204358132490969</v>
      </c>
      <c r="CM181" s="21">
        <f>EXP(-LN(2)/2)*CM180+(1-EXP(-LN(2)/2))/(LN(2)/2)*CG181*CJ181*VLOOKUP('Données projet'!$B$12,Paramètres!$A$1:$I$89,3,0)*0.475*44/12</f>
        <v>2.0937643994362783E-22</v>
      </c>
      <c r="CN181" s="22">
        <f t="shared" si="172"/>
        <v>17.036493947193833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401</v>
      </c>
      <c r="CU181" s="17">
        <f>CT181*VLOOKUP('Données projet'!$B$13,Paramètres!$A$1:$I$89,3,0)*VLOOKUP('Données projet'!$B$13,Paramètres!$A$1:$I$89,5,0)</f>
        <v>250.22399999999999</v>
      </c>
      <c r="CV181" s="13">
        <f t="shared" si="173"/>
        <v>60.633904580527918</v>
      </c>
      <c r="CW181" s="20">
        <f t="shared" si="174"/>
        <v>541.41085047775289</v>
      </c>
      <c r="CX181" s="59">
        <f t="shared" si="122"/>
        <v>834.74418381108626</v>
      </c>
      <c r="CY181" s="59">
        <f ca="1">AVERAGE(OFFSET($CX$3,0,0,'Données projet'!$E$13+1,1))-AVERAGE(OFFSET($H$3,0,0,'Données projet'!$E$13+1,1))</f>
        <v>269.77739619445515</v>
      </c>
      <c r="CZ181" s="59">
        <f t="shared" si="150"/>
        <v>347.56964743629885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7.3995428025775931</v>
      </c>
      <c r="DG181" s="21">
        <f>EXP(-LN(2)/25)*DG180+(1-EXP(-LN(2)/25))/(LN(2)/25)*Calculateur!DB181*Calculateur!DD181*VLOOKUP('Données projet'!$B$13,Paramètres!$A$1:$I$89,3,0)*0.475*44/12</f>
        <v>1.5152054997465283</v>
      </c>
      <c r="DH181" s="21">
        <f>EXP(-LN(2)/2)*DH180+(1-EXP(-LN(2)/2))/(LN(2)/2)*DB181*DE181*VLOOKUP('Données projet'!$B$13,Paramètres!$A$1:$I$89,3,0)*0.475*44/12</f>
        <v>1.314931090010051E-24</v>
      </c>
      <c r="DI181" s="22">
        <f t="shared" si="175"/>
        <v>8.9147483023241207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669.99999999999989</v>
      </c>
      <c r="DP181" s="17">
        <f>DO181*VLOOKUP('Données projet'!$B$14,Paramètres!$A$1:$I$89,3,0)*VLOOKUP('Données projet'!$B$14,Paramètres!$A$1:$I$89,5,0)</f>
        <v>322.26999999999992</v>
      </c>
      <c r="DQ181" s="13">
        <f t="shared" si="176"/>
        <v>75.825476822885776</v>
      </c>
      <c r="DR181" s="20">
        <f t="shared" si="177"/>
        <v>693.34962213319261</v>
      </c>
      <c r="DS181" s="59">
        <f t="shared" si="125"/>
        <v>986.68295546652598</v>
      </c>
      <c r="DT181" s="59">
        <f ca="1">AVERAGE(OFFSET($DS$3,0,0,'Données projet'!$E$14+1,1))-AVERAGE(OFFSET($H$3,0,0,'Données projet'!$E$14+1,1))</f>
        <v>312.64506496298173</v>
      </c>
      <c r="DU181" s="59">
        <f t="shared" si="152"/>
        <v>259.97532509897508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16.264859566767118</v>
      </c>
      <c r="EB181" s="21">
        <f>EXP(-LN(2)/25)*EB180+(1-EXP(-LN(2)/25))/(LN(2)/25)*Calculateur!DW181*Calculateur!DY181*VLOOKUP('Données projet'!$B$14,Paramètres!$A$1:$I$89,3,0)*0.475*44/12</f>
        <v>0.32330559234267608</v>
      </c>
      <c r="EC181" s="21">
        <f>EXP(-LN(2)/2)*EC180+(1-EXP(-LN(2)/2))/(LN(2)/2)*DW181*DZ181*VLOOKUP('Données projet'!$B$14,Paramètres!$A$1:$I$89,3,0)*0.475*44/12</f>
        <v>2.038665336293193E-22</v>
      </c>
      <c r="ED181" s="22">
        <f t="shared" si="178"/>
        <v>16.588165159109796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267</v>
      </c>
      <c r="EK181" s="17">
        <f>EJ181*VLOOKUP('Données projet'!$B$15,Paramètres!$A$1:$I$89,3,0)*VLOOKUP('Données projet'!$B$15,Paramètres!$A$1:$I$89,5,0)</f>
        <v>241.58159999999998</v>
      </c>
      <c r="EL181" s="13">
        <f t="shared" si="179"/>
        <v>58.779689232021951</v>
      </c>
      <c r="EM181" s="20">
        <f t="shared" si="180"/>
        <v>523.12924541243819</v>
      </c>
      <c r="EN181" s="59">
        <f t="shared" si="128"/>
        <v>816.46257874577145</v>
      </c>
      <c r="EO181" s="59">
        <f ca="1">AVERAGE(OFFSET($EN$3,0,0,'Données projet'!$E$15+1,1))-AVERAGE(OFFSET($H$3,0,0,'Données projet'!$E$15+1,1))</f>
        <v>269.64423257646359</v>
      </c>
      <c r="EP181" s="59">
        <f t="shared" si="154"/>
        <v>161.0819079811821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21.70650864617323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21.70650864617323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349.00000000000017</v>
      </c>
      <c r="FF181" s="17">
        <f>FE181*VLOOKUP('Données projet'!$B$16,Paramètres!$A$1:$I$89,3,0)*VLOOKUP('Données projet'!$B$16,Paramètres!$A$1:$I$89,5,0)</f>
        <v>272.22000000000014</v>
      </c>
      <c r="FG181" s="13">
        <f t="shared" si="182"/>
        <v>65.320184547527205</v>
      </c>
      <c r="FH181" s="20">
        <f t="shared" si="183"/>
        <v>587.88248808694345</v>
      </c>
      <c r="FI181" s="59">
        <f t="shared" si="131"/>
        <v>881.21582142027682</v>
      </c>
      <c r="FJ181" s="59">
        <f ca="1">AVERAGE(OFFSET($FI$3,0,0,'Données projet'!$E$16+1,1))-AVERAGE(OFFSET($H$3,0,0,'Données projet'!$E$16+1,1))</f>
        <v>283.77864672734273</v>
      </c>
      <c r="FK181" s="59">
        <f t="shared" si="156"/>
        <v>270.94620935643866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10.208968072338831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10.208968072338831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319</v>
      </c>
      <c r="GA181" s="17">
        <f>FZ181*VLOOKUP('Données projet'!$B$17,Paramètres!$A$1:$I$89,3,0)*VLOOKUP('Données projet'!$B$17,Paramètres!$A$1:$I$89,5,0)</f>
        <v>308.53680000000003</v>
      </c>
      <c r="GB181" s="13">
        <f t="shared" si="185"/>
        <v>72.963171684496103</v>
      </c>
      <c r="GC181" s="20">
        <f t="shared" si="186"/>
        <v>664.4457840171641</v>
      </c>
      <c r="GD181" s="59">
        <f t="shared" si="134"/>
        <v>957.77911735049747</v>
      </c>
      <c r="GE181" s="59">
        <f ca="1">AVERAGE(OFFSET($GD$3,0,0,'Données projet'!$E$17+1,1))-AVERAGE(OFFSET($H$3,0,0,'Données projet'!$E$17+1,1))</f>
        <v>347.54503437087288</v>
      </c>
      <c r="GF181" s="59">
        <f t="shared" si="158"/>
        <v>340.05673244455954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7.5297815456791168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7.5297815456791168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735.00000000000011</v>
      </c>
      <c r="O182" s="13">
        <f>N182*VLOOKUP('Données projet'!$B$9,Paramètres!$A$1:$I$89,3,0)*VLOOKUP('Données projet'!$B$9,Paramètres!$A$1:$I$89,5,0)</f>
        <v>343.98</v>
      </c>
      <c r="P182" s="13">
        <f t="shared" si="141"/>
        <v>80.321681832084693</v>
      </c>
      <c r="Q182" s="20">
        <f t="shared" si="162"/>
        <v>738.9920958575475</v>
      </c>
      <c r="R182" s="59">
        <f t="shared" si="109"/>
        <v>1032.3254291908809</v>
      </c>
      <c r="S182" s="59">
        <f ca="1">AVERAGE(OFFSET($R$3,0,0,'Données projet'!$E$9+1,1))-AVERAGE(OFFSET($H$3,0,0,'Données projet'!$E$9+1,1))</f>
        <v>342.49944586217674</v>
      </c>
      <c r="T182" s="59">
        <f t="shared" si="142"/>
        <v>282.29766600872563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16.6030878479759</v>
      </c>
      <c r="AA182" s="21">
        <f>EXP(-LN(2)/25)*AA181+(1-EXP(-LN(2)/25))/(LN(2)/25)*Calculateur!V182*Calculateur!X182*VLOOKUP('Données projet'!$B$9,Paramètres!$A$1:$I$89,3,0)*0.475*44/12</f>
        <v>0.64386492667956685</v>
      </c>
      <c r="AB182" s="21">
        <f>EXP(-LN(2)/2)*AB181+(1-EXP(-LN(2)/2))/(LN(2)/2)*V182*Y182*VLOOKUP('Données projet'!$B$9,Paramètres!$A$1:$I$89,3,0)*0.475*44/12</f>
        <v>3.0993223017970879E-24</v>
      </c>
      <c r="AC182" s="22">
        <f t="shared" si="163"/>
        <v>17.246952774655465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739.99999999999966</v>
      </c>
      <c r="AJ182" s="13">
        <f>AI182*VLOOKUP('Données projet'!$B$10,Paramètres!$A$1:$I$89,3,0)*VLOOKUP('Données projet'!$B$10,Paramètres!$A$1:$I$89,5,0)</f>
        <v>413.65999999999985</v>
      </c>
      <c r="AK182" s="13">
        <f t="shared" si="164"/>
        <v>94.540585122244352</v>
      </c>
      <c r="AL182" s="20">
        <f t="shared" si="165"/>
        <v>885.11601908790863</v>
      </c>
      <c r="AM182" s="59">
        <f t="shared" si="113"/>
        <v>1178.4493524212419</v>
      </c>
      <c r="AN182" s="59">
        <f ca="1">AVERAGE(OFFSET($AM$3,0,0,'Données projet'!$E$10+1,1))-AVERAGE(OFFSET($H$3,0,0,'Données projet'!$E$10+1,1))</f>
        <v>490.96084572840579</v>
      </c>
      <c r="AO182" s="59">
        <f t="shared" si="144"/>
        <v>597.91658789908263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11.699066430969513</v>
      </c>
      <c r="AV182" s="21">
        <f>EXP(-LN(2)/25)*AV181+(1-EXP(-LN(2)/25))/(LN(2)/25)*Calculateur!AQ182*Calculateur!AS182*VLOOKUP('Données projet'!$B$10,Paramètres!$A$1:$I$89,3,0)*0.475*44/12</f>
        <v>0.9282205841154948</v>
      </c>
      <c r="AW182" s="21">
        <f>EXP(-LN(2)/2)*AW181+(1-EXP(-LN(2)/2))/(LN(2)/2)*AQ182*AT182*VLOOKUP('Données projet'!$B$10,Paramètres!$A$1:$I$89,3,0)*0.475*44/12</f>
        <v>3.1836927422348965E-23</v>
      </c>
      <c r="AX182" s="21">
        <f t="shared" si="166"/>
        <v>12.627287015085008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213.00000000000003</v>
      </c>
      <c r="BE182" s="13">
        <f>BD182*VLOOKUP('Données projet'!$B$11,Paramètres!$A$1:$I$89,3,0)*VLOOKUP('Données projet'!$B$11,Paramètres!$A$1:$I$89,5,0)</f>
        <v>169.46280000000002</v>
      </c>
      <c r="BF182" s="13">
        <f t="shared" si="167"/>
        <v>42.969686502194378</v>
      </c>
      <c r="BG182" s="20">
        <f t="shared" si="168"/>
        <v>369.98658065798855</v>
      </c>
      <c r="BH182" s="59">
        <f t="shared" si="116"/>
        <v>663.31991399132187</v>
      </c>
      <c r="BI182" s="59">
        <f ca="1">AVERAGE(OFFSET($BH$3,0,0,'Données projet'!$E$11+1,1))-AVERAGE(OFFSET($H$3,0,0,'Données projet'!$E$11+1,1))</f>
        <v>167.80254365106839</v>
      </c>
      <c r="BJ182" s="59">
        <f t="shared" si="146"/>
        <v>167.42302164950172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4.7185704156470161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4.7185704156470161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669.99999999999989</v>
      </c>
      <c r="BZ182" s="13">
        <f>BY182*VLOOKUP('Données projet'!$B$12,Paramètres!$A$1:$I$89,3,0)*VLOOKUP('Données projet'!$B$12,Paramètres!$A$1:$I$89,5,0)</f>
        <v>330.97999999999996</v>
      </c>
      <c r="CA182" s="13">
        <f t="shared" si="170"/>
        <v>77.633451096966454</v>
      </c>
      <c r="CB182" s="20">
        <f t="shared" si="171"/>
        <v>711.66842732721636</v>
      </c>
      <c r="CC182" s="59">
        <f t="shared" si="119"/>
        <v>1005.0017606605497</v>
      </c>
      <c r="CD182" s="59">
        <f ca="1">AVERAGE(OFFSET($CC$3,0,0,'Données projet'!$E$12+1,1))-AVERAGE(OFFSET($H$3,0,0,'Données projet'!$E$12+1,1))</f>
        <v>322.06606384496587</v>
      </c>
      <c r="CE182" s="59">
        <f t="shared" si="148"/>
        <v>267.71713177624713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16.376886282902905</v>
      </c>
      <c r="CL182" s="21">
        <f>EXP(-LN(2)/25)*CL181+(1-EXP(-LN(2)/25))/(LN(2)/25)*Calculateur!CG182*Calculateur!CI182*VLOOKUP('Données projet'!$B$12,Paramètres!$A$1:$I$89,3,0)*0.475*44/12</f>
        <v>0.32296383213216701</v>
      </c>
      <c r="CM182" s="21">
        <f>EXP(-LN(2)/2)*CM181+(1-EXP(-LN(2)/2))/(LN(2)/2)*CG182*CJ182*VLOOKUP('Données projet'!$B$12,Paramètres!$A$1:$I$89,3,0)*0.475*44/12</f>
        <v>1.4805150050483716E-22</v>
      </c>
      <c r="CN182" s="22">
        <f t="shared" si="172"/>
        <v>16.699850115035073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401</v>
      </c>
      <c r="CU182" s="17">
        <f>CT182*VLOOKUP('Données projet'!$B$13,Paramètres!$A$1:$I$89,3,0)*VLOOKUP('Données projet'!$B$13,Paramètres!$A$1:$I$89,5,0)</f>
        <v>250.22399999999999</v>
      </c>
      <c r="CV182" s="13">
        <f t="shared" si="173"/>
        <v>60.633904580527918</v>
      </c>
      <c r="CW182" s="20">
        <f t="shared" si="174"/>
        <v>541.41085047775289</v>
      </c>
      <c r="CX182" s="59">
        <f t="shared" si="122"/>
        <v>834.74418381108626</v>
      </c>
      <c r="CY182" s="59">
        <f ca="1">AVERAGE(OFFSET($CX$3,0,0,'Données projet'!$E$13+1,1))-AVERAGE(OFFSET($H$3,0,0,'Données projet'!$E$13+1,1))</f>
        <v>269.77739619445515</v>
      </c>
      <c r="CZ182" s="59">
        <f t="shared" si="150"/>
        <v>347.56964743629885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7.2544422814945069</v>
      </c>
      <c r="DG182" s="21">
        <f>EXP(-LN(2)/25)*DG181+(1-EXP(-LN(2)/25))/(LN(2)/25)*Calculateur!DB182*Calculateur!DD182*VLOOKUP('Données projet'!$B$13,Paramètres!$A$1:$I$89,3,0)*0.475*44/12</f>
        <v>1.4737721256747653</v>
      </c>
      <c r="DH182" s="21">
        <f>EXP(-LN(2)/2)*DH181+(1-EXP(-LN(2)/2))/(LN(2)/2)*DB182*DE182*VLOOKUP('Données projet'!$B$13,Paramètres!$A$1:$I$89,3,0)*0.475*44/12</f>
        <v>9.2979669053912557E-25</v>
      </c>
      <c r="DI182" s="22">
        <f t="shared" si="175"/>
        <v>8.728214407169272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669.99999999999989</v>
      </c>
      <c r="DP182" s="17">
        <f>DO182*VLOOKUP('Données projet'!$B$14,Paramètres!$A$1:$I$89,3,0)*VLOOKUP('Données projet'!$B$14,Paramètres!$A$1:$I$89,5,0)</f>
        <v>322.26999999999992</v>
      </c>
      <c r="DQ182" s="13">
        <f t="shared" si="176"/>
        <v>75.825476822885776</v>
      </c>
      <c r="DR182" s="20">
        <f t="shared" si="177"/>
        <v>693.34962213319261</v>
      </c>
      <c r="DS182" s="59">
        <f t="shared" si="125"/>
        <v>986.68295546652598</v>
      </c>
      <c r="DT182" s="59">
        <f ca="1">AVERAGE(OFFSET($DS$3,0,0,'Données projet'!$E$14+1,1))-AVERAGE(OFFSET($H$3,0,0,'Données projet'!$E$14+1,1))</f>
        <v>312.64506496298173</v>
      </c>
      <c r="DU182" s="59">
        <f t="shared" si="152"/>
        <v>259.97532509897508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15.945915591247575</v>
      </c>
      <c r="EB182" s="21">
        <f>EXP(-LN(2)/25)*EB181+(1-EXP(-LN(2)/25))/(LN(2)/25)*Calculateur!DW182*Calculateur!DY182*VLOOKUP('Données projet'!$B$14,Paramètres!$A$1:$I$89,3,0)*0.475*44/12</f>
        <v>0.3144647839181634</v>
      </c>
      <c r="EC182" s="21">
        <f>EXP(-LN(2)/2)*EC181+(1-EXP(-LN(2)/2))/(LN(2)/2)*DW182*DZ182*VLOOKUP('Données projet'!$B$14,Paramètres!$A$1:$I$89,3,0)*0.475*44/12</f>
        <v>1.4415540838628702E-22</v>
      </c>
      <c r="ED182" s="22">
        <f t="shared" si="178"/>
        <v>16.260380375165738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267</v>
      </c>
      <c r="EK182" s="17">
        <f>EJ182*VLOOKUP('Données projet'!$B$15,Paramètres!$A$1:$I$89,3,0)*VLOOKUP('Données projet'!$B$15,Paramètres!$A$1:$I$89,5,0)</f>
        <v>241.58159999999998</v>
      </c>
      <c r="EL182" s="13">
        <f t="shared" si="179"/>
        <v>58.779689232021951</v>
      </c>
      <c r="EM182" s="20">
        <f t="shared" si="180"/>
        <v>523.12924541243819</v>
      </c>
      <c r="EN182" s="59">
        <f t="shared" si="128"/>
        <v>816.46257874577145</v>
      </c>
      <c r="EO182" s="59">
        <f ca="1">AVERAGE(OFFSET($EN$3,0,0,'Données projet'!$E$15+1,1))-AVERAGE(OFFSET($H$3,0,0,'Données projet'!$E$15+1,1))</f>
        <v>269.64423257646359</v>
      </c>
      <c r="EP182" s="59">
        <f t="shared" si="154"/>
        <v>161.0819079811821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21.28085725128474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21.28085725128474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349.00000000000017</v>
      </c>
      <c r="FF182" s="17">
        <f>FE182*VLOOKUP('Données projet'!$B$16,Paramètres!$A$1:$I$89,3,0)*VLOOKUP('Données projet'!$B$16,Paramètres!$A$1:$I$89,5,0)</f>
        <v>272.22000000000014</v>
      </c>
      <c r="FG182" s="13">
        <f t="shared" si="182"/>
        <v>65.320184547527205</v>
      </c>
      <c r="FH182" s="20">
        <f t="shared" si="183"/>
        <v>587.88248808694345</v>
      </c>
      <c r="FI182" s="59">
        <f t="shared" si="131"/>
        <v>881.21582142027682</v>
      </c>
      <c r="FJ182" s="59">
        <f ca="1">AVERAGE(OFFSET($FI$3,0,0,'Données projet'!$E$16+1,1))-AVERAGE(OFFSET($H$3,0,0,'Données projet'!$E$16+1,1))</f>
        <v>283.77864672734273</v>
      </c>
      <c r="FK182" s="59">
        <f t="shared" si="156"/>
        <v>270.94620935643866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10.008776435295939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10.008776435295939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319</v>
      </c>
      <c r="GA182" s="17">
        <f>FZ182*VLOOKUP('Données projet'!$B$17,Paramètres!$A$1:$I$89,3,0)*VLOOKUP('Données projet'!$B$17,Paramètres!$A$1:$I$89,5,0)</f>
        <v>308.53680000000003</v>
      </c>
      <c r="GB182" s="13">
        <f t="shared" si="185"/>
        <v>72.963171684496103</v>
      </c>
      <c r="GC182" s="20">
        <f t="shared" si="186"/>
        <v>664.4457840171641</v>
      </c>
      <c r="GD182" s="59">
        <f t="shared" si="134"/>
        <v>957.77911735049747</v>
      </c>
      <c r="GE182" s="59">
        <f ca="1">AVERAGE(OFFSET($GD$3,0,0,'Données projet'!$E$17+1,1))-AVERAGE(OFFSET($H$3,0,0,'Données projet'!$E$17+1,1))</f>
        <v>347.54503437087288</v>
      </c>
      <c r="GF182" s="59">
        <f t="shared" si="158"/>
        <v>340.05673244455954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7.3821271222815996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7.3821271222815996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735.00000000000011</v>
      </c>
      <c r="O183" s="13">
        <f>N183*VLOOKUP('Données projet'!$B$9,Paramètres!$A$1:$I$89,3,0)*VLOOKUP('Données projet'!$B$9,Paramètres!$A$1:$I$89,5,0)</f>
        <v>343.98</v>
      </c>
      <c r="P183" s="13">
        <f t="shared" si="141"/>
        <v>80.321681832084693</v>
      </c>
      <c r="Q183" s="20">
        <f t="shared" si="162"/>
        <v>738.9920958575475</v>
      </c>
      <c r="R183" s="59">
        <f t="shared" si="109"/>
        <v>1032.3254291908809</v>
      </c>
      <c r="S183" s="59">
        <f ca="1">AVERAGE(OFFSET($R$3,0,0,'Données projet'!$E$9+1,1))-AVERAGE(OFFSET($H$3,0,0,'Données projet'!$E$9+1,1))</f>
        <v>342.49944586217674</v>
      </c>
      <c r="T183" s="59">
        <f t="shared" si="142"/>
        <v>282.29766600872563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16.277511422160732</v>
      </c>
      <c r="AA183" s="21">
        <f>EXP(-LN(2)/25)*AA182+(1-EXP(-LN(2)/25))/(LN(2)/25)*Calculateur!V183*Calculateur!X183*VLOOKUP('Données projet'!$B$9,Paramètres!$A$1:$I$89,3,0)*0.475*44/12</f>
        <v>0.6262584064001292</v>
      </c>
      <c r="AB183" s="21">
        <f>EXP(-LN(2)/2)*AB182+(1-EXP(-LN(2)/2))/(LN(2)/2)*V183*Y183*VLOOKUP('Données projet'!$B$9,Paramètres!$A$1:$I$89,3,0)*0.475*44/12</f>
        <v>2.1915518166834202E-24</v>
      </c>
      <c r="AC183" s="22">
        <f t="shared" si="163"/>
        <v>16.903769828560861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739.99999999999966</v>
      </c>
      <c r="AJ183" s="13">
        <f>AI183*VLOOKUP('Données projet'!$B$10,Paramètres!$A$1:$I$89,3,0)*VLOOKUP('Données projet'!$B$10,Paramètres!$A$1:$I$89,5,0)</f>
        <v>413.65999999999985</v>
      </c>
      <c r="AK183" s="13">
        <f t="shared" si="164"/>
        <v>94.540585122244352</v>
      </c>
      <c r="AL183" s="20">
        <f t="shared" si="165"/>
        <v>885.11601908790863</v>
      </c>
      <c r="AM183" s="59">
        <f t="shared" si="113"/>
        <v>1178.4493524212419</v>
      </c>
      <c r="AN183" s="59">
        <f ca="1">AVERAGE(OFFSET($AM$3,0,0,'Données projet'!$E$10+1,1))-AVERAGE(OFFSET($H$3,0,0,'Données projet'!$E$10+1,1))</f>
        <v>490.96084572840579</v>
      </c>
      <c r="AO183" s="59">
        <f t="shared" si="144"/>
        <v>597.91658789908263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11.46965487398413</v>
      </c>
      <c r="AV183" s="21">
        <f>EXP(-LN(2)/25)*AV182+(1-EXP(-LN(2)/25))/(LN(2)/25)*Calculateur!AQ183*Calculateur!AS183*VLOOKUP('Données projet'!$B$10,Paramètres!$A$1:$I$89,3,0)*0.475*44/12</f>
        <v>0.90283834342985758</v>
      </c>
      <c r="AW183" s="21">
        <f>EXP(-LN(2)/2)*AW182+(1-EXP(-LN(2)/2))/(LN(2)/2)*AQ183*AT183*VLOOKUP('Données projet'!$B$10,Paramètres!$A$1:$I$89,3,0)*0.475*44/12</f>
        <v>2.2512107272486904E-23</v>
      </c>
      <c r="AX183" s="21">
        <f t="shared" si="166"/>
        <v>12.372493217413988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213.00000000000003</v>
      </c>
      <c r="BE183" s="13">
        <f>BD183*VLOOKUP('Données projet'!$B$11,Paramètres!$A$1:$I$89,3,0)*VLOOKUP('Données projet'!$B$11,Paramètres!$A$1:$I$89,5,0)</f>
        <v>169.46280000000002</v>
      </c>
      <c r="BF183" s="13">
        <f t="shared" si="167"/>
        <v>42.969686502194378</v>
      </c>
      <c r="BG183" s="20">
        <f t="shared" si="168"/>
        <v>369.98658065798855</v>
      </c>
      <c r="BH183" s="59">
        <f t="shared" si="116"/>
        <v>663.31991399132187</v>
      </c>
      <c r="BI183" s="59">
        <f ca="1">AVERAGE(OFFSET($BH$3,0,0,'Données projet'!$E$11+1,1))-AVERAGE(OFFSET($H$3,0,0,'Données projet'!$E$11+1,1))</f>
        <v>167.80254365106839</v>
      </c>
      <c r="BJ183" s="59">
        <f t="shared" si="146"/>
        <v>167.42302164950172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4.6260421278399484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4.6260421278399484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669.99999999999989</v>
      </c>
      <c r="BZ183" s="13">
        <f>BY183*VLOOKUP('Données projet'!$B$12,Paramètres!$A$1:$I$89,3,0)*VLOOKUP('Données projet'!$B$12,Paramètres!$A$1:$I$89,5,0)</f>
        <v>330.97999999999996</v>
      </c>
      <c r="CA183" s="13">
        <f t="shared" si="170"/>
        <v>77.633451096966454</v>
      </c>
      <c r="CB183" s="20">
        <f t="shared" si="171"/>
        <v>711.66842732721636</v>
      </c>
      <c r="CC183" s="59">
        <f t="shared" si="119"/>
        <v>1005.0017606605497</v>
      </c>
      <c r="CD183" s="59">
        <f ca="1">AVERAGE(OFFSET($CC$3,0,0,'Données projet'!$E$12+1,1))-AVERAGE(OFFSET($H$3,0,0,'Données projet'!$E$12+1,1))</f>
        <v>322.06606384496587</v>
      </c>
      <c r="CE183" s="59">
        <f t="shared" si="148"/>
        <v>267.71713177624713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16.055745531809489</v>
      </c>
      <c r="CL183" s="21">
        <f>EXP(-LN(2)/25)*CL182+(1-EXP(-LN(2)/25))/(LN(2)/25)*Calculateur!CG183*Calculateur!CI183*VLOOKUP('Données projet'!$B$12,Paramètres!$A$1:$I$89,3,0)*0.475*44/12</f>
        <v>0.31413236915858311</v>
      </c>
      <c r="CM183" s="21">
        <f>EXP(-LN(2)/2)*CM182+(1-EXP(-LN(2)/2))/(LN(2)/2)*CG183*CJ183*VLOOKUP('Données projet'!$B$12,Paramètres!$A$1:$I$89,3,0)*0.475*44/12</f>
        <v>1.0468821997181392E-22</v>
      </c>
      <c r="CN183" s="22">
        <f t="shared" si="172"/>
        <v>16.369877900968071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401</v>
      </c>
      <c r="CU183" s="17">
        <f>CT183*VLOOKUP('Données projet'!$B$13,Paramètres!$A$1:$I$89,3,0)*VLOOKUP('Données projet'!$B$13,Paramètres!$A$1:$I$89,5,0)</f>
        <v>250.22399999999999</v>
      </c>
      <c r="CV183" s="13">
        <f t="shared" si="173"/>
        <v>60.633904580527918</v>
      </c>
      <c r="CW183" s="20">
        <f t="shared" si="174"/>
        <v>541.41085047775289</v>
      </c>
      <c r="CX183" s="59">
        <f t="shared" si="122"/>
        <v>834.74418381108626</v>
      </c>
      <c r="CY183" s="59">
        <f ca="1">AVERAGE(OFFSET($CX$3,0,0,'Données projet'!$E$13+1,1))-AVERAGE(OFFSET($H$3,0,0,'Données projet'!$E$13+1,1))</f>
        <v>269.77739619445515</v>
      </c>
      <c r="CZ183" s="59">
        <f t="shared" si="150"/>
        <v>347.56964743629885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7.1121870931272815</v>
      </c>
      <c r="DG183" s="21">
        <f>EXP(-LN(2)/25)*DG182+(1-EXP(-LN(2)/25))/(LN(2)/25)*Calculateur!DB183*Calculateur!DD183*VLOOKUP('Données projet'!$B$13,Paramètres!$A$1:$I$89,3,0)*0.475*44/12</f>
        <v>1.4334717493958811</v>
      </c>
      <c r="DH183" s="21">
        <f>EXP(-LN(2)/2)*DH182+(1-EXP(-LN(2)/2))/(LN(2)/2)*DB183*DE183*VLOOKUP('Données projet'!$B$13,Paramètres!$A$1:$I$89,3,0)*0.475*44/12</f>
        <v>6.5746554500502552E-25</v>
      </c>
      <c r="DI183" s="22">
        <f t="shared" si="175"/>
        <v>8.5456588425231619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669.99999999999989</v>
      </c>
      <c r="DP183" s="17">
        <f>DO183*VLOOKUP('Données projet'!$B$14,Paramètres!$A$1:$I$89,3,0)*VLOOKUP('Données projet'!$B$14,Paramètres!$A$1:$I$89,5,0)</f>
        <v>322.26999999999992</v>
      </c>
      <c r="DQ183" s="13">
        <f t="shared" si="176"/>
        <v>75.825476822885776</v>
      </c>
      <c r="DR183" s="20">
        <f t="shared" si="177"/>
        <v>693.34962213319261</v>
      </c>
      <c r="DS183" s="59">
        <f t="shared" si="125"/>
        <v>986.68295546652598</v>
      </c>
      <c r="DT183" s="59">
        <f ca="1">AVERAGE(OFFSET($DS$3,0,0,'Données projet'!$E$14+1,1))-AVERAGE(OFFSET($H$3,0,0,'Données projet'!$E$14+1,1))</f>
        <v>312.64506496298173</v>
      </c>
      <c r="DU183" s="59">
        <f t="shared" si="152"/>
        <v>259.97532509897508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15.633225912551353</v>
      </c>
      <c r="EB183" s="21">
        <f>EXP(-LN(2)/25)*EB182+(1-EXP(-LN(2)/25))/(LN(2)/25)*Calculateur!DW183*Calculateur!DY183*VLOOKUP('Données projet'!$B$14,Paramètres!$A$1:$I$89,3,0)*0.475*44/12</f>
        <v>0.30586572786493693</v>
      </c>
      <c r="EC183" s="21">
        <f>EXP(-LN(2)/2)*EC182+(1-EXP(-LN(2)/2))/(LN(2)/2)*DW183*DZ183*VLOOKUP('Données projet'!$B$14,Paramètres!$A$1:$I$89,3,0)*0.475*44/12</f>
        <v>1.0193326681465965E-22</v>
      </c>
      <c r="ED183" s="22">
        <f t="shared" si="178"/>
        <v>15.93909164041629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267</v>
      </c>
      <c r="EK183" s="17">
        <f>EJ183*VLOOKUP('Données projet'!$B$15,Paramètres!$A$1:$I$89,3,0)*VLOOKUP('Données projet'!$B$15,Paramètres!$A$1:$I$89,5,0)</f>
        <v>241.58159999999998</v>
      </c>
      <c r="EL183" s="13">
        <f t="shared" si="179"/>
        <v>58.779689232021951</v>
      </c>
      <c r="EM183" s="20">
        <f t="shared" si="180"/>
        <v>523.12924541243819</v>
      </c>
      <c r="EN183" s="59">
        <f t="shared" si="128"/>
        <v>816.46257874577145</v>
      </c>
      <c r="EO183" s="59">
        <f ca="1">AVERAGE(OFFSET($EN$3,0,0,'Données projet'!$E$15+1,1))-AVERAGE(OFFSET($H$3,0,0,'Données projet'!$E$15+1,1))</f>
        <v>269.64423257646359</v>
      </c>
      <c r="EP183" s="59">
        <f t="shared" si="154"/>
        <v>161.0819079811821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20.863552620628298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20.863552620628298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349.00000000000017</v>
      </c>
      <c r="FF183" s="17">
        <f>FE183*VLOOKUP('Données projet'!$B$16,Paramètres!$A$1:$I$89,3,0)*VLOOKUP('Données projet'!$B$16,Paramètres!$A$1:$I$89,5,0)</f>
        <v>272.22000000000014</v>
      </c>
      <c r="FG183" s="13">
        <f t="shared" si="182"/>
        <v>65.320184547527205</v>
      </c>
      <c r="FH183" s="20">
        <f t="shared" si="183"/>
        <v>587.88248808694345</v>
      </c>
      <c r="FI183" s="59">
        <f t="shared" si="131"/>
        <v>881.21582142027682</v>
      </c>
      <c r="FJ183" s="59">
        <f ca="1">AVERAGE(OFFSET($FI$3,0,0,'Données projet'!$E$16+1,1))-AVERAGE(OFFSET($H$3,0,0,'Données projet'!$E$16+1,1))</f>
        <v>283.77864672734273</v>
      </c>
      <c r="FK183" s="59">
        <f t="shared" si="156"/>
        <v>270.94620935643866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9.8125104341506173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9.8125104341506173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319</v>
      </c>
      <c r="GA183" s="17">
        <f>FZ183*VLOOKUP('Données projet'!$B$17,Paramètres!$A$1:$I$89,3,0)*VLOOKUP('Données projet'!$B$17,Paramètres!$A$1:$I$89,5,0)</f>
        <v>308.53680000000003</v>
      </c>
      <c r="GB183" s="13">
        <f t="shared" si="185"/>
        <v>72.963171684496103</v>
      </c>
      <c r="GC183" s="20">
        <f t="shared" si="186"/>
        <v>664.4457840171641</v>
      </c>
      <c r="GD183" s="59">
        <f t="shared" si="134"/>
        <v>957.77911735049747</v>
      </c>
      <c r="GE183" s="59">
        <f ca="1">AVERAGE(OFFSET($GD$3,0,0,'Données projet'!$E$17+1,1))-AVERAGE(OFFSET($H$3,0,0,'Données projet'!$E$17+1,1))</f>
        <v>347.54503437087288</v>
      </c>
      <c r="GF183" s="59">
        <f t="shared" si="158"/>
        <v>340.05673244455954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7.2373681120666022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7.2373681120666022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735.00000000000011</v>
      </c>
      <c r="O184" s="13">
        <f>N184*VLOOKUP('Données projet'!$B$9,Paramètres!$A$1:$I$89,3,0)*VLOOKUP('Données projet'!$B$9,Paramètres!$A$1:$I$89,5,0)</f>
        <v>343.98</v>
      </c>
      <c r="P184" s="13">
        <f t="shared" si="141"/>
        <v>80.321681832084693</v>
      </c>
      <c r="Q184" s="20">
        <f t="shared" si="162"/>
        <v>738.9920958575475</v>
      </c>
      <c r="R184" s="59">
        <f t="shared" si="109"/>
        <v>1032.3254291908809</v>
      </c>
      <c r="S184" s="59">
        <f ca="1">AVERAGE(OFFSET($R$3,0,0,'Données projet'!$E$9+1,1))-AVERAGE(OFFSET($H$3,0,0,'Données projet'!$E$9+1,1))</f>
        <v>342.49944586217674</v>
      </c>
      <c r="T184" s="59">
        <f t="shared" si="142"/>
        <v>282.29766600872563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15.958319351473788</v>
      </c>
      <c r="AA184" s="21">
        <f>EXP(-LN(2)/25)*AA183+(1-EXP(-LN(2)/25))/(LN(2)/25)*Calculateur!V184*Calculateur!X184*VLOOKUP('Données projet'!$B$9,Paramètres!$A$1:$I$89,3,0)*0.475*44/12</f>
        <v>0.60913333734361941</v>
      </c>
      <c r="AB184" s="21">
        <f>EXP(-LN(2)/2)*AB183+(1-EXP(-LN(2)/2))/(LN(2)/2)*V184*Y184*VLOOKUP('Données projet'!$B$9,Paramètres!$A$1:$I$89,3,0)*0.475*44/12</f>
        <v>1.549661150898544E-24</v>
      </c>
      <c r="AC184" s="22">
        <f t="shared" si="163"/>
        <v>16.567452688817408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739.99999999999966</v>
      </c>
      <c r="AJ184" s="13">
        <f>AI184*VLOOKUP('Données projet'!$B$10,Paramètres!$A$1:$I$89,3,0)*VLOOKUP('Données projet'!$B$10,Paramètres!$A$1:$I$89,5,0)</f>
        <v>413.65999999999985</v>
      </c>
      <c r="AK184" s="13">
        <f t="shared" si="164"/>
        <v>94.540585122244352</v>
      </c>
      <c r="AL184" s="20">
        <f t="shared" si="165"/>
        <v>885.11601908790863</v>
      </c>
      <c r="AM184" s="59">
        <f t="shared" si="113"/>
        <v>1178.4493524212419</v>
      </c>
      <c r="AN184" s="59">
        <f ca="1">AVERAGE(OFFSET($AM$3,0,0,'Données projet'!$E$10+1,1))-AVERAGE(OFFSET($H$3,0,0,'Données projet'!$E$10+1,1))</f>
        <v>490.96084572840579</v>
      </c>
      <c r="AO184" s="59">
        <f t="shared" si="144"/>
        <v>597.91658789908263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11.244741937703996</v>
      </c>
      <c r="AV184" s="21">
        <f>EXP(-LN(2)/25)*AV183+(1-EXP(-LN(2)/25))/(LN(2)/25)*Calculateur!AQ184*Calculateur!AS184*VLOOKUP('Données projet'!$B$10,Paramètres!$A$1:$I$89,3,0)*0.475*44/12</f>
        <v>0.87815018145056312</v>
      </c>
      <c r="AW184" s="21">
        <f>EXP(-LN(2)/2)*AW183+(1-EXP(-LN(2)/2))/(LN(2)/2)*AQ184*AT184*VLOOKUP('Données projet'!$B$10,Paramètres!$A$1:$I$89,3,0)*0.475*44/12</f>
        <v>1.5918463711174482E-23</v>
      </c>
      <c r="AX184" s="21">
        <f t="shared" si="166"/>
        <v>12.122892119154558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213.00000000000003</v>
      </c>
      <c r="BE184" s="13">
        <f>BD184*VLOOKUP('Données projet'!$B$11,Paramètres!$A$1:$I$89,3,0)*VLOOKUP('Données projet'!$B$11,Paramètres!$A$1:$I$89,5,0)</f>
        <v>169.46280000000002</v>
      </c>
      <c r="BF184" s="13">
        <f t="shared" si="167"/>
        <v>42.969686502194378</v>
      </c>
      <c r="BG184" s="20">
        <f t="shared" si="168"/>
        <v>369.98658065798855</v>
      </c>
      <c r="BH184" s="59">
        <f t="shared" si="116"/>
        <v>663.31991399132187</v>
      </c>
      <c r="BI184" s="59">
        <f ca="1">AVERAGE(OFFSET($BH$3,0,0,'Données projet'!$E$11+1,1))-AVERAGE(OFFSET($H$3,0,0,'Données projet'!$E$11+1,1))</f>
        <v>167.80254365106839</v>
      </c>
      <c r="BJ184" s="59">
        <f t="shared" si="146"/>
        <v>167.42302164950172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4.5353282633200944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4.5353282633200944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669.99999999999989</v>
      </c>
      <c r="BZ184" s="13">
        <f>BY184*VLOOKUP('Données projet'!$B$12,Paramètres!$A$1:$I$89,3,0)*VLOOKUP('Données projet'!$B$12,Paramètres!$A$1:$I$89,5,0)</f>
        <v>330.97999999999996</v>
      </c>
      <c r="CA184" s="13">
        <f t="shared" si="170"/>
        <v>77.633451096966454</v>
      </c>
      <c r="CB184" s="20">
        <f t="shared" si="171"/>
        <v>711.66842732721636</v>
      </c>
      <c r="CC184" s="59">
        <f t="shared" si="119"/>
        <v>1005.0017606605497</v>
      </c>
      <c r="CD184" s="59">
        <f ca="1">AVERAGE(OFFSET($CC$3,0,0,'Données projet'!$E$12+1,1))-AVERAGE(OFFSET($H$3,0,0,'Données projet'!$E$12+1,1))</f>
        <v>322.06606384496587</v>
      </c>
      <c r="CE184" s="59">
        <f t="shared" si="148"/>
        <v>267.71713177624713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15.740902154968497</v>
      </c>
      <c r="CL184" s="21">
        <f>EXP(-LN(2)/25)*CL183+(1-EXP(-LN(2)/25))/(LN(2)/25)*Calculateur!CG184*Calculateur!CI184*VLOOKUP('Données projet'!$B$12,Paramètres!$A$1:$I$89,3,0)*0.475*44/12</f>
        <v>0.3055424030044383</v>
      </c>
      <c r="CM184" s="21">
        <f>EXP(-LN(2)/2)*CM183+(1-EXP(-LN(2)/2))/(LN(2)/2)*CG184*CJ184*VLOOKUP('Données projet'!$B$12,Paramètres!$A$1:$I$89,3,0)*0.475*44/12</f>
        <v>7.4025750252418591E-23</v>
      </c>
      <c r="CN184" s="22">
        <f t="shared" si="172"/>
        <v>16.046444557972936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401</v>
      </c>
      <c r="CU184" s="17">
        <f>CT184*VLOOKUP('Données projet'!$B$13,Paramètres!$A$1:$I$89,3,0)*VLOOKUP('Données projet'!$B$13,Paramètres!$A$1:$I$89,5,0)</f>
        <v>250.22399999999999</v>
      </c>
      <c r="CV184" s="13">
        <f t="shared" si="173"/>
        <v>60.633904580527918</v>
      </c>
      <c r="CW184" s="20">
        <f t="shared" si="174"/>
        <v>541.41085047775289</v>
      </c>
      <c r="CX184" s="59">
        <f t="shared" si="122"/>
        <v>834.74418381108626</v>
      </c>
      <c r="CY184" s="59">
        <f ca="1">AVERAGE(OFFSET($CX$3,0,0,'Données projet'!$E$13+1,1))-AVERAGE(OFFSET($H$3,0,0,'Données projet'!$E$13+1,1))</f>
        <v>269.77739619445515</v>
      </c>
      <c r="CZ184" s="59">
        <f t="shared" si="150"/>
        <v>347.56964743629885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6.97272144223684</v>
      </c>
      <c r="DG184" s="21">
        <f>EXP(-LN(2)/25)*DG183+(1-EXP(-LN(2)/25))/(LN(2)/25)*Calculateur!DB184*Calculateur!DD184*VLOOKUP('Données projet'!$B$13,Paramètres!$A$1:$I$89,3,0)*0.475*44/12</f>
        <v>1.3942733890256476</v>
      </c>
      <c r="DH184" s="21">
        <f>EXP(-LN(2)/2)*DH183+(1-EXP(-LN(2)/2))/(LN(2)/2)*DB184*DE184*VLOOKUP('Données projet'!$B$13,Paramètres!$A$1:$I$89,3,0)*0.475*44/12</f>
        <v>4.6489834526956278E-25</v>
      </c>
      <c r="DI184" s="22">
        <f t="shared" si="175"/>
        <v>8.3669948312624882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669.99999999999989</v>
      </c>
      <c r="DP184" s="17">
        <f>DO184*VLOOKUP('Données projet'!$B$14,Paramètres!$A$1:$I$89,3,0)*VLOOKUP('Données projet'!$B$14,Paramètres!$A$1:$I$89,5,0)</f>
        <v>322.26999999999992</v>
      </c>
      <c r="DQ184" s="13">
        <f t="shared" si="176"/>
        <v>75.825476822885776</v>
      </c>
      <c r="DR184" s="20">
        <f t="shared" si="177"/>
        <v>693.34962213319261</v>
      </c>
      <c r="DS184" s="59">
        <f t="shared" si="125"/>
        <v>986.68295546652598</v>
      </c>
      <c r="DT184" s="59">
        <f ca="1">AVERAGE(OFFSET($DS$3,0,0,'Données projet'!$E$14+1,1))-AVERAGE(OFFSET($H$3,0,0,'Données projet'!$E$14+1,1))</f>
        <v>312.64506496298173</v>
      </c>
      <c r="DU184" s="59">
        <f t="shared" si="152"/>
        <v>259.97532509897508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15.326667887732492</v>
      </c>
      <c r="EB184" s="21">
        <f>EXP(-LN(2)/25)*EB183+(1-EXP(-LN(2)/25))/(LN(2)/25)*Calculateur!DW184*Calculateur!DY184*VLOOKUP('Données projet'!$B$14,Paramètres!$A$1:$I$89,3,0)*0.475*44/12</f>
        <v>0.29750181345169069</v>
      </c>
      <c r="EC184" s="21">
        <f>EXP(-LN(2)/2)*EC183+(1-EXP(-LN(2)/2))/(LN(2)/2)*DW184*DZ184*VLOOKUP('Données projet'!$B$14,Paramètres!$A$1:$I$89,3,0)*0.475*44/12</f>
        <v>7.2077704193143508E-23</v>
      </c>
      <c r="ED184" s="22">
        <f t="shared" si="178"/>
        <v>15.624169701184183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267</v>
      </c>
      <c r="EK184" s="17">
        <f>EJ184*VLOOKUP('Données projet'!$B$15,Paramètres!$A$1:$I$89,3,0)*VLOOKUP('Données projet'!$B$15,Paramètres!$A$1:$I$89,5,0)</f>
        <v>241.58159999999998</v>
      </c>
      <c r="EL184" s="13">
        <f t="shared" si="179"/>
        <v>58.779689232021951</v>
      </c>
      <c r="EM184" s="20">
        <f t="shared" si="180"/>
        <v>523.12924541243819</v>
      </c>
      <c r="EN184" s="59">
        <f t="shared" si="128"/>
        <v>816.46257874577145</v>
      </c>
      <c r="EO184" s="59">
        <f ca="1">AVERAGE(OFFSET($EN$3,0,0,'Données projet'!$E$15+1,1))-AVERAGE(OFFSET($H$3,0,0,'Données projet'!$E$15+1,1))</f>
        <v>269.64423257646359</v>
      </c>
      <c r="EP184" s="59">
        <f t="shared" si="154"/>
        <v>161.0819079811821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20.454431079248334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20.454431079248334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349.00000000000017</v>
      </c>
      <c r="FF184" s="17">
        <f>FE184*VLOOKUP('Données projet'!$B$16,Paramètres!$A$1:$I$89,3,0)*VLOOKUP('Données projet'!$B$16,Paramètres!$A$1:$I$89,5,0)</f>
        <v>272.22000000000014</v>
      </c>
      <c r="FG184" s="13">
        <f t="shared" si="182"/>
        <v>65.320184547527205</v>
      </c>
      <c r="FH184" s="20">
        <f t="shared" si="183"/>
        <v>587.88248808694345</v>
      </c>
      <c r="FI184" s="59">
        <f t="shared" si="131"/>
        <v>881.21582142027682</v>
      </c>
      <c r="FJ184" s="59">
        <f ca="1">AVERAGE(OFFSET($FI$3,0,0,'Données projet'!$E$16+1,1))-AVERAGE(OFFSET($H$3,0,0,'Données projet'!$E$16+1,1))</f>
        <v>283.77864672734273</v>
      </c>
      <c r="FK184" s="59">
        <f t="shared" si="156"/>
        <v>270.94620935643866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9.6200930895773151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9.6200930895773151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319</v>
      </c>
      <c r="GA184" s="17">
        <f>FZ184*VLOOKUP('Données projet'!$B$17,Paramètres!$A$1:$I$89,3,0)*VLOOKUP('Données projet'!$B$17,Paramètres!$A$1:$I$89,5,0)</f>
        <v>308.53680000000003</v>
      </c>
      <c r="GB184" s="13">
        <f t="shared" si="185"/>
        <v>72.963171684496103</v>
      </c>
      <c r="GC184" s="20">
        <f t="shared" si="186"/>
        <v>664.4457840171641</v>
      </c>
      <c r="GD184" s="59">
        <f t="shared" si="134"/>
        <v>957.77911735049747</v>
      </c>
      <c r="GE184" s="59">
        <f ca="1">AVERAGE(OFFSET($GD$3,0,0,'Données projet'!$E$17+1,1))-AVERAGE(OFFSET($H$3,0,0,'Données projet'!$E$17+1,1))</f>
        <v>347.54503437087288</v>
      </c>
      <c r="GF184" s="59">
        <f t="shared" si="158"/>
        <v>340.05673244455954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7.0954477377476426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7.0954477377476426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735.00000000000011</v>
      </c>
      <c r="O185" s="13">
        <f>N185*VLOOKUP('Données projet'!$B$9,Paramètres!$A$1:$I$89,3,0)*VLOOKUP('Données projet'!$B$9,Paramètres!$A$1:$I$89,5,0)</f>
        <v>343.98</v>
      </c>
      <c r="P185" s="13">
        <f t="shared" si="141"/>
        <v>80.321681832084693</v>
      </c>
      <c r="Q185" s="20">
        <f t="shared" si="162"/>
        <v>738.9920958575475</v>
      </c>
      <c r="R185" s="59">
        <f t="shared" si="109"/>
        <v>1032.3254291908809</v>
      </c>
      <c r="S185" s="59">
        <f ca="1">AVERAGE(OFFSET($R$3,0,0,'Données projet'!$E$9+1,1))-AVERAGE(OFFSET($H$3,0,0,'Données projet'!$E$9+1,1))</f>
        <v>342.49944586217674</v>
      </c>
      <c r="T185" s="59">
        <f t="shared" si="142"/>
        <v>282.29766600872563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15.645386442605076</v>
      </c>
      <c r="AA185" s="21">
        <f>EXP(-LN(2)/25)*AA184+(1-EXP(-LN(2)/25))/(LN(2)/25)*Calculateur!V185*Calculateur!X185*VLOOKUP('Données projet'!$B$9,Paramètres!$A$1:$I$89,3,0)*0.475*44/12</f>
        <v>0.59247655420102807</v>
      </c>
      <c r="AB185" s="21">
        <f>EXP(-LN(2)/2)*AB184+(1-EXP(-LN(2)/2))/(LN(2)/2)*V185*Y185*VLOOKUP('Données projet'!$B$9,Paramètres!$A$1:$I$89,3,0)*0.475*44/12</f>
        <v>1.0957759083417101E-24</v>
      </c>
      <c r="AC185" s="22">
        <f t="shared" si="163"/>
        <v>16.237862996806104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739.99999999999966</v>
      </c>
      <c r="AJ185" s="13">
        <f>AI185*VLOOKUP('Données projet'!$B$10,Paramètres!$A$1:$I$89,3,0)*VLOOKUP('Données projet'!$B$10,Paramètres!$A$1:$I$89,5,0)</f>
        <v>413.65999999999985</v>
      </c>
      <c r="AK185" s="13">
        <f t="shared" si="164"/>
        <v>94.540585122244352</v>
      </c>
      <c r="AL185" s="20">
        <f t="shared" si="165"/>
        <v>885.11601908790863</v>
      </c>
      <c r="AM185" s="59">
        <f t="shared" si="113"/>
        <v>1178.4493524212419</v>
      </c>
      <c r="AN185" s="59">
        <f ca="1">AVERAGE(OFFSET($AM$3,0,0,'Données projet'!$E$10+1,1))-AVERAGE(OFFSET($H$3,0,0,'Données projet'!$E$10+1,1))</f>
        <v>490.96084572840579</v>
      </c>
      <c r="AO185" s="59">
        <f t="shared" si="144"/>
        <v>597.91658789908263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11.024239406920969</v>
      </c>
      <c r="AV185" s="21">
        <f>EXP(-LN(2)/25)*AV184+(1-EXP(-LN(2)/25))/(LN(2)/25)*Calculateur!AQ185*Calculateur!AS185*VLOOKUP('Données projet'!$B$10,Paramètres!$A$1:$I$89,3,0)*0.475*44/12</f>
        <v>0.85413711855888641</v>
      </c>
      <c r="AW185" s="21">
        <f>EXP(-LN(2)/2)*AW184+(1-EXP(-LN(2)/2))/(LN(2)/2)*AQ185*AT185*VLOOKUP('Données projet'!$B$10,Paramètres!$A$1:$I$89,3,0)*0.475*44/12</f>
        <v>1.1256053636243452E-23</v>
      </c>
      <c r="AX185" s="21">
        <f t="shared" si="166"/>
        <v>11.878376525479856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213.00000000000003</v>
      </c>
      <c r="BE185" s="13">
        <f>BD185*VLOOKUP('Données projet'!$B$11,Paramètres!$A$1:$I$89,3,0)*VLOOKUP('Données projet'!$B$11,Paramètres!$A$1:$I$89,5,0)</f>
        <v>169.46280000000002</v>
      </c>
      <c r="BF185" s="13">
        <f t="shared" si="167"/>
        <v>42.969686502194378</v>
      </c>
      <c r="BG185" s="20">
        <f t="shared" si="168"/>
        <v>369.98658065798855</v>
      </c>
      <c r="BH185" s="59">
        <f t="shared" si="116"/>
        <v>663.31991399132187</v>
      </c>
      <c r="BI185" s="59">
        <f ca="1">AVERAGE(OFFSET($BH$3,0,0,'Données projet'!$E$11+1,1))-AVERAGE(OFFSET($H$3,0,0,'Données projet'!$E$11+1,1))</f>
        <v>167.80254365106839</v>
      </c>
      <c r="BJ185" s="59">
        <f t="shared" si="146"/>
        <v>167.42302164950172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4.4463932423534809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4.4463932423534809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669.99999999999989</v>
      </c>
      <c r="BZ185" s="13">
        <f>BY185*VLOOKUP('Données projet'!$B$12,Paramètres!$A$1:$I$89,3,0)*VLOOKUP('Données projet'!$B$12,Paramètres!$A$1:$I$89,5,0)</f>
        <v>330.97999999999996</v>
      </c>
      <c r="CA185" s="13">
        <f t="shared" si="170"/>
        <v>77.633451096966454</v>
      </c>
      <c r="CB185" s="20">
        <f t="shared" si="171"/>
        <v>711.66842732721636</v>
      </c>
      <c r="CC185" s="59">
        <f t="shared" si="119"/>
        <v>1005.0017606605497</v>
      </c>
      <c r="CD185" s="59">
        <f ca="1">AVERAGE(OFFSET($CC$3,0,0,'Données projet'!$E$12+1,1))-AVERAGE(OFFSET($H$3,0,0,'Données projet'!$E$12+1,1))</f>
        <v>322.06606384496587</v>
      </c>
      <c r="CE185" s="59">
        <f t="shared" si="148"/>
        <v>267.71713177624713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15.43223266471186</v>
      </c>
      <c r="CL185" s="21">
        <f>EXP(-LN(2)/25)*CL184+(1-EXP(-LN(2)/25))/(LN(2)/25)*Calculateur!CG185*Calculateur!CI185*VLOOKUP('Données projet'!$B$12,Paramètres!$A$1:$I$89,3,0)*0.475*44/12</f>
        <v>0.29718732992650526</v>
      </c>
      <c r="CM185" s="21">
        <f>EXP(-LN(2)/2)*CM184+(1-EXP(-LN(2)/2))/(LN(2)/2)*CG185*CJ185*VLOOKUP('Données projet'!$B$12,Paramètres!$A$1:$I$89,3,0)*0.475*44/12</f>
        <v>5.2344109985906974E-23</v>
      </c>
      <c r="CN185" s="22">
        <f t="shared" si="172"/>
        <v>15.729419994638365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401</v>
      </c>
      <c r="CU185" s="17">
        <f>CT185*VLOOKUP('Données projet'!$B$13,Paramètres!$A$1:$I$89,3,0)*VLOOKUP('Données projet'!$B$13,Paramètres!$A$1:$I$89,5,0)</f>
        <v>250.22399999999999</v>
      </c>
      <c r="CV185" s="13">
        <f t="shared" si="173"/>
        <v>60.633904580527918</v>
      </c>
      <c r="CW185" s="20">
        <f t="shared" si="174"/>
        <v>541.41085047775289</v>
      </c>
      <c r="CX185" s="59">
        <f t="shared" si="122"/>
        <v>834.74418381108626</v>
      </c>
      <c r="CY185" s="59">
        <f ca="1">AVERAGE(OFFSET($CX$3,0,0,'Données projet'!$E$13+1,1))-AVERAGE(OFFSET($H$3,0,0,'Données projet'!$E$13+1,1))</f>
        <v>269.77739619445515</v>
      </c>
      <c r="CZ185" s="59">
        <f t="shared" si="150"/>
        <v>347.56964743629885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6.835990627694712</v>
      </c>
      <c r="DG185" s="21">
        <f>EXP(-LN(2)/25)*DG184+(1-EXP(-LN(2)/25))/(LN(2)/25)*Calculateur!DB185*Calculateur!DD185*VLOOKUP('Données projet'!$B$13,Paramètres!$A$1:$I$89,3,0)*0.475*44/12</f>
        <v>1.3561469098810903</v>
      </c>
      <c r="DH185" s="21">
        <f>EXP(-LN(2)/2)*DH184+(1-EXP(-LN(2)/2))/(LN(2)/2)*DB185*DE185*VLOOKUP('Données projet'!$B$13,Paramètres!$A$1:$I$89,3,0)*0.475*44/12</f>
        <v>3.2873277250251276E-25</v>
      </c>
      <c r="DI185" s="22">
        <f t="shared" si="175"/>
        <v>8.1921375375758032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669.99999999999989</v>
      </c>
      <c r="DP185" s="17">
        <f>DO185*VLOOKUP('Données projet'!$B$14,Paramètres!$A$1:$I$89,3,0)*VLOOKUP('Données projet'!$B$14,Paramètres!$A$1:$I$89,5,0)</f>
        <v>322.26999999999992</v>
      </c>
      <c r="DQ185" s="13">
        <f t="shared" si="176"/>
        <v>75.825476822885776</v>
      </c>
      <c r="DR185" s="20">
        <f t="shared" si="177"/>
        <v>693.34962213319261</v>
      </c>
      <c r="DS185" s="59">
        <f t="shared" si="125"/>
        <v>986.68295546652598</v>
      </c>
      <c r="DT185" s="59">
        <f ca="1">AVERAGE(OFFSET($DS$3,0,0,'Données projet'!$E$14+1,1))-AVERAGE(OFFSET($H$3,0,0,'Données projet'!$E$14+1,1))</f>
        <v>312.64506496298173</v>
      </c>
      <c r="DU185" s="59">
        <f t="shared" si="152"/>
        <v>259.97532509897508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15.026121278798398</v>
      </c>
      <c r="EB185" s="21">
        <f>EXP(-LN(2)/25)*EB184+(1-EXP(-LN(2)/25))/(LN(2)/25)*Calculateur!DW185*Calculateur!DY185*VLOOKUP('Données projet'!$B$14,Paramètres!$A$1:$I$89,3,0)*0.475*44/12</f>
        <v>0.28936661071791381</v>
      </c>
      <c r="EC185" s="21">
        <f>EXP(-LN(2)/2)*EC184+(1-EXP(-LN(2)/2))/(LN(2)/2)*DW185*DZ185*VLOOKUP('Données projet'!$B$14,Paramètres!$A$1:$I$89,3,0)*0.475*44/12</f>
        <v>5.0966633407329826E-23</v>
      </c>
      <c r="ED185" s="22">
        <f t="shared" si="178"/>
        <v>15.315487889516312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267</v>
      </c>
      <c r="EK185" s="17">
        <f>EJ185*VLOOKUP('Données projet'!$B$15,Paramètres!$A$1:$I$89,3,0)*VLOOKUP('Données projet'!$B$15,Paramètres!$A$1:$I$89,5,0)</f>
        <v>241.58159999999998</v>
      </c>
      <c r="EL185" s="13">
        <f t="shared" si="179"/>
        <v>58.779689232021951</v>
      </c>
      <c r="EM185" s="20">
        <f t="shared" si="180"/>
        <v>523.12924541243819</v>
      </c>
      <c r="EN185" s="59">
        <f t="shared" si="128"/>
        <v>816.46257874577145</v>
      </c>
      <c r="EO185" s="59">
        <f ca="1">AVERAGE(OFFSET($EN$3,0,0,'Données projet'!$E$15+1,1))-AVERAGE(OFFSET($H$3,0,0,'Données projet'!$E$15+1,1))</f>
        <v>269.64423257646359</v>
      </c>
      <c r="EP185" s="59">
        <f t="shared" si="154"/>
        <v>161.0819079811821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20.053332161755332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20.053332161755332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349.00000000000017</v>
      </c>
      <c r="FF185" s="17">
        <f>FE185*VLOOKUP('Données projet'!$B$16,Paramètres!$A$1:$I$89,3,0)*VLOOKUP('Données projet'!$B$16,Paramètres!$A$1:$I$89,5,0)</f>
        <v>272.22000000000014</v>
      </c>
      <c r="FG185" s="13">
        <f t="shared" si="182"/>
        <v>65.320184547527205</v>
      </c>
      <c r="FH185" s="20">
        <f t="shared" si="183"/>
        <v>587.88248808694345</v>
      </c>
      <c r="FI185" s="59">
        <f t="shared" si="131"/>
        <v>881.21582142027682</v>
      </c>
      <c r="FJ185" s="59">
        <f ca="1">AVERAGE(OFFSET($FI$3,0,0,'Données projet'!$E$16+1,1))-AVERAGE(OFFSET($H$3,0,0,'Données projet'!$E$16+1,1))</f>
        <v>283.77864672734273</v>
      </c>
      <c r="FK185" s="59">
        <f t="shared" si="156"/>
        <v>270.94620935643866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9.4314489317681041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9.4314489317681041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319</v>
      </c>
      <c r="GA185" s="17">
        <f>FZ185*VLOOKUP('Données projet'!$B$17,Paramètres!$A$1:$I$89,3,0)*VLOOKUP('Données projet'!$B$17,Paramètres!$A$1:$I$89,5,0)</f>
        <v>308.53680000000003</v>
      </c>
      <c r="GB185" s="13">
        <f t="shared" si="185"/>
        <v>72.963171684496103</v>
      </c>
      <c r="GC185" s="20">
        <f t="shared" si="186"/>
        <v>664.4457840171641</v>
      </c>
      <c r="GD185" s="59">
        <f t="shared" si="134"/>
        <v>957.77911735049747</v>
      </c>
      <c r="GE185" s="59">
        <f ca="1">AVERAGE(OFFSET($GD$3,0,0,'Données projet'!$E$17+1,1))-AVERAGE(OFFSET($H$3,0,0,'Données projet'!$E$17+1,1))</f>
        <v>347.54503437087288</v>
      </c>
      <c r="GF185" s="59">
        <f t="shared" si="158"/>
        <v>340.05673244455954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6.9563103354061973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6.9563103354061973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735.00000000000011</v>
      </c>
      <c r="O186" s="13">
        <f>N186*VLOOKUP('Données projet'!$B$9,Paramètres!$A$1:$I$89,3,0)*VLOOKUP('Données projet'!$B$9,Paramètres!$A$1:$I$89,5,0)</f>
        <v>343.98</v>
      </c>
      <c r="P186" s="13">
        <f t="shared" si="141"/>
        <v>80.321681832084693</v>
      </c>
      <c r="Q186" s="20">
        <f t="shared" si="162"/>
        <v>738.9920958575475</v>
      </c>
      <c r="R186" s="59">
        <f t="shared" si="109"/>
        <v>1032.3254291908809</v>
      </c>
      <c r="S186" s="59">
        <f ca="1">AVERAGE(OFFSET($R$3,0,0,'Données projet'!$E$9+1,1))-AVERAGE(OFFSET($H$3,0,0,'Données projet'!$E$9+1,1))</f>
        <v>342.49944586217674</v>
      </c>
      <c r="T186" s="59">
        <f t="shared" si="142"/>
        <v>282.29766600872563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15.338589957209054</v>
      </c>
      <c r="AA186" s="21">
        <f>EXP(-LN(2)/25)*AA185+(1-EXP(-LN(2)/25))/(LN(2)/25)*Calculateur!V186*Calculateur!X186*VLOOKUP('Données projet'!$B$9,Paramètres!$A$1:$I$89,3,0)*0.475*44/12</f>
        <v>0.57627525166941307</v>
      </c>
      <c r="AB186" s="21">
        <f>EXP(-LN(2)/2)*AB185+(1-EXP(-LN(2)/2))/(LN(2)/2)*V186*Y186*VLOOKUP('Données projet'!$B$9,Paramètres!$A$1:$I$89,3,0)*0.475*44/12</f>
        <v>7.7483057544927198E-25</v>
      </c>
      <c r="AC186" s="22">
        <f t="shared" si="163"/>
        <v>15.914865208878467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739.99999999999966</v>
      </c>
      <c r="AJ186" s="13">
        <f>AI186*VLOOKUP('Données projet'!$B$10,Paramètres!$A$1:$I$89,3,0)*VLOOKUP('Données projet'!$B$10,Paramètres!$A$1:$I$89,5,0)</f>
        <v>413.65999999999985</v>
      </c>
      <c r="AK186" s="13">
        <f t="shared" si="164"/>
        <v>94.540585122244352</v>
      </c>
      <c r="AL186" s="20">
        <f t="shared" si="165"/>
        <v>885.11601908790863</v>
      </c>
      <c r="AM186" s="59">
        <f t="shared" si="113"/>
        <v>1178.4493524212419</v>
      </c>
      <c r="AN186" s="59">
        <f ca="1">AVERAGE(OFFSET($AM$3,0,0,'Données projet'!$E$10+1,1))-AVERAGE(OFFSET($H$3,0,0,'Données projet'!$E$10+1,1))</f>
        <v>490.96084572840579</v>
      </c>
      <c r="AO186" s="59">
        <f t="shared" si="144"/>
        <v>597.91658789908263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10.808060796273336</v>
      </c>
      <c r="AV186" s="21">
        <f>EXP(-LN(2)/25)*AV185+(1-EXP(-LN(2)/25))/(LN(2)/25)*Calculateur!AQ186*Calculateur!AS186*VLOOKUP('Données projet'!$B$10,Paramètres!$A$1:$I$89,3,0)*0.475*44/12</f>
        <v>0.83078069413477473</v>
      </c>
      <c r="AW186" s="21">
        <f>EXP(-LN(2)/2)*AW185+(1-EXP(-LN(2)/2))/(LN(2)/2)*AQ186*AT186*VLOOKUP('Données projet'!$B$10,Paramètres!$A$1:$I$89,3,0)*0.475*44/12</f>
        <v>7.9592318555872412E-24</v>
      </c>
      <c r="AX186" s="21">
        <f t="shared" si="166"/>
        <v>11.638841490408112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213.00000000000003</v>
      </c>
      <c r="BE186" s="13">
        <f>BD186*VLOOKUP('Données projet'!$B$11,Paramètres!$A$1:$I$89,3,0)*VLOOKUP('Données projet'!$B$11,Paramètres!$A$1:$I$89,5,0)</f>
        <v>169.46280000000002</v>
      </c>
      <c r="BF186" s="13">
        <f t="shared" si="167"/>
        <v>42.969686502194378</v>
      </c>
      <c r="BG186" s="20">
        <f t="shared" si="168"/>
        <v>369.98658065798855</v>
      </c>
      <c r="BH186" s="59">
        <f t="shared" si="116"/>
        <v>663.31991399132187</v>
      </c>
      <c r="BI186" s="59">
        <f ca="1">AVERAGE(OFFSET($BH$3,0,0,'Données projet'!$E$11+1,1))-AVERAGE(OFFSET($H$3,0,0,'Données projet'!$E$11+1,1))</f>
        <v>167.80254365106839</v>
      </c>
      <c r="BJ186" s="59">
        <f t="shared" si="146"/>
        <v>167.42302164950172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4.3592021829030161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4.3592021829030161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669.99999999999989</v>
      </c>
      <c r="BZ186" s="13">
        <f>BY186*VLOOKUP('Données projet'!$B$12,Paramètres!$A$1:$I$89,3,0)*VLOOKUP('Données projet'!$B$12,Paramètres!$A$1:$I$89,5,0)</f>
        <v>330.97999999999996</v>
      </c>
      <c r="CA186" s="13">
        <f t="shared" si="170"/>
        <v>77.633451096966454</v>
      </c>
      <c r="CB186" s="20">
        <f t="shared" si="171"/>
        <v>711.66842732721636</v>
      </c>
      <c r="CC186" s="59">
        <f t="shared" si="119"/>
        <v>1005.0017606605497</v>
      </c>
      <c r="CD186" s="59">
        <f ca="1">AVERAGE(OFFSET($CC$3,0,0,'Données projet'!$E$12+1,1))-AVERAGE(OFFSET($H$3,0,0,'Données projet'!$E$12+1,1))</f>
        <v>322.06606384496587</v>
      </c>
      <c r="CE186" s="59">
        <f t="shared" si="148"/>
        <v>267.71713177624713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15.129615994889356</v>
      </c>
      <c r="CL186" s="21">
        <f>EXP(-LN(2)/25)*CL185+(1-EXP(-LN(2)/25))/(LN(2)/25)*Calculateur!CG186*Calculateur!CI186*VLOOKUP('Données projet'!$B$12,Paramètres!$A$1:$I$89,3,0)*0.475*44/12</f>
        <v>0.28906072676126254</v>
      </c>
      <c r="CM186" s="21">
        <f>EXP(-LN(2)/2)*CM185+(1-EXP(-LN(2)/2))/(LN(2)/2)*CG186*CJ186*VLOOKUP('Données projet'!$B$12,Paramètres!$A$1:$I$89,3,0)*0.475*44/12</f>
        <v>3.7012875126209301E-23</v>
      </c>
      <c r="CN186" s="22">
        <f t="shared" si="172"/>
        <v>15.418676721650618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401</v>
      </c>
      <c r="CU186" s="17">
        <f>CT186*VLOOKUP('Données projet'!$B$13,Paramètres!$A$1:$I$89,3,0)*VLOOKUP('Données projet'!$B$13,Paramètres!$A$1:$I$89,5,0)</f>
        <v>250.22399999999999</v>
      </c>
      <c r="CV186" s="13">
        <f t="shared" si="173"/>
        <v>60.633904580527918</v>
      </c>
      <c r="CW186" s="20">
        <f t="shared" si="174"/>
        <v>541.41085047775289</v>
      </c>
      <c r="CX186" s="59">
        <f t="shared" si="122"/>
        <v>834.74418381108626</v>
      </c>
      <c r="CY186" s="59">
        <f ca="1">AVERAGE(OFFSET($CX$3,0,0,'Données projet'!$E$13+1,1))-AVERAGE(OFFSET($H$3,0,0,'Données projet'!$E$13+1,1))</f>
        <v>269.77739619445515</v>
      </c>
      <c r="CZ186" s="59">
        <f t="shared" si="150"/>
        <v>347.56964743629885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6.7019410210281931</v>
      </c>
      <c r="DG186" s="21">
        <f>EXP(-LN(2)/25)*DG185+(1-EXP(-LN(2)/25))/(LN(2)/25)*Calculateur!DB186*Calculateur!DD186*VLOOKUP('Données projet'!$B$13,Paramètres!$A$1:$I$89,3,0)*0.475*44/12</f>
        <v>1.3190630013137254</v>
      </c>
      <c r="DH186" s="21">
        <f>EXP(-LN(2)/2)*DH185+(1-EXP(-LN(2)/2))/(LN(2)/2)*DB186*DE186*VLOOKUP('Données projet'!$B$13,Paramètres!$A$1:$I$89,3,0)*0.475*44/12</f>
        <v>2.3244917263478139E-25</v>
      </c>
      <c r="DI186" s="22">
        <f t="shared" si="175"/>
        <v>8.0210040223419181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669.99999999999989</v>
      </c>
      <c r="DP186" s="17">
        <f>DO186*VLOOKUP('Données projet'!$B$14,Paramètres!$A$1:$I$89,3,0)*VLOOKUP('Données projet'!$B$14,Paramètres!$A$1:$I$89,5,0)</f>
        <v>322.26999999999992</v>
      </c>
      <c r="DQ186" s="13">
        <f t="shared" si="176"/>
        <v>75.825476822885776</v>
      </c>
      <c r="DR186" s="20">
        <f t="shared" si="177"/>
        <v>693.34962213319261</v>
      </c>
      <c r="DS186" s="59">
        <f t="shared" si="125"/>
        <v>986.68295546652598</v>
      </c>
      <c r="DT186" s="59">
        <f ca="1">AVERAGE(OFFSET($DS$3,0,0,'Données projet'!$E$14+1,1))-AVERAGE(OFFSET($H$3,0,0,'Données projet'!$E$14+1,1))</f>
        <v>312.64506496298173</v>
      </c>
      <c r="DU186" s="59">
        <f t="shared" si="152"/>
        <v>259.97532509897508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14.73146820555017</v>
      </c>
      <c r="EB186" s="21">
        <f>EXP(-LN(2)/25)*EB185+(1-EXP(-LN(2)/25))/(LN(2)/25)*Calculateur!DW186*Calculateur!DY186*VLOOKUP('Données projet'!$B$14,Paramètres!$A$1:$I$89,3,0)*0.475*44/12</f>
        <v>0.28145386553070373</v>
      </c>
      <c r="EC186" s="21">
        <f>EXP(-LN(2)/2)*EC185+(1-EXP(-LN(2)/2))/(LN(2)/2)*DW186*DZ186*VLOOKUP('Données projet'!$B$14,Paramètres!$A$1:$I$89,3,0)*0.475*44/12</f>
        <v>3.6038852096571754E-23</v>
      </c>
      <c r="ED186" s="22">
        <f t="shared" si="178"/>
        <v>15.012922071080874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267</v>
      </c>
      <c r="EK186" s="17">
        <f>EJ186*VLOOKUP('Données projet'!$B$15,Paramètres!$A$1:$I$89,3,0)*VLOOKUP('Données projet'!$B$15,Paramètres!$A$1:$I$89,5,0)</f>
        <v>241.58159999999998</v>
      </c>
      <c r="EL186" s="13">
        <f t="shared" si="179"/>
        <v>58.779689232021951</v>
      </c>
      <c r="EM186" s="20">
        <f t="shared" si="180"/>
        <v>523.12924541243819</v>
      </c>
      <c r="EN186" s="59">
        <f t="shared" si="128"/>
        <v>816.46257874577145</v>
      </c>
      <c r="EO186" s="59">
        <f ca="1">AVERAGE(OFFSET($EN$3,0,0,'Données projet'!$E$15+1,1))-AVERAGE(OFFSET($H$3,0,0,'Données projet'!$E$15+1,1))</f>
        <v>269.64423257646359</v>
      </c>
      <c r="EP186" s="59">
        <f t="shared" si="154"/>
        <v>161.0819079811821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19.660098549388184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19.660098549388184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349.00000000000017</v>
      </c>
      <c r="FF186" s="17">
        <f>FE186*VLOOKUP('Données projet'!$B$16,Paramètres!$A$1:$I$89,3,0)*VLOOKUP('Données projet'!$B$16,Paramètres!$A$1:$I$89,5,0)</f>
        <v>272.22000000000014</v>
      </c>
      <c r="FG186" s="13">
        <f t="shared" si="182"/>
        <v>65.320184547527205</v>
      </c>
      <c r="FH186" s="20">
        <f t="shared" si="183"/>
        <v>587.88248808694345</v>
      </c>
      <c r="FI186" s="59">
        <f t="shared" si="131"/>
        <v>881.21582142027682</v>
      </c>
      <c r="FJ186" s="59">
        <f ca="1">AVERAGE(OFFSET($FI$3,0,0,'Données projet'!$E$16+1,1))-AVERAGE(OFFSET($H$3,0,0,'Données projet'!$E$16+1,1))</f>
        <v>283.77864672734273</v>
      </c>
      <c r="FK186" s="59">
        <f t="shared" si="156"/>
        <v>270.94620935643866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9.2465039708319559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9.2465039708319559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319</v>
      </c>
      <c r="GA186" s="17">
        <f>FZ186*VLOOKUP('Données projet'!$B$17,Paramètres!$A$1:$I$89,3,0)*VLOOKUP('Données projet'!$B$17,Paramètres!$A$1:$I$89,5,0)</f>
        <v>308.53680000000003</v>
      </c>
      <c r="GB186" s="13">
        <f t="shared" si="185"/>
        <v>72.963171684496103</v>
      </c>
      <c r="GC186" s="20">
        <f t="shared" si="186"/>
        <v>664.4457840171641</v>
      </c>
      <c r="GD186" s="59">
        <f t="shared" si="134"/>
        <v>957.77911735049747</v>
      </c>
      <c r="GE186" s="59">
        <f ca="1">AVERAGE(OFFSET($GD$3,0,0,'Données projet'!$E$17+1,1))-AVERAGE(OFFSET($H$3,0,0,'Données projet'!$E$17+1,1))</f>
        <v>347.54503437087288</v>
      </c>
      <c r="GF186" s="59">
        <f t="shared" si="158"/>
        <v>340.05673244455954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6.8199013326592315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6.8199013326592315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735.00000000000011</v>
      </c>
      <c r="O187" s="13">
        <f>N187*VLOOKUP('Données projet'!$B$9,Paramètres!$A$1:$I$89,3,0)*VLOOKUP('Données projet'!$B$9,Paramètres!$A$1:$I$89,5,0)</f>
        <v>343.98</v>
      </c>
      <c r="P187" s="13">
        <f t="shared" si="141"/>
        <v>80.321681832084693</v>
      </c>
      <c r="Q187" s="20">
        <f t="shared" si="162"/>
        <v>738.9920958575475</v>
      </c>
      <c r="R187" s="59">
        <f t="shared" si="109"/>
        <v>1032.3254291908809</v>
      </c>
      <c r="S187" s="59">
        <f ca="1">AVERAGE(OFFSET($R$3,0,0,'Données projet'!$E$9+1,1))-AVERAGE(OFFSET($H$3,0,0,'Données projet'!$E$9+1,1))</f>
        <v>342.49944586217674</v>
      </c>
      <c r="T187" s="59">
        <f t="shared" si="142"/>
        <v>282.29766600872563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15.037809563764268</v>
      </c>
      <c r="AA187" s="21">
        <f>EXP(-LN(2)/25)*AA186+(1-EXP(-LN(2)/25))/(LN(2)/25)*Calculateur!V187*Calculateur!X187*VLOOKUP('Données projet'!$B$9,Paramètres!$A$1:$I$89,3,0)*0.475*44/12</f>
        <v>0.5605169746075146</v>
      </c>
      <c r="AB187" s="21">
        <f>EXP(-LN(2)/2)*AB186+(1-EXP(-LN(2)/2))/(LN(2)/2)*V187*Y187*VLOOKUP('Données projet'!$B$9,Paramètres!$A$1:$I$89,3,0)*0.475*44/12</f>
        <v>5.4788795417085506E-25</v>
      </c>
      <c r="AC187" s="22">
        <f t="shared" si="163"/>
        <v>15.598326538371783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739.99999999999966</v>
      </c>
      <c r="AJ187" s="13">
        <f>AI187*VLOOKUP('Données projet'!$B$10,Paramètres!$A$1:$I$89,3,0)*VLOOKUP('Données projet'!$B$10,Paramètres!$A$1:$I$89,5,0)</f>
        <v>413.65999999999985</v>
      </c>
      <c r="AK187" s="13">
        <f t="shared" si="164"/>
        <v>94.540585122244352</v>
      </c>
      <c r="AL187" s="20">
        <f t="shared" si="165"/>
        <v>885.11601908790863</v>
      </c>
      <c r="AM187" s="59">
        <f t="shared" si="113"/>
        <v>1178.4493524212419</v>
      </c>
      <c r="AN187" s="59">
        <f ca="1">AVERAGE(OFFSET($AM$3,0,0,'Données projet'!$E$10+1,1))-AVERAGE(OFFSET($H$3,0,0,'Données projet'!$E$10+1,1))</f>
        <v>490.96084572840579</v>
      </c>
      <c r="AO187" s="59">
        <f t="shared" si="144"/>
        <v>597.91658789908263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10.59612131632457</v>
      </c>
      <c r="AV187" s="21">
        <f>EXP(-LN(2)/25)*AV186+(1-EXP(-LN(2)/25))/(LN(2)/25)*Calculateur!AQ187*Calculateur!AS187*VLOOKUP('Données projet'!$B$10,Paramètres!$A$1:$I$89,3,0)*0.475*44/12</f>
        <v>0.80806295236480141</v>
      </c>
      <c r="AW187" s="21">
        <f>EXP(-LN(2)/2)*AW186+(1-EXP(-LN(2)/2))/(LN(2)/2)*AQ187*AT187*VLOOKUP('Données projet'!$B$10,Paramètres!$A$1:$I$89,3,0)*0.475*44/12</f>
        <v>5.6280268181217261E-24</v>
      </c>
      <c r="AX187" s="21">
        <f t="shared" si="166"/>
        <v>11.404184268689372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213.00000000000003</v>
      </c>
      <c r="BE187" s="13">
        <f>BD187*VLOOKUP('Données projet'!$B$11,Paramètres!$A$1:$I$89,3,0)*VLOOKUP('Données projet'!$B$11,Paramètres!$A$1:$I$89,5,0)</f>
        <v>169.46280000000002</v>
      </c>
      <c r="BF187" s="13">
        <f t="shared" si="167"/>
        <v>42.969686502194378</v>
      </c>
      <c r="BG187" s="20">
        <f t="shared" si="168"/>
        <v>369.98658065798855</v>
      </c>
      <c r="BH187" s="59">
        <f t="shared" si="116"/>
        <v>663.31991399132187</v>
      </c>
      <c r="BI187" s="59">
        <f ca="1">AVERAGE(OFFSET($BH$3,0,0,'Données projet'!$E$11+1,1))-AVERAGE(OFFSET($H$3,0,0,'Données projet'!$E$11+1,1))</f>
        <v>167.80254365106839</v>
      </c>
      <c r="BJ187" s="59">
        <f t="shared" si="146"/>
        <v>167.42302164950172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4.2737208869470802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4.2737208869470802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669.99999999999989</v>
      </c>
      <c r="BZ187" s="13">
        <f>BY187*VLOOKUP('Données projet'!$B$12,Paramètres!$A$1:$I$89,3,0)*VLOOKUP('Données projet'!$B$12,Paramètres!$A$1:$I$89,5,0)</f>
        <v>330.97999999999996</v>
      </c>
      <c r="CA187" s="13">
        <f t="shared" si="170"/>
        <v>77.633451096966454</v>
      </c>
      <c r="CB187" s="20">
        <f t="shared" si="171"/>
        <v>711.66842732721636</v>
      </c>
      <c r="CC187" s="59">
        <f t="shared" si="119"/>
        <v>1005.0017606605497</v>
      </c>
      <c r="CD187" s="59">
        <f ca="1">AVERAGE(OFFSET($CC$3,0,0,'Données projet'!$E$12+1,1))-AVERAGE(OFFSET($H$3,0,0,'Données projet'!$E$12+1,1))</f>
        <v>322.06606384496587</v>
      </c>
      <c r="CE187" s="59">
        <f t="shared" si="148"/>
        <v>267.71713177624713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14.832933453384127</v>
      </c>
      <c r="CL187" s="21">
        <f>EXP(-LN(2)/25)*CL186+(1-EXP(-LN(2)/25))/(LN(2)/25)*Calculateur!CG187*Calculateur!CI187*VLOOKUP('Données projet'!$B$12,Paramètres!$A$1:$I$89,3,0)*0.475*44/12</f>
        <v>0.28115634598693284</v>
      </c>
      <c r="CM187" s="21">
        <f>EXP(-LN(2)/2)*CM186+(1-EXP(-LN(2)/2))/(LN(2)/2)*CG187*CJ187*VLOOKUP('Données projet'!$B$12,Paramètres!$A$1:$I$89,3,0)*0.475*44/12</f>
        <v>2.617205499295349E-23</v>
      </c>
      <c r="CN187" s="22">
        <f t="shared" si="172"/>
        <v>15.11408979937106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401</v>
      </c>
      <c r="CU187" s="17">
        <f>CT187*VLOOKUP('Données projet'!$B$13,Paramètres!$A$1:$I$89,3,0)*VLOOKUP('Données projet'!$B$13,Paramètres!$A$1:$I$89,5,0)</f>
        <v>250.22399999999999</v>
      </c>
      <c r="CV187" s="13">
        <f t="shared" si="173"/>
        <v>60.633904580527918</v>
      </c>
      <c r="CW187" s="20">
        <f t="shared" si="174"/>
        <v>541.41085047775289</v>
      </c>
      <c r="CX187" s="59">
        <f t="shared" si="122"/>
        <v>834.74418381108626</v>
      </c>
      <c r="CY187" s="59">
        <f ca="1">AVERAGE(OFFSET($CX$3,0,0,'Données projet'!$E$13+1,1))-AVERAGE(OFFSET($H$3,0,0,'Données projet'!$E$13+1,1))</f>
        <v>269.77739619445515</v>
      </c>
      <c r="CZ187" s="59">
        <f t="shared" si="150"/>
        <v>347.56964743629885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6.5705200453862185</v>
      </c>
      <c r="DG187" s="21">
        <f>EXP(-LN(2)/25)*DG186+(1-EXP(-LN(2)/25))/(LN(2)/25)*Calculateur!DB187*Calculateur!DD187*VLOOKUP('Données projet'!$B$13,Paramètres!$A$1:$I$89,3,0)*0.475*44/12</f>
        <v>1.2829931541762931</v>
      </c>
      <c r="DH187" s="21">
        <f>EXP(-LN(2)/2)*DH186+(1-EXP(-LN(2)/2))/(LN(2)/2)*DB187*DE187*VLOOKUP('Données projet'!$B$13,Paramètres!$A$1:$I$89,3,0)*0.475*44/12</f>
        <v>1.6436638625125638E-25</v>
      </c>
      <c r="DI187" s="22">
        <f t="shared" si="175"/>
        <v>7.8535131995625118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669.99999999999989</v>
      </c>
      <c r="DP187" s="17">
        <f>DO187*VLOOKUP('Données projet'!$B$14,Paramètres!$A$1:$I$89,3,0)*VLOOKUP('Données projet'!$B$14,Paramètres!$A$1:$I$89,5,0)</f>
        <v>322.26999999999992</v>
      </c>
      <c r="DQ187" s="13">
        <f t="shared" si="176"/>
        <v>75.825476822885776</v>
      </c>
      <c r="DR187" s="20">
        <f t="shared" si="177"/>
        <v>693.34962213319261</v>
      </c>
      <c r="DS187" s="59">
        <f t="shared" si="125"/>
        <v>986.68295546652598</v>
      </c>
      <c r="DT187" s="59">
        <f ca="1">AVERAGE(OFFSET($DS$3,0,0,'Données projet'!$E$14+1,1))-AVERAGE(OFFSET($H$3,0,0,'Données projet'!$E$14+1,1))</f>
        <v>312.64506496298173</v>
      </c>
      <c r="DU187" s="59">
        <f t="shared" si="152"/>
        <v>259.97532509897508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14.442593099347711</v>
      </c>
      <c r="EB187" s="21">
        <f>EXP(-LN(2)/25)*EB186+(1-EXP(-LN(2)/25))/(LN(2)/25)*Calculateur!DW187*Calculateur!DY187*VLOOKUP('Données projet'!$B$14,Paramètres!$A$1:$I$89,3,0)*0.475*44/12</f>
        <v>0.2737574947767511</v>
      </c>
      <c r="EC187" s="21">
        <f>EXP(-LN(2)/2)*EC186+(1-EXP(-LN(2)/2))/(LN(2)/2)*DW187*DZ187*VLOOKUP('Données projet'!$B$14,Paramètres!$A$1:$I$89,3,0)*0.475*44/12</f>
        <v>2.5483316703664913E-23</v>
      </c>
      <c r="ED187" s="22">
        <f t="shared" si="178"/>
        <v>14.716350594124462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267</v>
      </c>
      <c r="EK187" s="17">
        <f>EJ187*VLOOKUP('Données projet'!$B$15,Paramètres!$A$1:$I$89,3,0)*VLOOKUP('Données projet'!$B$15,Paramètres!$A$1:$I$89,5,0)</f>
        <v>241.58159999999998</v>
      </c>
      <c r="EL187" s="13">
        <f t="shared" si="179"/>
        <v>58.779689232021951</v>
      </c>
      <c r="EM187" s="20">
        <f t="shared" si="180"/>
        <v>523.12924541243819</v>
      </c>
      <c r="EN187" s="59">
        <f t="shared" si="128"/>
        <v>816.46257874577145</v>
      </c>
      <c r="EO187" s="59">
        <f ca="1">AVERAGE(OFFSET($EN$3,0,0,'Données projet'!$E$15+1,1))-AVERAGE(OFFSET($H$3,0,0,'Données projet'!$E$15+1,1))</f>
        <v>269.64423257646359</v>
      </c>
      <c r="EP187" s="59">
        <f t="shared" si="154"/>
        <v>161.0819079811821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19.274576008310738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19.274576008310738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349.00000000000017</v>
      </c>
      <c r="FF187" s="17">
        <f>FE187*VLOOKUP('Données projet'!$B$16,Paramètres!$A$1:$I$89,3,0)*VLOOKUP('Données projet'!$B$16,Paramètres!$A$1:$I$89,5,0)</f>
        <v>272.22000000000014</v>
      </c>
      <c r="FG187" s="13">
        <f t="shared" si="182"/>
        <v>65.320184547527205</v>
      </c>
      <c r="FH187" s="20">
        <f t="shared" si="183"/>
        <v>587.88248808694345</v>
      </c>
      <c r="FI187" s="59">
        <f t="shared" si="131"/>
        <v>881.21582142027682</v>
      </c>
      <c r="FJ187" s="59">
        <f ca="1">AVERAGE(OFFSET($FI$3,0,0,'Données projet'!$E$16+1,1))-AVERAGE(OFFSET($H$3,0,0,'Données projet'!$E$16+1,1))</f>
        <v>283.77864672734273</v>
      </c>
      <c r="FK187" s="59">
        <f t="shared" si="156"/>
        <v>270.94620935643866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9.0651856677744789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9.0651856677744789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319</v>
      </c>
      <c r="GA187" s="17">
        <f>FZ187*VLOOKUP('Données projet'!$B$17,Paramètres!$A$1:$I$89,3,0)*VLOOKUP('Données projet'!$B$17,Paramètres!$A$1:$I$89,5,0)</f>
        <v>308.53680000000003</v>
      </c>
      <c r="GB187" s="13">
        <f t="shared" si="185"/>
        <v>72.963171684496103</v>
      </c>
      <c r="GC187" s="20">
        <f t="shared" si="186"/>
        <v>664.4457840171641</v>
      </c>
      <c r="GD187" s="59">
        <f t="shared" si="134"/>
        <v>957.77911735049747</v>
      </c>
      <c r="GE187" s="59">
        <f ca="1">AVERAGE(OFFSET($GD$3,0,0,'Données projet'!$E$17+1,1))-AVERAGE(OFFSET($H$3,0,0,'Données projet'!$E$17+1,1))</f>
        <v>347.54503437087288</v>
      </c>
      <c r="GF187" s="59">
        <f t="shared" si="158"/>
        <v>340.05673244455954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6.6861672272548578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6.6861672272548578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735.00000000000011</v>
      </c>
      <c r="O188" s="13">
        <f>N188*VLOOKUP('Données projet'!$B$9,Paramètres!$A$1:$I$89,3,0)*VLOOKUP('Données projet'!$B$9,Paramètres!$A$1:$I$89,5,0)</f>
        <v>343.98</v>
      </c>
      <c r="P188" s="13">
        <f t="shared" si="141"/>
        <v>80.321681832084693</v>
      </c>
      <c r="Q188" s="20">
        <f t="shared" si="162"/>
        <v>738.9920958575475</v>
      </c>
      <c r="R188" s="59">
        <f t="shared" si="109"/>
        <v>1032.3254291908809</v>
      </c>
      <c r="S188" s="59">
        <f ca="1">AVERAGE(OFFSET($R$3,0,0,'Données projet'!$E$9+1,1))-AVERAGE(OFFSET($H$3,0,0,'Données projet'!$E$9+1,1))</f>
        <v>342.49944586217674</v>
      </c>
      <c r="T188" s="59">
        <f t="shared" si="142"/>
        <v>282.29766600872563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14.742927290377009</v>
      </c>
      <c r="AA188" s="21">
        <f>EXP(-LN(2)/25)*AA187+(1-EXP(-LN(2)/25))/(LN(2)/25)*Calculateur!V188*Calculateur!X188*VLOOKUP('Données projet'!$B$9,Paramètres!$A$1:$I$89,3,0)*0.475*44/12</f>
        <v>0.54518960846056552</v>
      </c>
      <c r="AB188" s="21">
        <f>EXP(-LN(2)/2)*AB187+(1-EXP(-LN(2)/2))/(LN(2)/2)*V188*Y188*VLOOKUP('Données projet'!$B$9,Paramètres!$A$1:$I$89,3,0)*0.475*44/12</f>
        <v>3.8741528772463599E-25</v>
      </c>
      <c r="AC188" s="22">
        <f t="shared" si="163"/>
        <v>15.288116898837576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739.99999999999966</v>
      </c>
      <c r="AJ188" s="13">
        <f>AI188*VLOOKUP('Données projet'!$B$10,Paramètres!$A$1:$I$89,3,0)*VLOOKUP('Données projet'!$B$10,Paramètres!$A$1:$I$89,5,0)</f>
        <v>413.65999999999985</v>
      </c>
      <c r="AK188" s="13">
        <f t="shared" si="164"/>
        <v>94.540585122244352</v>
      </c>
      <c r="AL188" s="20">
        <f t="shared" si="165"/>
        <v>885.11601908790863</v>
      </c>
      <c r="AM188" s="59">
        <f t="shared" si="113"/>
        <v>1178.4493524212419</v>
      </c>
      <c r="AN188" s="59">
        <f ca="1">AVERAGE(OFFSET($AM$3,0,0,'Données projet'!$E$10+1,1))-AVERAGE(OFFSET($H$3,0,0,'Données projet'!$E$10+1,1))</f>
        <v>490.96084572840579</v>
      </c>
      <c r="AO188" s="59">
        <f t="shared" si="144"/>
        <v>597.91658789908263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10.38833784030728</v>
      </c>
      <c r="AV188" s="21">
        <f>EXP(-LN(2)/25)*AV187+(1-EXP(-LN(2)/25))/(LN(2)/25)*Calculateur!AQ188*Calculateur!AS188*VLOOKUP('Données projet'!$B$10,Paramètres!$A$1:$I$89,3,0)*0.475*44/12</f>
        <v>0.78596642843820208</v>
      </c>
      <c r="AW188" s="21">
        <f>EXP(-LN(2)/2)*AW187+(1-EXP(-LN(2)/2))/(LN(2)/2)*AQ188*AT188*VLOOKUP('Données projet'!$B$10,Paramètres!$A$1:$I$89,3,0)*0.475*44/12</f>
        <v>3.9796159277936206E-24</v>
      </c>
      <c r="AX188" s="21">
        <f t="shared" si="166"/>
        <v>11.174304268745482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213.00000000000003</v>
      </c>
      <c r="BE188" s="13">
        <f>BD188*VLOOKUP('Données projet'!$B$11,Paramètres!$A$1:$I$89,3,0)*VLOOKUP('Données projet'!$B$11,Paramètres!$A$1:$I$89,5,0)</f>
        <v>169.46280000000002</v>
      </c>
      <c r="BF188" s="13">
        <f t="shared" si="167"/>
        <v>42.969686502194378</v>
      </c>
      <c r="BG188" s="20">
        <f t="shared" si="168"/>
        <v>369.98658065798855</v>
      </c>
      <c r="BH188" s="59">
        <f t="shared" si="116"/>
        <v>663.31991399132187</v>
      </c>
      <c r="BI188" s="59">
        <f ca="1">AVERAGE(OFFSET($BH$3,0,0,'Données projet'!$E$11+1,1))-AVERAGE(OFFSET($H$3,0,0,'Données projet'!$E$11+1,1))</f>
        <v>167.80254365106839</v>
      </c>
      <c r="BJ188" s="59">
        <f t="shared" si="146"/>
        <v>167.42302164950172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4.1899158270663976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4.1899158270663976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669.99999999999989</v>
      </c>
      <c r="BZ188" s="13">
        <f>BY188*VLOOKUP('Données projet'!$B$12,Paramètres!$A$1:$I$89,3,0)*VLOOKUP('Données projet'!$B$12,Paramètres!$A$1:$I$89,5,0)</f>
        <v>330.97999999999996</v>
      </c>
      <c r="CA188" s="13">
        <f t="shared" si="170"/>
        <v>77.633451096966454</v>
      </c>
      <c r="CB188" s="20">
        <f t="shared" si="171"/>
        <v>711.66842732721636</v>
      </c>
      <c r="CC188" s="59">
        <f t="shared" si="119"/>
        <v>1005.0017606605497</v>
      </c>
      <c r="CD188" s="59">
        <f ca="1">AVERAGE(OFFSET($CC$3,0,0,'Données projet'!$E$12+1,1))-AVERAGE(OFFSET($H$3,0,0,'Données projet'!$E$12+1,1))</f>
        <v>322.06606384496587</v>
      </c>
      <c r="CE188" s="59">
        <f t="shared" si="148"/>
        <v>267.71713177624713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14.542068675559335</v>
      </c>
      <c r="CL188" s="21">
        <f>EXP(-LN(2)/25)*CL187+(1-EXP(-LN(2)/25))/(LN(2)/25)*Calculateur!CG188*Calculateur!CI188*VLOOKUP('Données projet'!$B$12,Paramètres!$A$1:$I$89,3,0)*0.475*44/12</f>
        <v>0.27346811092055051</v>
      </c>
      <c r="CM188" s="21">
        <f>EXP(-LN(2)/2)*CM187+(1-EXP(-LN(2)/2))/(LN(2)/2)*CG188*CJ188*VLOOKUP('Données projet'!$B$12,Paramètres!$A$1:$I$89,3,0)*0.475*44/12</f>
        <v>1.8506437563104654E-23</v>
      </c>
      <c r="CN188" s="22">
        <f t="shared" si="172"/>
        <v>14.815536786479885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401</v>
      </c>
      <c r="CU188" s="17">
        <f>CT188*VLOOKUP('Données projet'!$B$13,Paramètres!$A$1:$I$89,3,0)*VLOOKUP('Données projet'!$B$13,Paramètres!$A$1:$I$89,5,0)</f>
        <v>250.22399999999999</v>
      </c>
      <c r="CV188" s="13">
        <f t="shared" si="173"/>
        <v>60.633904580527918</v>
      </c>
      <c r="CW188" s="20">
        <f t="shared" si="174"/>
        <v>541.41085047775289</v>
      </c>
      <c r="CX188" s="59">
        <f t="shared" si="122"/>
        <v>834.74418381108626</v>
      </c>
      <c r="CY188" s="59">
        <f ca="1">AVERAGE(OFFSET($CX$3,0,0,'Données projet'!$E$13+1,1))-AVERAGE(OFFSET($H$3,0,0,'Données projet'!$E$13+1,1))</f>
        <v>269.77739619445515</v>
      </c>
      <c r="CZ188" s="59">
        <f t="shared" si="150"/>
        <v>347.56964743629885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6.4416761549177028</v>
      </c>
      <c r="DG188" s="21">
        <f>EXP(-LN(2)/25)*DG187+(1-EXP(-LN(2)/25))/(LN(2)/25)*Calculateur!DB188*Calculateur!DD188*VLOOKUP('Données projet'!$B$13,Paramètres!$A$1:$I$89,3,0)*0.475*44/12</f>
        <v>1.2479096389056648</v>
      </c>
      <c r="DH188" s="21">
        <f>EXP(-LN(2)/2)*DH187+(1-EXP(-LN(2)/2))/(LN(2)/2)*DB188*DE188*VLOOKUP('Données projet'!$B$13,Paramètres!$A$1:$I$89,3,0)*0.475*44/12</f>
        <v>1.162245863173907E-25</v>
      </c>
      <c r="DI188" s="22">
        <f t="shared" si="175"/>
        <v>7.6895857938233672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669.99999999999989</v>
      </c>
      <c r="DP188" s="17">
        <f>DO188*VLOOKUP('Données projet'!$B$14,Paramètres!$A$1:$I$89,3,0)*VLOOKUP('Données projet'!$B$14,Paramètres!$A$1:$I$89,5,0)</f>
        <v>322.26999999999992</v>
      </c>
      <c r="DQ188" s="13">
        <f t="shared" si="176"/>
        <v>75.825476822885776</v>
      </c>
      <c r="DR188" s="20">
        <f t="shared" si="177"/>
        <v>693.34962213319261</v>
      </c>
      <c r="DS188" s="59">
        <f t="shared" si="125"/>
        <v>986.68295546652598</v>
      </c>
      <c r="DT188" s="59">
        <f ca="1">AVERAGE(OFFSET($DS$3,0,0,'Données projet'!$E$14+1,1))-AVERAGE(OFFSET($H$3,0,0,'Données projet'!$E$14+1,1))</f>
        <v>312.64506496298173</v>
      </c>
      <c r="DU188" s="59">
        <f t="shared" si="152"/>
        <v>259.97532509897508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14.159382657781466</v>
      </c>
      <c r="EB188" s="21">
        <f>EXP(-LN(2)/25)*EB187+(1-EXP(-LN(2)/25))/(LN(2)/25)*Calculateur!DW188*Calculateur!DY188*VLOOKUP('Données projet'!$B$14,Paramètres!$A$1:$I$89,3,0)*0.475*44/12</f>
        <v>0.2662715816857999</v>
      </c>
      <c r="EC188" s="21">
        <f>EXP(-LN(2)/2)*EC187+(1-EXP(-LN(2)/2))/(LN(2)/2)*DW188*DZ188*VLOOKUP('Données projet'!$B$14,Paramètres!$A$1:$I$89,3,0)*0.475*44/12</f>
        <v>1.8019426048285877E-23</v>
      </c>
      <c r="ED188" s="22">
        <f t="shared" si="178"/>
        <v>14.425654239467265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267</v>
      </c>
      <c r="EK188" s="17">
        <f>EJ188*VLOOKUP('Données projet'!$B$15,Paramètres!$A$1:$I$89,3,0)*VLOOKUP('Données projet'!$B$15,Paramètres!$A$1:$I$89,5,0)</f>
        <v>241.58159999999998</v>
      </c>
      <c r="EL188" s="13">
        <f t="shared" si="179"/>
        <v>58.779689232021951</v>
      </c>
      <c r="EM188" s="20">
        <f t="shared" si="180"/>
        <v>523.12924541243819</v>
      </c>
      <c r="EN188" s="59">
        <f t="shared" si="128"/>
        <v>816.46257874577145</v>
      </c>
      <c r="EO188" s="59">
        <f ca="1">AVERAGE(OFFSET($EN$3,0,0,'Données projet'!$E$15+1,1))-AVERAGE(OFFSET($H$3,0,0,'Données projet'!$E$15+1,1))</f>
        <v>269.64423257646359</v>
      </c>
      <c r="EP188" s="59">
        <f t="shared" si="154"/>
        <v>161.0819079811821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18.896613329118289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18.896613329118289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349.00000000000017</v>
      </c>
      <c r="FF188" s="17">
        <f>FE188*VLOOKUP('Données projet'!$B$16,Paramètres!$A$1:$I$89,3,0)*VLOOKUP('Données projet'!$B$16,Paramètres!$A$1:$I$89,5,0)</f>
        <v>272.22000000000014</v>
      </c>
      <c r="FG188" s="13">
        <f t="shared" si="182"/>
        <v>65.320184547527205</v>
      </c>
      <c r="FH188" s="20">
        <f t="shared" si="183"/>
        <v>587.88248808694345</v>
      </c>
      <c r="FI188" s="59">
        <f t="shared" si="131"/>
        <v>881.21582142027682</v>
      </c>
      <c r="FJ188" s="59">
        <f ca="1">AVERAGE(OFFSET($FI$3,0,0,'Données projet'!$E$16+1,1))-AVERAGE(OFFSET($H$3,0,0,'Données projet'!$E$16+1,1))</f>
        <v>283.77864672734273</v>
      </c>
      <c r="FK188" s="59">
        <f t="shared" si="156"/>
        <v>270.94620935643866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8.887422906046714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8.887422906046714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319</v>
      </c>
      <c r="GA188" s="17">
        <f>FZ188*VLOOKUP('Données projet'!$B$17,Paramètres!$A$1:$I$89,3,0)*VLOOKUP('Données projet'!$B$17,Paramètres!$A$1:$I$89,5,0)</f>
        <v>308.53680000000003</v>
      </c>
      <c r="GB188" s="13">
        <f t="shared" si="185"/>
        <v>72.963171684496103</v>
      </c>
      <c r="GC188" s="20">
        <f t="shared" si="186"/>
        <v>664.4457840171641</v>
      </c>
      <c r="GD188" s="59">
        <f t="shared" si="134"/>
        <v>957.77911735049747</v>
      </c>
      <c r="GE188" s="59">
        <f ca="1">AVERAGE(OFFSET($GD$3,0,0,'Données projet'!$E$17+1,1))-AVERAGE(OFFSET($H$3,0,0,'Données projet'!$E$17+1,1))</f>
        <v>347.54503437087288</v>
      </c>
      <c r="GF188" s="59">
        <f t="shared" si="158"/>
        <v>340.05673244455954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6.5550555660877139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6.5550555660877139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735.00000000000011</v>
      </c>
      <c r="O189" s="13">
        <f>N189*VLOOKUP('Données projet'!$B$9,Paramètres!$A$1:$I$89,3,0)*VLOOKUP('Données projet'!$B$9,Paramètres!$A$1:$I$89,5,0)</f>
        <v>343.98</v>
      </c>
      <c r="P189" s="13">
        <f t="shared" si="141"/>
        <v>80.321681832084693</v>
      </c>
      <c r="Q189" s="20">
        <f t="shared" si="162"/>
        <v>738.9920958575475</v>
      </c>
      <c r="R189" s="59">
        <f t="shared" si="109"/>
        <v>1032.3254291908809</v>
      </c>
      <c r="S189" s="59">
        <f ca="1">AVERAGE(OFFSET($R$3,0,0,'Données projet'!$E$9+1,1))-AVERAGE(OFFSET($H$3,0,0,'Données projet'!$E$9+1,1))</f>
        <v>342.49944586217674</v>
      </c>
      <c r="T189" s="59">
        <f t="shared" si="142"/>
        <v>282.29766600872563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14.453827478510448</v>
      </c>
      <c r="AA189" s="21">
        <f>EXP(-LN(2)/25)*AA188+(1-EXP(-LN(2)/25))/(LN(2)/25)*Calculateur!V189*Calculateur!X189*VLOOKUP('Données projet'!$B$9,Paramètres!$A$1:$I$89,3,0)*0.475*44/12</f>
        <v>0.53028136994693587</v>
      </c>
      <c r="AB189" s="21">
        <f>EXP(-LN(2)/2)*AB188+(1-EXP(-LN(2)/2))/(LN(2)/2)*V189*Y189*VLOOKUP('Données projet'!$B$9,Paramètres!$A$1:$I$89,3,0)*0.475*44/12</f>
        <v>2.7394397708542753E-25</v>
      </c>
      <c r="AC189" s="22">
        <f t="shared" si="163"/>
        <v>14.984108848457383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739.99999999999966</v>
      </c>
      <c r="AJ189" s="13">
        <f>AI189*VLOOKUP('Données projet'!$B$10,Paramètres!$A$1:$I$89,3,0)*VLOOKUP('Données projet'!$B$10,Paramètres!$A$1:$I$89,5,0)</f>
        <v>413.65999999999985</v>
      </c>
      <c r="AK189" s="13">
        <f t="shared" si="164"/>
        <v>94.540585122244352</v>
      </c>
      <c r="AL189" s="20">
        <f t="shared" si="165"/>
        <v>885.11601908790863</v>
      </c>
      <c r="AM189" s="59">
        <f t="shared" si="113"/>
        <v>1178.4493524212419</v>
      </c>
      <c r="AN189" s="59">
        <f ca="1">AVERAGE(OFFSET($AM$3,0,0,'Données projet'!$E$10+1,1))-AVERAGE(OFFSET($H$3,0,0,'Données projet'!$E$10+1,1))</f>
        <v>490.96084572840579</v>
      </c>
      <c r="AO189" s="59">
        <f t="shared" si="144"/>
        <v>597.91658789908263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10.184628871519283</v>
      </c>
      <c r="AV189" s="21">
        <f>EXP(-LN(2)/25)*AV188+(1-EXP(-LN(2)/25))/(LN(2)/25)*Calculateur!AQ189*Calculateur!AS189*VLOOKUP('Données projet'!$B$10,Paramètres!$A$1:$I$89,3,0)*0.475*44/12</f>
        <v>0.76447413512038132</v>
      </c>
      <c r="AW189" s="21">
        <f>EXP(-LN(2)/2)*AW188+(1-EXP(-LN(2)/2))/(LN(2)/2)*AQ189*AT189*VLOOKUP('Données projet'!$B$10,Paramètres!$A$1:$I$89,3,0)*0.475*44/12</f>
        <v>2.814013409060863E-24</v>
      </c>
      <c r="AX189" s="21">
        <f t="shared" si="166"/>
        <v>10.949103006639664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213.00000000000003</v>
      </c>
      <c r="BE189" s="13">
        <f>BD189*VLOOKUP('Données projet'!$B$11,Paramètres!$A$1:$I$89,3,0)*VLOOKUP('Données projet'!$B$11,Paramètres!$A$1:$I$89,5,0)</f>
        <v>169.46280000000002</v>
      </c>
      <c r="BF189" s="13">
        <f t="shared" si="167"/>
        <v>42.969686502194378</v>
      </c>
      <c r="BG189" s="20">
        <f t="shared" si="168"/>
        <v>369.98658065798855</v>
      </c>
      <c r="BH189" s="59">
        <f t="shared" si="116"/>
        <v>663.31991399132187</v>
      </c>
      <c r="BI189" s="59">
        <f ca="1">AVERAGE(OFFSET($BH$3,0,0,'Données projet'!$E$11+1,1))-AVERAGE(OFFSET($H$3,0,0,'Données projet'!$E$11+1,1))</f>
        <v>167.80254365106839</v>
      </c>
      <c r="BJ189" s="59">
        <f t="shared" si="146"/>
        <v>167.42302164950172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4.1077541332939358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4.1077541332939358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669.99999999999989</v>
      </c>
      <c r="BZ189" s="13">
        <f>BY189*VLOOKUP('Données projet'!$B$12,Paramètres!$A$1:$I$89,3,0)*VLOOKUP('Données projet'!$B$12,Paramètres!$A$1:$I$89,5,0)</f>
        <v>330.97999999999996</v>
      </c>
      <c r="CA189" s="13">
        <f t="shared" si="170"/>
        <v>77.633451096966454</v>
      </c>
      <c r="CB189" s="20">
        <f t="shared" si="171"/>
        <v>711.66842732721636</v>
      </c>
      <c r="CC189" s="59">
        <f t="shared" si="119"/>
        <v>1005.0017606605497</v>
      </c>
      <c r="CD189" s="59">
        <f ca="1">AVERAGE(OFFSET($CC$3,0,0,'Données projet'!$E$12+1,1))-AVERAGE(OFFSET($H$3,0,0,'Données projet'!$E$12+1,1))</f>
        <v>322.06606384496587</v>
      </c>
      <c r="CE189" s="59">
        <f t="shared" si="148"/>
        <v>267.71713177624713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14.256907578617691</v>
      </c>
      <c r="CL189" s="21">
        <f>EXP(-LN(2)/25)*CL188+(1-EXP(-LN(2)/25))/(LN(2)/25)*Calculateur!CG189*Calculateur!CI189*VLOOKUP('Données projet'!$B$12,Paramètres!$A$1:$I$89,3,0)*0.475*44/12</f>
        <v>0.26599011104636511</v>
      </c>
      <c r="CM189" s="21">
        <f>EXP(-LN(2)/2)*CM188+(1-EXP(-LN(2)/2))/(LN(2)/2)*CG189*CJ189*VLOOKUP('Données projet'!$B$12,Paramètres!$A$1:$I$89,3,0)*0.475*44/12</f>
        <v>1.3086027496476746E-23</v>
      </c>
      <c r="CN189" s="22">
        <f t="shared" si="172"/>
        <v>14.522897689664056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401</v>
      </c>
      <c r="CU189" s="17">
        <f>CT189*VLOOKUP('Données projet'!$B$13,Paramètres!$A$1:$I$89,3,0)*VLOOKUP('Données projet'!$B$13,Paramètres!$A$1:$I$89,5,0)</f>
        <v>250.22399999999999</v>
      </c>
      <c r="CV189" s="13">
        <f t="shared" si="173"/>
        <v>60.633904580527918</v>
      </c>
      <c r="CW189" s="20">
        <f t="shared" si="174"/>
        <v>541.41085047775289</v>
      </c>
      <c r="CX189" s="59">
        <f t="shared" si="122"/>
        <v>834.74418381108626</v>
      </c>
      <c r="CY189" s="59">
        <f ca="1">AVERAGE(OFFSET($CX$3,0,0,'Données projet'!$E$13+1,1))-AVERAGE(OFFSET($H$3,0,0,'Données projet'!$E$13+1,1))</f>
        <v>269.77739619445515</v>
      </c>
      <c r="CZ189" s="59">
        <f t="shared" si="150"/>
        <v>347.56964743629885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6.3153588145542612</v>
      </c>
      <c r="DG189" s="21">
        <f>EXP(-LN(2)/25)*DG188+(1-EXP(-LN(2)/25))/(LN(2)/25)*Calculateur!DB189*Calculateur!DD189*VLOOKUP('Données projet'!$B$13,Paramètres!$A$1:$I$89,3,0)*0.475*44/12</f>
        <v>1.2137854842050735</v>
      </c>
      <c r="DH189" s="21">
        <f>EXP(-LN(2)/2)*DH188+(1-EXP(-LN(2)/2))/(LN(2)/2)*DB189*DE189*VLOOKUP('Données projet'!$B$13,Paramètres!$A$1:$I$89,3,0)*0.475*44/12</f>
        <v>8.218319312562819E-26</v>
      </c>
      <c r="DI189" s="22">
        <f t="shared" si="175"/>
        <v>7.5291442987593342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669.99999999999989</v>
      </c>
      <c r="DP189" s="17">
        <f>DO189*VLOOKUP('Données projet'!$B$14,Paramètres!$A$1:$I$89,3,0)*VLOOKUP('Données projet'!$B$14,Paramètres!$A$1:$I$89,5,0)</f>
        <v>322.26999999999992</v>
      </c>
      <c r="DQ189" s="13">
        <f t="shared" si="176"/>
        <v>75.825476822885776</v>
      </c>
      <c r="DR189" s="20">
        <f t="shared" si="177"/>
        <v>693.34962213319261</v>
      </c>
      <c r="DS189" s="59">
        <f t="shared" si="125"/>
        <v>986.68295546652598</v>
      </c>
      <c r="DT189" s="59">
        <f ca="1">AVERAGE(OFFSET($DS$3,0,0,'Données projet'!$E$14+1,1))-AVERAGE(OFFSET($H$3,0,0,'Données projet'!$E$14+1,1))</f>
        <v>312.64506496298173</v>
      </c>
      <c r="DU189" s="59">
        <f t="shared" si="152"/>
        <v>259.97532509897508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13.881725800233022</v>
      </c>
      <c r="EB189" s="21">
        <f>EXP(-LN(2)/25)*EB188+(1-EXP(-LN(2)/25))/(LN(2)/25)*Calculateur!DW189*Calculateur!DY189*VLOOKUP('Données projet'!$B$14,Paramètres!$A$1:$I$89,3,0)*0.475*44/12</f>
        <v>0.25899037128198776</v>
      </c>
      <c r="EC189" s="21">
        <f>EXP(-LN(2)/2)*EC188+(1-EXP(-LN(2)/2))/(LN(2)/2)*DW189*DZ189*VLOOKUP('Données projet'!$B$14,Paramètres!$A$1:$I$89,3,0)*0.475*44/12</f>
        <v>1.2741658351832457E-23</v>
      </c>
      <c r="ED189" s="22">
        <f t="shared" si="178"/>
        <v>14.14071617151501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267</v>
      </c>
      <c r="EK189" s="17">
        <f>EJ189*VLOOKUP('Données projet'!$B$15,Paramètres!$A$1:$I$89,3,0)*VLOOKUP('Données projet'!$B$15,Paramètres!$A$1:$I$89,5,0)</f>
        <v>241.58159999999998</v>
      </c>
      <c r="EL189" s="13">
        <f t="shared" si="179"/>
        <v>58.779689232021951</v>
      </c>
      <c r="EM189" s="20">
        <f t="shared" si="180"/>
        <v>523.12924541243819</v>
      </c>
      <c r="EN189" s="59">
        <f t="shared" si="128"/>
        <v>816.46257874577145</v>
      </c>
      <c r="EO189" s="59">
        <f ca="1">AVERAGE(OFFSET($EN$3,0,0,'Données projet'!$E$15+1,1))-AVERAGE(OFFSET($H$3,0,0,'Données projet'!$E$15+1,1))</f>
        <v>269.64423257646359</v>
      </c>
      <c r="EP189" s="59">
        <f t="shared" si="154"/>
        <v>161.0819079811821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18.526062267530332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18.526062267530332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349.00000000000017</v>
      </c>
      <c r="FF189" s="17">
        <f>FE189*VLOOKUP('Données projet'!$B$16,Paramètres!$A$1:$I$89,3,0)*VLOOKUP('Données projet'!$B$16,Paramètres!$A$1:$I$89,5,0)</f>
        <v>272.22000000000014</v>
      </c>
      <c r="FG189" s="13">
        <f t="shared" si="182"/>
        <v>65.320184547527205</v>
      </c>
      <c r="FH189" s="20">
        <f t="shared" si="183"/>
        <v>587.88248808694345</v>
      </c>
      <c r="FI189" s="59">
        <f t="shared" si="131"/>
        <v>881.21582142027682</v>
      </c>
      <c r="FJ189" s="59">
        <f ca="1">AVERAGE(OFFSET($FI$3,0,0,'Données projet'!$E$16+1,1))-AVERAGE(OFFSET($H$3,0,0,'Données projet'!$E$16+1,1))</f>
        <v>283.77864672734273</v>
      </c>
      <c r="FK189" s="59">
        <f t="shared" si="156"/>
        <v>270.94620935643866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8.7131459636518525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8.7131459636518525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319</v>
      </c>
      <c r="GA189" s="17">
        <f>FZ189*VLOOKUP('Données projet'!$B$17,Paramètres!$A$1:$I$89,3,0)*VLOOKUP('Données projet'!$B$17,Paramètres!$A$1:$I$89,5,0)</f>
        <v>308.53680000000003</v>
      </c>
      <c r="GB189" s="13">
        <f t="shared" si="185"/>
        <v>72.963171684496103</v>
      </c>
      <c r="GC189" s="20">
        <f t="shared" si="186"/>
        <v>664.4457840171641</v>
      </c>
      <c r="GD189" s="59">
        <f t="shared" si="134"/>
        <v>957.77911735049747</v>
      </c>
      <c r="GE189" s="59">
        <f ca="1">AVERAGE(OFFSET($GD$3,0,0,'Données projet'!$E$17+1,1))-AVERAGE(OFFSET($H$3,0,0,'Données projet'!$E$17+1,1))</f>
        <v>347.54503437087288</v>
      </c>
      <c r="GF189" s="59">
        <f t="shared" si="158"/>
        <v>340.05673244455954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6.4265149246258408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6.4265149246258408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735.00000000000011</v>
      </c>
      <c r="O190" s="13">
        <f>N190*VLOOKUP('Données projet'!$B$9,Paramètres!$A$1:$I$89,3,0)*VLOOKUP('Données projet'!$B$9,Paramètres!$A$1:$I$89,5,0)</f>
        <v>343.98</v>
      </c>
      <c r="P190" s="13">
        <f t="shared" si="141"/>
        <v>80.321681832084693</v>
      </c>
      <c r="Q190" s="20">
        <f t="shared" si="162"/>
        <v>738.9920958575475</v>
      </c>
      <c r="R190" s="59">
        <f t="shared" si="109"/>
        <v>1032.3254291908809</v>
      </c>
      <c r="S190" s="59">
        <f ca="1">AVERAGE(OFFSET($R$3,0,0,'Données projet'!$E$9+1,1))-AVERAGE(OFFSET($H$3,0,0,'Données projet'!$E$9+1,1))</f>
        <v>342.49944586217674</v>
      </c>
      <c r="T190" s="59">
        <f t="shared" si="142"/>
        <v>282.29766600872563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14.170396737621116</v>
      </c>
      <c r="AA190" s="21">
        <f>EXP(-LN(2)/25)*AA189+(1-EXP(-LN(2)/25))/(LN(2)/25)*Calculateur!V190*Calculateur!X190*VLOOKUP('Données projet'!$B$9,Paramètres!$A$1:$I$89,3,0)*0.475*44/12</f>
        <v>0.51578079799945165</v>
      </c>
      <c r="AB190" s="21">
        <f>EXP(-LN(2)/2)*AB189+(1-EXP(-LN(2)/2))/(LN(2)/2)*V190*Y190*VLOOKUP('Données projet'!$B$9,Paramètres!$A$1:$I$89,3,0)*0.475*44/12</f>
        <v>1.93707643862318E-25</v>
      </c>
      <c r="AC190" s="22">
        <f t="shared" si="163"/>
        <v>14.686177535620567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739.99999999999966</v>
      </c>
      <c r="AJ190" s="13">
        <f>AI190*VLOOKUP('Données projet'!$B$10,Paramètres!$A$1:$I$89,3,0)*VLOOKUP('Données projet'!$B$10,Paramètres!$A$1:$I$89,5,0)</f>
        <v>413.65999999999985</v>
      </c>
      <c r="AK190" s="13">
        <f t="shared" si="164"/>
        <v>94.540585122244352</v>
      </c>
      <c r="AL190" s="20">
        <f t="shared" si="165"/>
        <v>885.11601908790863</v>
      </c>
      <c r="AM190" s="59">
        <f t="shared" si="113"/>
        <v>1178.4493524212419</v>
      </c>
      <c r="AN190" s="59">
        <f ca="1">AVERAGE(OFFSET($AM$3,0,0,'Données projet'!$E$10+1,1))-AVERAGE(OFFSET($H$3,0,0,'Données projet'!$E$10+1,1))</f>
        <v>490.96084572840579</v>
      </c>
      <c r="AO190" s="59">
        <f t="shared" si="144"/>
        <v>597.91658789908263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9.9849145113590172</v>
      </c>
      <c r="AV190" s="21">
        <f>EXP(-LN(2)/25)*AV189+(1-EXP(-LN(2)/25))/(LN(2)/25)*Calculateur!AQ190*Calculateur!AS190*VLOOKUP('Données projet'!$B$10,Paramètres!$A$1:$I$89,3,0)*0.475*44/12</f>
        <v>0.74356954969356692</v>
      </c>
      <c r="AW190" s="21">
        <f>EXP(-LN(2)/2)*AW189+(1-EXP(-LN(2)/2))/(LN(2)/2)*AQ190*AT190*VLOOKUP('Données projet'!$B$10,Paramètres!$A$1:$I$89,3,0)*0.475*44/12</f>
        <v>1.9898079638968103E-24</v>
      </c>
      <c r="AX190" s="21">
        <f t="shared" si="166"/>
        <v>10.728484061052583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213.00000000000003</v>
      </c>
      <c r="BE190" s="13">
        <f>BD190*VLOOKUP('Données projet'!$B$11,Paramètres!$A$1:$I$89,3,0)*VLOOKUP('Données projet'!$B$11,Paramètres!$A$1:$I$89,5,0)</f>
        <v>169.46280000000002</v>
      </c>
      <c r="BF190" s="13">
        <f t="shared" si="167"/>
        <v>42.969686502194378</v>
      </c>
      <c r="BG190" s="20">
        <f t="shared" si="168"/>
        <v>369.98658065798855</v>
      </c>
      <c r="BH190" s="59">
        <f t="shared" si="116"/>
        <v>663.31991399132187</v>
      </c>
      <c r="BI190" s="59">
        <f ca="1">AVERAGE(OFFSET($BH$3,0,0,'Données projet'!$E$11+1,1))-AVERAGE(OFFSET($H$3,0,0,'Données projet'!$E$11+1,1))</f>
        <v>167.80254365106839</v>
      </c>
      <c r="BJ190" s="59">
        <f t="shared" si="146"/>
        <v>167.42302164950172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4.0272035802226673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4.0272035802226673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669.99999999999989</v>
      </c>
      <c r="BZ190" s="13">
        <f>BY190*VLOOKUP('Données projet'!$B$12,Paramètres!$A$1:$I$89,3,0)*VLOOKUP('Données projet'!$B$12,Paramètres!$A$1:$I$89,5,0)</f>
        <v>330.97999999999996</v>
      </c>
      <c r="CA190" s="13">
        <f t="shared" si="170"/>
        <v>77.633451096966454</v>
      </c>
      <c r="CB190" s="20">
        <f t="shared" si="171"/>
        <v>711.66842732721636</v>
      </c>
      <c r="CC190" s="59">
        <f t="shared" si="119"/>
        <v>1005.0017606605497</v>
      </c>
      <c r="CD190" s="59">
        <f ca="1">AVERAGE(OFFSET($CC$3,0,0,'Données projet'!$E$12+1,1))-AVERAGE(OFFSET($H$3,0,0,'Données projet'!$E$12+1,1))</f>
        <v>322.06606384496587</v>
      </c>
      <c r="CE190" s="59">
        <f t="shared" si="148"/>
        <v>267.71713177624713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13.977338316855976</v>
      </c>
      <c r="CL190" s="21">
        <f>EXP(-LN(2)/25)*CL189+(1-EXP(-LN(2)/25))/(LN(2)/25)*Calculateur!CG190*Calculateur!CI190*VLOOKUP('Données projet'!$B$12,Paramètres!$A$1:$I$89,3,0)*0.475*44/12</f>
        <v>0.25871659747199022</v>
      </c>
      <c r="CM190" s="21">
        <f>EXP(-LN(2)/2)*CM189+(1-EXP(-LN(2)/2))/(LN(2)/2)*CG190*CJ190*VLOOKUP('Données projet'!$B$12,Paramètres!$A$1:$I$89,3,0)*0.475*44/12</f>
        <v>9.2532187815523283E-24</v>
      </c>
      <c r="CN190" s="22">
        <f t="shared" si="172"/>
        <v>14.236054914327966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401</v>
      </c>
      <c r="CU190" s="17">
        <f>CT190*VLOOKUP('Données projet'!$B$13,Paramètres!$A$1:$I$89,3,0)*VLOOKUP('Données projet'!$B$13,Paramètres!$A$1:$I$89,5,0)</f>
        <v>250.22399999999999</v>
      </c>
      <c r="CV190" s="13">
        <f t="shared" si="173"/>
        <v>60.633904580527918</v>
      </c>
      <c r="CW190" s="20">
        <f t="shared" si="174"/>
        <v>541.41085047775289</v>
      </c>
      <c r="CX190" s="59">
        <f t="shared" si="122"/>
        <v>834.74418381108626</v>
      </c>
      <c r="CY190" s="59">
        <f ca="1">AVERAGE(OFFSET($CX$3,0,0,'Données projet'!$E$13+1,1))-AVERAGE(OFFSET($H$3,0,0,'Données projet'!$E$13+1,1))</f>
        <v>269.77739619445515</v>
      </c>
      <c r="CZ190" s="59">
        <f t="shared" si="150"/>
        <v>347.56964743629885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6.1915184801893766</v>
      </c>
      <c r="DG190" s="21">
        <f>EXP(-LN(2)/25)*DG189+(1-EXP(-LN(2)/25))/(LN(2)/25)*Calculateur!DB190*Calculateur!DD190*VLOOKUP('Données projet'!$B$13,Paramètres!$A$1:$I$89,3,0)*0.475*44/12</f>
        <v>1.1805944563092812</v>
      </c>
      <c r="DH190" s="21">
        <f>EXP(-LN(2)/2)*DH189+(1-EXP(-LN(2)/2))/(LN(2)/2)*DB190*DE190*VLOOKUP('Données projet'!$B$13,Paramètres!$A$1:$I$89,3,0)*0.475*44/12</f>
        <v>5.8112293158695348E-26</v>
      </c>
      <c r="DI190" s="22">
        <f t="shared" si="175"/>
        <v>7.3721129364986577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669.99999999999989</v>
      </c>
      <c r="DP190" s="17">
        <f>DO190*VLOOKUP('Données projet'!$B$14,Paramètres!$A$1:$I$89,3,0)*VLOOKUP('Données projet'!$B$14,Paramètres!$A$1:$I$89,5,0)</f>
        <v>322.26999999999992</v>
      </c>
      <c r="DQ190" s="13">
        <f t="shared" si="176"/>
        <v>75.825476822885776</v>
      </c>
      <c r="DR190" s="20">
        <f t="shared" si="177"/>
        <v>693.34962213319261</v>
      </c>
      <c r="DS190" s="59">
        <f t="shared" si="125"/>
        <v>986.68295546652598</v>
      </c>
      <c r="DT190" s="59">
        <f ca="1">AVERAGE(OFFSET($DS$3,0,0,'Données projet'!$E$14+1,1))-AVERAGE(OFFSET($H$3,0,0,'Données projet'!$E$14+1,1))</f>
        <v>312.64506496298173</v>
      </c>
      <c r="DU190" s="59">
        <f t="shared" si="152"/>
        <v>259.97532509897508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13.609513624307143</v>
      </c>
      <c r="EB190" s="21">
        <f>EXP(-LN(2)/25)*EB189+(1-EXP(-LN(2)/25))/(LN(2)/25)*Calculateur!DW190*Calculateur!DY190*VLOOKUP('Données projet'!$B$14,Paramètres!$A$1:$I$89,3,0)*0.475*44/12</f>
        <v>0.25190826595957011</v>
      </c>
      <c r="EC190" s="21">
        <f>EXP(-LN(2)/2)*EC189+(1-EXP(-LN(2)/2))/(LN(2)/2)*DW190*DZ190*VLOOKUP('Données projet'!$B$14,Paramètres!$A$1:$I$89,3,0)*0.475*44/12</f>
        <v>9.0097130241429385E-24</v>
      </c>
      <c r="ED190" s="22">
        <f t="shared" si="178"/>
        <v>13.861421890266712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267</v>
      </c>
      <c r="EK190" s="17">
        <f>EJ190*VLOOKUP('Données projet'!$B$15,Paramètres!$A$1:$I$89,3,0)*VLOOKUP('Données projet'!$B$15,Paramètres!$A$1:$I$89,5,0)</f>
        <v>241.58159999999998</v>
      </c>
      <c r="EL190" s="13">
        <f t="shared" si="179"/>
        <v>58.779689232021951</v>
      </c>
      <c r="EM190" s="20">
        <f t="shared" si="180"/>
        <v>523.12924541243819</v>
      </c>
      <c r="EN190" s="59">
        <f t="shared" si="128"/>
        <v>816.46257874577145</v>
      </c>
      <c r="EO190" s="59">
        <f ca="1">AVERAGE(OFFSET($EN$3,0,0,'Données projet'!$E$15+1,1))-AVERAGE(OFFSET($H$3,0,0,'Données projet'!$E$15+1,1))</f>
        <v>269.64423257646359</v>
      </c>
      <c r="EP190" s="59">
        <f t="shared" si="154"/>
        <v>161.0819079811821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18.162777486246284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18.162777486246284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349.00000000000017</v>
      </c>
      <c r="FF190" s="17">
        <f>FE190*VLOOKUP('Données projet'!$B$16,Paramètres!$A$1:$I$89,3,0)*VLOOKUP('Données projet'!$B$16,Paramètres!$A$1:$I$89,5,0)</f>
        <v>272.22000000000014</v>
      </c>
      <c r="FG190" s="13">
        <f t="shared" si="182"/>
        <v>65.320184547527205</v>
      </c>
      <c r="FH190" s="20">
        <f t="shared" si="183"/>
        <v>587.88248808694345</v>
      </c>
      <c r="FI190" s="59">
        <f t="shared" si="131"/>
        <v>881.21582142027682</v>
      </c>
      <c r="FJ190" s="59">
        <f ca="1">AVERAGE(OFFSET($FI$3,0,0,'Données projet'!$E$16+1,1))-AVERAGE(OFFSET($H$3,0,0,'Données projet'!$E$16+1,1))</f>
        <v>283.77864672734273</v>
      </c>
      <c r="FK190" s="59">
        <f t="shared" si="156"/>
        <v>270.94620935643866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8.5422864857989147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8.5422864857989147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319</v>
      </c>
      <c r="GA190" s="17">
        <f>FZ190*VLOOKUP('Données projet'!$B$17,Paramètres!$A$1:$I$89,3,0)*VLOOKUP('Données projet'!$B$17,Paramètres!$A$1:$I$89,5,0)</f>
        <v>308.53680000000003</v>
      </c>
      <c r="GB190" s="13">
        <f t="shared" si="185"/>
        <v>72.963171684496103</v>
      </c>
      <c r="GC190" s="20">
        <f t="shared" si="186"/>
        <v>664.4457840171641</v>
      </c>
      <c r="GD190" s="59">
        <f t="shared" si="134"/>
        <v>957.77911735049747</v>
      </c>
      <c r="GE190" s="59">
        <f ca="1">AVERAGE(OFFSET($GD$3,0,0,'Données projet'!$E$17+1,1))-AVERAGE(OFFSET($H$3,0,0,'Données projet'!$E$17+1,1))</f>
        <v>347.54503437087288</v>
      </c>
      <c r="GF190" s="59">
        <f t="shared" si="158"/>
        <v>340.05673244455954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6.3004948867409851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6.3004948867409851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735.00000000000011</v>
      </c>
      <c r="O191" s="13">
        <f>N191*VLOOKUP('Données projet'!$B$9,Paramètres!$A$1:$I$89,3,0)*VLOOKUP('Données projet'!$B$9,Paramètres!$A$1:$I$89,5,0)</f>
        <v>343.98</v>
      </c>
      <c r="P191" s="13">
        <f t="shared" si="141"/>
        <v>80.321681832084693</v>
      </c>
      <c r="Q191" s="20">
        <f t="shared" si="162"/>
        <v>738.9920958575475</v>
      </c>
      <c r="R191" s="59">
        <f t="shared" si="109"/>
        <v>1032.3254291908809</v>
      </c>
      <c r="S191" s="59">
        <f ca="1">AVERAGE(OFFSET($R$3,0,0,'Données projet'!$E$9+1,1))-AVERAGE(OFFSET($H$3,0,0,'Données projet'!$E$9+1,1))</f>
        <v>342.49944586217674</v>
      </c>
      <c r="T191" s="59">
        <f t="shared" si="142"/>
        <v>282.29766600872563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13.892523900684942</v>
      </c>
      <c r="AA191" s="21">
        <f>EXP(-LN(2)/25)*AA190+(1-EXP(-LN(2)/25))/(LN(2)/25)*Calculateur!V191*Calculateur!X191*VLOOKUP('Données projet'!$B$9,Paramètres!$A$1:$I$89,3,0)*0.475*44/12</f>
        <v>0.50167674495442327</v>
      </c>
      <c r="AB191" s="21">
        <f>EXP(-LN(2)/2)*AB190+(1-EXP(-LN(2)/2))/(LN(2)/2)*V191*Y191*VLOOKUP('Données projet'!$B$9,Paramètres!$A$1:$I$89,3,0)*0.475*44/12</f>
        <v>1.3697198854271377E-25</v>
      </c>
      <c r="AC191" s="22">
        <f t="shared" si="163"/>
        <v>14.394200645639366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739.99999999999966</v>
      </c>
      <c r="AJ191" s="13">
        <f>AI191*VLOOKUP('Données projet'!$B$10,Paramètres!$A$1:$I$89,3,0)*VLOOKUP('Données projet'!$B$10,Paramètres!$A$1:$I$89,5,0)</f>
        <v>413.65999999999985</v>
      </c>
      <c r="AK191" s="13">
        <f t="shared" si="164"/>
        <v>94.540585122244352</v>
      </c>
      <c r="AL191" s="20">
        <f t="shared" si="165"/>
        <v>885.11601908790863</v>
      </c>
      <c r="AM191" s="59">
        <f t="shared" si="113"/>
        <v>1178.4493524212419</v>
      </c>
      <c r="AN191" s="59">
        <f ca="1">AVERAGE(OFFSET($AM$3,0,0,'Données projet'!$E$10+1,1))-AVERAGE(OFFSET($H$3,0,0,'Données projet'!$E$10+1,1))</f>
        <v>490.96084572840579</v>
      </c>
      <c r="AO191" s="59">
        <f t="shared" si="144"/>
        <v>597.91658789908263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9.7891164279877625</v>
      </c>
      <c r="AV191" s="21">
        <f>EXP(-LN(2)/25)*AV190+(1-EXP(-LN(2)/25))/(LN(2)/25)*Calculateur!AQ191*Calculateur!AS191*VLOOKUP('Données projet'!$B$10,Paramètres!$A$1:$I$89,3,0)*0.475*44/12</f>
        <v>0.72323660125457312</v>
      </c>
      <c r="AW191" s="21">
        <f>EXP(-LN(2)/2)*AW190+(1-EXP(-LN(2)/2))/(LN(2)/2)*AQ191*AT191*VLOOKUP('Données projet'!$B$10,Paramètres!$A$1:$I$89,3,0)*0.475*44/12</f>
        <v>1.4070067045304315E-24</v>
      </c>
      <c r="AX191" s="21">
        <f t="shared" si="166"/>
        <v>10.512353029242336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213.00000000000003</v>
      </c>
      <c r="BE191" s="13">
        <f>BD191*VLOOKUP('Données projet'!$B$11,Paramètres!$A$1:$I$89,3,0)*VLOOKUP('Données projet'!$B$11,Paramètres!$A$1:$I$89,5,0)</f>
        <v>169.46280000000002</v>
      </c>
      <c r="BF191" s="13">
        <f t="shared" si="167"/>
        <v>42.969686502194378</v>
      </c>
      <c r="BG191" s="20">
        <f t="shared" si="168"/>
        <v>369.98658065798855</v>
      </c>
      <c r="BH191" s="59">
        <f t="shared" si="116"/>
        <v>663.31991399132187</v>
      </c>
      <c r="BI191" s="59">
        <f ca="1">AVERAGE(OFFSET($BH$3,0,0,'Données projet'!$E$11+1,1))-AVERAGE(OFFSET($H$3,0,0,'Données projet'!$E$11+1,1))</f>
        <v>167.80254365106839</v>
      </c>
      <c r="BJ191" s="59">
        <f t="shared" si="146"/>
        <v>167.42302164950172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3.9482325743661404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3.9482325743661404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669.99999999999989</v>
      </c>
      <c r="BZ191" s="13">
        <f>BY191*VLOOKUP('Données projet'!$B$12,Paramètres!$A$1:$I$89,3,0)*VLOOKUP('Données projet'!$B$12,Paramètres!$A$1:$I$89,5,0)</f>
        <v>330.97999999999996</v>
      </c>
      <c r="CA191" s="13">
        <f t="shared" si="170"/>
        <v>77.633451096966454</v>
      </c>
      <c r="CB191" s="20">
        <f t="shared" si="171"/>
        <v>711.66842732721636</v>
      </c>
      <c r="CC191" s="59">
        <f t="shared" si="119"/>
        <v>1005.0017606605497</v>
      </c>
      <c r="CD191" s="59">
        <f ca="1">AVERAGE(OFFSET($CC$3,0,0,'Données projet'!$E$12+1,1))-AVERAGE(OFFSET($H$3,0,0,'Données projet'!$E$12+1,1))</f>
        <v>322.06606384496587</v>
      </c>
      <c r="CE191" s="59">
        <f t="shared" si="148"/>
        <v>267.71713177624713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13.703251237796996</v>
      </c>
      <c r="CL191" s="21">
        <f>EXP(-LN(2)/25)*CL190+(1-EXP(-LN(2)/25))/(LN(2)/25)*Calculateur!CG191*Calculateur!CI191*VLOOKUP('Données projet'!$B$12,Paramètres!$A$1:$I$89,3,0)*0.475*44/12</f>
        <v>0.2516419785088041</v>
      </c>
      <c r="CM191" s="21">
        <f>EXP(-LN(2)/2)*CM190+(1-EXP(-LN(2)/2))/(LN(2)/2)*CG191*CJ191*VLOOKUP('Données projet'!$B$12,Paramètres!$A$1:$I$89,3,0)*0.475*44/12</f>
        <v>6.5430137482383747E-24</v>
      </c>
      <c r="CN191" s="22">
        <f t="shared" si="172"/>
        <v>13.9548932163058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401</v>
      </c>
      <c r="CU191" s="17">
        <f>CT191*VLOOKUP('Données projet'!$B$13,Paramètres!$A$1:$I$89,3,0)*VLOOKUP('Données projet'!$B$13,Paramètres!$A$1:$I$89,5,0)</f>
        <v>250.22399999999999</v>
      </c>
      <c r="CV191" s="13">
        <f t="shared" si="173"/>
        <v>60.633904580527918</v>
      </c>
      <c r="CW191" s="20">
        <f t="shared" si="174"/>
        <v>541.41085047775289</v>
      </c>
      <c r="CX191" s="59">
        <f t="shared" si="122"/>
        <v>834.74418381108626</v>
      </c>
      <c r="CY191" s="59">
        <f ca="1">AVERAGE(OFFSET($CX$3,0,0,'Données projet'!$E$13+1,1))-AVERAGE(OFFSET($H$3,0,0,'Données projet'!$E$13+1,1))</f>
        <v>269.77739619445515</v>
      </c>
      <c r="CZ191" s="59">
        <f t="shared" si="150"/>
        <v>347.56964743629885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6.0701065792462421</v>
      </c>
      <c r="DG191" s="21">
        <f>EXP(-LN(2)/25)*DG190+(1-EXP(-LN(2)/25))/(LN(2)/25)*Calculateur!DB191*Calculateur!DD191*VLOOKUP('Données projet'!$B$13,Paramètres!$A$1:$I$89,3,0)*0.475*44/12</f>
        <v>1.1483110388167397</v>
      </c>
      <c r="DH191" s="21">
        <f>EXP(-LN(2)/2)*DH190+(1-EXP(-LN(2)/2))/(LN(2)/2)*DB191*DE191*VLOOKUP('Données projet'!$B$13,Paramètres!$A$1:$I$89,3,0)*0.475*44/12</f>
        <v>4.1091596562814095E-26</v>
      </c>
      <c r="DI191" s="22">
        <f t="shared" si="175"/>
        <v>7.2184176180629818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669.99999999999989</v>
      </c>
      <c r="DP191" s="17">
        <f>DO191*VLOOKUP('Données projet'!$B$14,Paramètres!$A$1:$I$89,3,0)*VLOOKUP('Données projet'!$B$14,Paramètres!$A$1:$I$89,5,0)</f>
        <v>322.26999999999992</v>
      </c>
      <c r="DQ191" s="13">
        <f t="shared" si="176"/>
        <v>75.825476822885776</v>
      </c>
      <c r="DR191" s="20">
        <f t="shared" si="177"/>
        <v>693.34962213319261</v>
      </c>
      <c r="DS191" s="59">
        <f t="shared" si="125"/>
        <v>986.68295546652598</v>
      </c>
      <c r="DT191" s="59">
        <f ca="1">AVERAGE(OFFSET($DS$3,0,0,'Données projet'!$E$14+1,1))-AVERAGE(OFFSET($H$3,0,0,'Données projet'!$E$14+1,1))</f>
        <v>312.64506496298173</v>
      </c>
      <c r="DU191" s="59">
        <f t="shared" si="152"/>
        <v>259.97532509897508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13.342639363118137</v>
      </c>
      <c r="EB191" s="21">
        <f>EXP(-LN(2)/25)*EB190+(1-EXP(-LN(2)/25))/(LN(2)/25)*Calculateur!DW191*Calculateur!DY191*VLOOKUP('Données projet'!$B$14,Paramètres!$A$1:$I$89,3,0)*0.475*44/12</f>
        <v>0.2450198211796257</v>
      </c>
      <c r="EC191" s="21">
        <f>EXP(-LN(2)/2)*EC190+(1-EXP(-LN(2)/2))/(LN(2)/2)*DW191*DZ191*VLOOKUP('Données projet'!$B$14,Paramètres!$A$1:$I$89,3,0)*0.475*44/12</f>
        <v>6.3708291759162283E-24</v>
      </c>
      <c r="ED191" s="22">
        <f t="shared" si="178"/>
        <v>13.587659184297761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267</v>
      </c>
      <c r="EK191" s="17">
        <f>EJ191*VLOOKUP('Données projet'!$B$15,Paramètres!$A$1:$I$89,3,0)*VLOOKUP('Données projet'!$B$15,Paramètres!$A$1:$I$89,5,0)</f>
        <v>241.58159999999998</v>
      </c>
      <c r="EL191" s="13">
        <f t="shared" si="179"/>
        <v>58.779689232021951</v>
      </c>
      <c r="EM191" s="20">
        <f t="shared" si="180"/>
        <v>523.12924541243819</v>
      </c>
      <c r="EN191" s="59">
        <f t="shared" si="128"/>
        <v>816.46257874577145</v>
      </c>
      <c r="EO191" s="59">
        <f ca="1">AVERAGE(OFFSET($EN$3,0,0,'Données projet'!$E$15+1,1))-AVERAGE(OFFSET($H$3,0,0,'Données projet'!$E$15+1,1))</f>
        <v>269.64423257646359</v>
      </c>
      <c r="EP191" s="59">
        <f t="shared" si="154"/>
        <v>161.0819079811821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17.806616497941381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17.806616497941381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349.00000000000017</v>
      </c>
      <c r="FF191" s="17">
        <f>FE191*VLOOKUP('Données projet'!$B$16,Paramètres!$A$1:$I$89,3,0)*VLOOKUP('Données projet'!$B$16,Paramètres!$A$1:$I$89,5,0)</f>
        <v>272.22000000000014</v>
      </c>
      <c r="FG191" s="13">
        <f t="shared" si="182"/>
        <v>65.320184547527205</v>
      </c>
      <c r="FH191" s="20">
        <f t="shared" si="183"/>
        <v>587.88248808694345</v>
      </c>
      <c r="FI191" s="59">
        <f t="shared" si="131"/>
        <v>881.21582142027682</v>
      </c>
      <c r="FJ191" s="59">
        <f ca="1">AVERAGE(OFFSET($FI$3,0,0,'Données projet'!$E$16+1,1))-AVERAGE(OFFSET($H$3,0,0,'Données projet'!$E$16+1,1))</f>
        <v>283.77864672734273</v>
      </c>
      <c r="FK191" s="59">
        <f t="shared" si="156"/>
        <v>270.94620935643866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8.3747774580926819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8.3747774580926819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319</v>
      </c>
      <c r="GA191" s="17">
        <f>FZ191*VLOOKUP('Données projet'!$B$17,Paramètres!$A$1:$I$89,3,0)*VLOOKUP('Données projet'!$B$17,Paramètres!$A$1:$I$89,5,0)</f>
        <v>308.53680000000003</v>
      </c>
      <c r="GB191" s="13">
        <f t="shared" si="185"/>
        <v>72.963171684496103</v>
      </c>
      <c r="GC191" s="20">
        <f t="shared" si="186"/>
        <v>664.4457840171641</v>
      </c>
      <c r="GD191" s="59">
        <f t="shared" si="134"/>
        <v>957.77911735049747</v>
      </c>
      <c r="GE191" s="59">
        <f ca="1">AVERAGE(OFFSET($GD$3,0,0,'Données projet'!$E$17+1,1))-AVERAGE(OFFSET($H$3,0,0,'Données projet'!$E$17+1,1))</f>
        <v>347.54503437087288</v>
      </c>
      <c r="GF191" s="59">
        <f t="shared" si="158"/>
        <v>340.05673244455954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6.1769460249344181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6.1769460249344181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735.00000000000011</v>
      </c>
      <c r="O192" s="13">
        <f>N192*VLOOKUP('Données projet'!$B$9,Paramètres!$A$1:$I$89,3,0)*VLOOKUP('Données projet'!$B$9,Paramètres!$A$1:$I$89,5,0)</f>
        <v>343.98</v>
      </c>
      <c r="P192" s="13">
        <f t="shared" si="141"/>
        <v>80.321681832084693</v>
      </c>
      <c r="Q192" s="20">
        <f t="shared" si="162"/>
        <v>738.9920958575475</v>
      </c>
      <c r="R192" s="59">
        <f t="shared" si="109"/>
        <v>1032.3254291908809</v>
      </c>
      <c r="S192" s="59">
        <f ca="1">AVERAGE(OFFSET($R$3,0,0,'Données projet'!$E$9+1,1))-AVERAGE(OFFSET($H$3,0,0,'Données projet'!$E$9+1,1))</f>
        <v>342.49944586217674</v>
      </c>
      <c r="T192" s="59">
        <f t="shared" si="142"/>
        <v>282.29766600872563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13.620099980595391</v>
      </c>
      <c r="AA192" s="21">
        <f>EXP(-LN(2)/25)*AA191+(1-EXP(-LN(2)/25))/(LN(2)/25)*Calculateur!V192*Calculateur!X192*VLOOKUP('Données projet'!$B$9,Paramètres!$A$1:$I$89,3,0)*0.475*44/12</f>
        <v>0.48795836798161113</v>
      </c>
      <c r="AB192" s="21">
        <f>EXP(-LN(2)/2)*AB191+(1-EXP(-LN(2)/2))/(LN(2)/2)*V192*Y192*VLOOKUP('Données projet'!$B$9,Paramètres!$A$1:$I$89,3,0)*0.475*44/12</f>
        <v>9.6853821931158998E-26</v>
      </c>
      <c r="AC192" s="22">
        <f t="shared" si="163"/>
        <v>14.108058348577002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739.99999999999966</v>
      </c>
      <c r="AJ192" s="13">
        <f>AI192*VLOOKUP('Données projet'!$B$10,Paramètres!$A$1:$I$89,3,0)*VLOOKUP('Données projet'!$B$10,Paramètres!$A$1:$I$89,5,0)</f>
        <v>413.65999999999985</v>
      </c>
      <c r="AK192" s="13">
        <f t="shared" si="164"/>
        <v>94.540585122244352</v>
      </c>
      <c r="AL192" s="20">
        <f t="shared" si="165"/>
        <v>885.11601908790863</v>
      </c>
      <c r="AM192" s="59">
        <f t="shared" si="113"/>
        <v>1178.4493524212419</v>
      </c>
      <c r="AN192" s="59">
        <f ca="1">AVERAGE(OFFSET($AM$3,0,0,'Données projet'!$E$10+1,1))-AVERAGE(OFFSET($H$3,0,0,'Données projet'!$E$10+1,1))</f>
        <v>490.96084572840579</v>
      </c>
      <c r="AO192" s="59">
        <f t="shared" si="144"/>
        <v>597.91658789908263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9.597157825606379</v>
      </c>
      <c r="AV192" s="21">
        <f>EXP(-LN(2)/25)*AV191+(1-EXP(-LN(2)/25))/(LN(2)/25)*Calculateur!AQ192*Calculateur!AS192*VLOOKUP('Données projet'!$B$10,Paramètres!$A$1:$I$89,3,0)*0.475*44/12</f>
        <v>0.70345965835990698</v>
      </c>
      <c r="AW192" s="21">
        <f>EXP(-LN(2)/2)*AW191+(1-EXP(-LN(2)/2))/(LN(2)/2)*AQ192*AT192*VLOOKUP('Données projet'!$B$10,Paramètres!$A$1:$I$89,3,0)*0.475*44/12</f>
        <v>9.9490398194840515E-25</v>
      </c>
      <c r="AX192" s="21">
        <f t="shared" si="166"/>
        <v>10.300617483966287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213.00000000000003</v>
      </c>
      <c r="BE192" s="13">
        <f>BD192*VLOOKUP('Données projet'!$B$11,Paramètres!$A$1:$I$89,3,0)*VLOOKUP('Données projet'!$B$11,Paramètres!$A$1:$I$89,5,0)</f>
        <v>169.46280000000002</v>
      </c>
      <c r="BF192" s="13">
        <f t="shared" si="167"/>
        <v>42.969686502194378</v>
      </c>
      <c r="BG192" s="20">
        <f t="shared" si="168"/>
        <v>369.98658065798855</v>
      </c>
      <c r="BH192" s="59">
        <f t="shared" si="116"/>
        <v>663.31991399132187</v>
      </c>
      <c r="BI192" s="59">
        <f ca="1">AVERAGE(OFFSET($BH$3,0,0,'Données projet'!$E$11+1,1))-AVERAGE(OFFSET($H$3,0,0,'Données projet'!$E$11+1,1))</f>
        <v>167.80254365106839</v>
      </c>
      <c r="BJ192" s="59">
        <f t="shared" si="146"/>
        <v>167.42302164950172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3.8708101417669023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3.8708101417669023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669.99999999999989</v>
      </c>
      <c r="BZ192" s="13">
        <f>BY192*VLOOKUP('Données projet'!$B$12,Paramètres!$A$1:$I$89,3,0)*VLOOKUP('Données projet'!$B$12,Paramètres!$A$1:$I$89,5,0)</f>
        <v>330.97999999999996</v>
      </c>
      <c r="CA192" s="13">
        <f t="shared" si="170"/>
        <v>77.633451096966454</v>
      </c>
      <c r="CB192" s="20">
        <f t="shared" si="171"/>
        <v>711.66842732721636</v>
      </c>
      <c r="CC192" s="59">
        <f t="shared" si="119"/>
        <v>1005.0017606605497</v>
      </c>
      <c r="CD192" s="59">
        <f ca="1">AVERAGE(OFFSET($CC$3,0,0,'Données projet'!$E$12+1,1))-AVERAGE(OFFSET($H$3,0,0,'Données projet'!$E$12+1,1))</f>
        <v>322.06606384496587</v>
      </c>
      <c r="CE192" s="59">
        <f t="shared" si="148"/>
        <v>267.71713177624713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13.434538839181753</v>
      </c>
      <c r="CL192" s="21">
        <f>EXP(-LN(2)/25)*CL191+(1-EXP(-LN(2)/25))/(LN(2)/25)*Calculateur!CG192*Calculateur!CI192*VLOOKUP('Données projet'!$B$12,Paramètres!$A$1:$I$89,3,0)*0.475*44/12</f>
        <v>0.24476081537320435</v>
      </c>
      <c r="CM192" s="21">
        <f>EXP(-LN(2)/2)*CM191+(1-EXP(-LN(2)/2))/(LN(2)/2)*CG192*CJ192*VLOOKUP('Données projet'!$B$12,Paramètres!$A$1:$I$89,3,0)*0.475*44/12</f>
        <v>4.6266093907761649E-24</v>
      </c>
      <c r="CN192" s="22">
        <f t="shared" si="172"/>
        <v>13.679299654554958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401</v>
      </c>
      <c r="CU192" s="17">
        <f>CT192*VLOOKUP('Données projet'!$B$13,Paramètres!$A$1:$I$89,3,0)*VLOOKUP('Données projet'!$B$13,Paramètres!$A$1:$I$89,5,0)</f>
        <v>250.22399999999999</v>
      </c>
      <c r="CV192" s="13">
        <f t="shared" si="173"/>
        <v>60.633904580527918</v>
      </c>
      <c r="CW192" s="20">
        <f t="shared" si="174"/>
        <v>541.41085047775289</v>
      </c>
      <c r="CX192" s="59">
        <f t="shared" si="122"/>
        <v>834.74418381108626</v>
      </c>
      <c r="CY192" s="59">
        <f ca="1">AVERAGE(OFFSET($CX$3,0,0,'Données projet'!$E$13+1,1))-AVERAGE(OFFSET($H$3,0,0,'Données projet'!$E$13+1,1))</f>
        <v>269.77739619445515</v>
      </c>
      <c r="CZ192" s="59">
        <f t="shared" si="150"/>
        <v>347.56964743629885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5.9510754916266553</v>
      </c>
      <c r="DG192" s="21">
        <f>EXP(-LN(2)/25)*DG191+(1-EXP(-LN(2)/25))/(LN(2)/25)*Calculateur!DB192*Calculateur!DD192*VLOOKUP('Données projet'!$B$13,Paramètres!$A$1:$I$89,3,0)*0.475*44/12</f>
        <v>1.116910413073243</v>
      </c>
      <c r="DH192" s="21">
        <f>EXP(-LN(2)/2)*DH191+(1-EXP(-LN(2)/2))/(LN(2)/2)*DB192*DE192*VLOOKUP('Données projet'!$B$13,Paramètres!$A$1:$I$89,3,0)*0.475*44/12</f>
        <v>2.9056146579347674E-26</v>
      </c>
      <c r="DI192" s="22">
        <f t="shared" si="175"/>
        <v>7.0679859046998983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669.99999999999989</v>
      </c>
      <c r="DP192" s="17">
        <f>DO192*VLOOKUP('Données projet'!$B$14,Paramètres!$A$1:$I$89,3,0)*VLOOKUP('Données projet'!$B$14,Paramètres!$A$1:$I$89,5,0)</f>
        <v>322.26999999999992</v>
      </c>
      <c r="DQ192" s="13">
        <f t="shared" si="176"/>
        <v>75.825476822885776</v>
      </c>
      <c r="DR192" s="20">
        <f t="shared" si="177"/>
        <v>693.34962213319261</v>
      </c>
      <c r="DS192" s="59">
        <f t="shared" si="125"/>
        <v>986.68295546652598</v>
      </c>
      <c r="DT192" s="59">
        <f ca="1">AVERAGE(OFFSET($DS$3,0,0,'Données projet'!$E$14+1,1))-AVERAGE(OFFSET($H$3,0,0,'Données projet'!$E$14+1,1))</f>
        <v>312.64506496298173</v>
      </c>
      <c r="DU192" s="59">
        <f t="shared" si="152"/>
        <v>259.97532509897508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13.080998343413821</v>
      </c>
      <c r="EB192" s="21">
        <f>EXP(-LN(2)/25)*EB191+(1-EXP(-LN(2)/25))/(LN(2)/25)*Calculateur!DW192*Calculateur!DY192*VLOOKUP('Données projet'!$B$14,Paramètres!$A$1:$I$89,3,0)*0.475*44/12</f>
        <v>0.23831974128443645</v>
      </c>
      <c r="EC192" s="21">
        <f>EXP(-LN(2)/2)*EC191+(1-EXP(-LN(2)/2))/(LN(2)/2)*DW192*DZ192*VLOOKUP('Données projet'!$B$14,Paramètres!$A$1:$I$89,3,0)*0.475*44/12</f>
        <v>4.5048565120714692E-24</v>
      </c>
      <c r="ED192" s="22">
        <f t="shared" si="178"/>
        <v>13.319318084698258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267</v>
      </c>
      <c r="EK192" s="17">
        <f>EJ192*VLOOKUP('Données projet'!$B$15,Paramètres!$A$1:$I$89,3,0)*VLOOKUP('Données projet'!$B$15,Paramètres!$A$1:$I$89,5,0)</f>
        <v>241.58159999999998</v>
      </c>
      <c r="EL192" s="13">
        <f t="shared" si="179"/>
        <v>58.779689232021951</v>
      </c>
      <c r="EM192" s="20">
        <f t="shared" si="180"/>
        <v>523.12924541243819</v>
      </c>
      <c r="EN192" s="59">
        <f t="shared" si="128"/>
        <v>816.46257874577145</v>
      </c>
      <c r="EO192" s="59">
        <f ca="1">AVERAGE(OFFSET($EN$3,0,0,'Données projet'!$E$15+1,1))-AVERAGE(OFFSET($H$3,0,0,'Données projet'!$E$15+1,1))</f>
        <v>269.64423257646359</v>
      </c>
      <c r="EP192" s="59">
        <f t="shared" si="154"/>
        <v>161.0819079811821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17.457439609380383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17.457439609380383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349.00000000000017</v>
      </c>
      <c r="FF192" s="17">
        <f>FE192*VLOOKUP('Données projet'!$B$16,Paramètres!$A$1:$I$89,3,0)*VLOOKUP('Données projet'!$B$16,Paramètres!$A$1:$I$89,5,0)</f>
        <v>272.22000000000014</v>
      </c>
      <c r="FG192" s="13">
        <f t="shared" si="182"/>
        <v>65.320184547527205</v>
      </c>
      <c r="FH192" s="20">
        <f t="shared" si="183"/>
        <v>587.88248808694345</v>
      </c>
      <c r="FI192" s="59">
        <f t="shared" si="131"/>
        <v>881.21582142027682</v>
      </c>
      <c r="FJ192" s="59">
        <f ca="1">AVERAGE(OFFSET($FI$3,0,0,'Données projet'!$E$16+1,1))-AVERAGE(OFFSET($H$3,0,0,'Données projet'!$E$16+1,1))</f>
        <v>283.77864672734273</v>
      </c>
      <c r="FK192" s="59">
        <f t="shared" si="156"/>
        <v>270.94620935643866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8.2105531802493505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8.2105531802493505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319</v>
      </c>
      <c r="GA192" s="17">
        <f>FZ192*VLOOKUP('Données projet'!$B$17,Paramètres!$A$1:$I$89,3,0)*VLOOKUP('Données projet'!$B$17,Paramètres!$A$1:$I$89,5,0)</f>
        <v>308.53680000000003</v>
      </c>
      <c r="GB192" s="13">
        <f t="shared" si="185"/>
        <v>72.963171684496103</v>
      </c>
      <c r="GC192" s="20">
        <f t="shared" si="186"/>
        <v>664.4457840171641</v>
      </c>
      <c r="GD192" s="59">
        <f t="shared" si="134"/>
        <v>957.77911735049747</v>
      </c>
      <c r="GE192" s="59">
        <f ca="1">AVERAGE(OFFSET($GD$3,0,0,'Données projet'!$E$17+1,1))-AVERAGE(OFFSET($H$3,0,0,'Données projet'!$E$17+1,1))</f>
        <v>347.54503437087288</v>
      </c>
      <c r="GF192" s="59">
        <f t="shared" si="158"/>
        <v>340.05673244455954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6.055819880950513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6.055819880950513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735.00000000000011</v>
      </c>
      <c r="O193" s="13">
        <f>N193*VLOOKUP('Données projet'!$B$9,Paramètres!$A$1:$I$89,3,0)*VLOOKUP('Données projet'!$B$9,Paramètres!$A$1:$I$89,5,0)</f>
        <v>343.98</v>
      </c>
      <c r="P193" s="13">
        <f t="shared" si="141"/>
        <v>80.321681832084693</v>
      </c>
      <c r="Q193" s="20">
        <f t="shared" si="162"/>
        <v>738.9920958575475</v>
      </c>
      <c r="R193" s="59">
        <f t="shared" si="109"/>
        <v>1032.3254291908809</v>
      </c>
      <c r="S193" s="59">
        <f ca="1">AVERAGE(OFFSET($R$3,0,0,'Données projet'!$E$9+1,1))-AVERAGE(OFFSET($H$3,0,0,'Données projet'!$E$9+1,1))</f>
        <v>342.49944586217674</v>
      </c>
      <c r="T193" s="59">
        <f t="shared" si="142"/>
        <v>282.29766600872563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13.353018127416613</v>
      </c>
      <c r="AA193" s="21">
        <f>EXP(-LN(2)/25)*AA192+(1-EXP(-LN(2)/25))/(LN(2)/25)*Calculateur!V193*Calculateur!X193*VLOOKUP('Données projet'!$B$9,Paramètres!$A$1:$I$89,3,0)*0.475*44/12</f>
        <v>0.47461512074853862</v>
      </c>
      <c r="AB193" s="21">
        <f>EXP(-LN(2)/2)*AB192+(1-EXP(-LN(2)/2))/(LN(2)/2)*V193*Y193*VLOOKUP('Données projet'!$B$9,Paramètres!$A$1:$I$89,3,0)*0.475*44/12</f>
        <v>6.8485994271356883E-26</v>
      </c>
      <c r="AC193" s="22">
        <f t="shared" si="163"/>
        <v>13.827633248165151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739.99999999999966</v>
      </c>
      <c r="AJ193" s="13">
        <f>AI193*VLOOKUP('Données projet'!$B$10,Paramètres!$A$1:$I$89,3,0)*VLOOKUP('Données projet'!$B$10,Paramètres!$A$1:$I$89,5,0)</f>
        <v>413.65999999999985</v>
      </c>
      <c r="AK193" s="13">
        <f t="shared" si="164"/>
        <v>94.540585122244352</v>
      </c>
      <c r="AL193" s="20">
        <f t="shared" si="165"/>
        <v>885.11601908790863</v>
      </c>
      <c r="AM193" s="59">
        <f t="shared" si="113"/>
        <v>1178.4493524212419</v>
      </c>
      <c r="AN193" s="59">
        <f ca="1">AVERAGE(OFFSET($AM$3,0,0,'Données projet'!$E$10+1,1))-AVERAGE(OFFSET($H$3,0,0,'Données projet'!$E$10+1,1))</f>
        <v>490.96084572840579</v>
      </c>
      <c r="AO193" s="59">
        <f t="shared" si="144"/>
        <v>597.91658789908263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9.408963414334508</v>
      </c>
      <c r="AV193" s="21">
        <f>EXP(-LN(2)/25)*AV192+(1-EXP(-LN(2)/25))/(LN(2)/25)*Calculateur!AQ193*Calculateur!AS193*VLOOKUP('Données projet'!$B$10,Paramètres!$A$1:$I$89,3,0)*0.475*44/12</f>
        <v>0.68422351700871964</v>
      </c>
      <c r="AW193" s="21">
        <f>EXP(-LN(2)/2)*AW192+(1-EXP(-LN(2)/2))/(LN(2)/2)*AQ193*AT193*VLOOKUP('Données projet'!$B$10,Paramètres!$A$1:$I$89,3,0)*0.475*44/12</f>
        <v>7.0350335226521576E-25</v>
      </c>
      <c r="AX193" s="21">
        <f t="shared" si="166"/>
        <v>10.093186931343228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213.00000000000003</v>
      </c>
      <c r="BE193" s="13">
        <f>BD193*VLOOKUP('Données projet'!$B$11,Paramètres!$A$1:$I$89,3,0)*VLOOKUP('Données projet'!$B$11,Paramètres!$A$1:$I$89,5,0)</f>
        <v>169.46280000000002</v>
      </c>
      <c r="BF193" s="13">
        <f t="shared" si="167"/>
        <v>42.969686502194378</v>
      </c>
      <c r="BG193" s="20">
        <f t="shared" si="168"/>
        <v>369.98658065798855</v>
      </c>
      <c r="BH193" s="59">
        <f t="shared" si="116"/>
        <v>663.31991399132187</v>
      </c>
      <c r="BI193" s="59">
        <f ca="1">AVERAGE(OFFSET($BH$3,0,0,'Données projet'!$E$11+1,1))-AVERAGE(OFFSET($H$3,0,0,'Données projet'!$E$11+1,1))</f>
        <v>167.80254365106839</v>
      </c>
      <c r="BJ193" s="59">
        <f t="shared" si="146"/>
        <v>167.42302164950172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3.7949059158479144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3.7949059158479144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669.99999999999989</v>
      </c>
      <c r="BZ193" s="13">
        <f>BY193*VLOOKUP('Données projet'!$B$12,Paramètres!$A$1:$I$89,3,0)*VLOOKUP('Données projet'!$B$12,Paramètres!$A$1:$I$89,5,0)</f>
        <v>330.97999999999996</v>
      </c>
      <c r="CA193" s="13">
        <f t="shared" si="170"/>
        <v>77.633451096966454</v>
      </c>
      <c r="CB193" s="20">
        <f t="shared" si="171"/>
        <v>711.66842732721636</v>
      </c>
      <c r="CC193" s="59">
        <f t="shared" si="119"/>
        <v>1005.0017606605497</v>
      </c>
      <c r="CD193" s="59">
        <f ca="1">AVERAGE(OFFSET($CC$3,0,0,'Données projet'!$E$12+1,1))-AVERAGE(OFFSET($H$3,0,0,'Données projet'!$E$12+1,1))</f>
        <v>322.06606384496587</v>
      </c>
      <c r="CE193" s="59">
        <f t="shared" si="148"/>
        <v>267.71713177624713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13.171095726804975</v>
      </c>
      <c r="CL193" s="21">
        <f>EXP(-LN(2)/25)*CL192+(1-EXP(-LN(2)/25))/(LN(2)/25)*Calculateur!CG193*Calculateur!CI193*VLOOKUP('Données projet'!$B$12,Paramètres!$A$1:$I$89,3,0)*0.475*44/12</f>
        <v>0.23806781800541221</v>
      </c>
      <c r="CM193" s="21">
        <f>EXP(-LN(2)/2)*CM192+(1-EXP(-LN(2)/2))/(LN(2)/2)*CG193*CJ193*VLOOKUP('Données projet'!$B$12,Paramètres!$A$1:$I$89,3,0)*0.475*44/12</f>
        <v>3.2715068741191877E-24</v>
      </c>
      <c r="CN193" s="22">
        <f t="shared" si="172"/>
        <v>13.409163544810387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401</v>
      </c>
      <c r="CU193" s="17">
        <f>CT193*VLOOKUP('Données projet'!$B$13,Paramètres!$A$1:$I$89,3,0)*VLOOKUP('Données projet'!$B$13,Paramètres!$A$1:$I$89,5,0)</f>
        <v>250.22399999999999</v>
      </c>
      <c r="CV193" s="13">
        <f t="shared" si="173"/>
        <v>60.633904580527918</v>
      </c>
      <c r="CW193" s="20">
        <f t="shared" si="174"/>
        <v>541.41085047775289</v>
      </c>
      <c r="CX193" s="59">
        <f t="shared" si="122"/>
        <v>834.74418381108626</v>
      </c>
      <c r="CY193" s="59">
        <f ca="1">AVERAGE(OFFSET($CX$3,0,0,'Données projet'!$E$13+1,1))-AVERAGE(OFFSET($H$3,0,0,'Données projet'!$E$13+1,1))</f>
        <v>269.77739619445515</v>
      </c>
      <c r="CZ193" s="59">
        <f t="shared" si="150"/>
        <v>347.56964743629885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5.8343785310334937</v>
      </c>
      <c r="DG193" s="21">
        <f>EXP(-LN(2)/25)*DG192+(1-EXP(-LN(2)/25))/(LN(2)/25)*Calculateur!DB193*Calculateur!DD193*VLOOKUP('Données projet'!$B$13,Paramètres!$A$1:$I$89,3,0)*0.475*44/12</f>
        <v>1.0863684390919892</v>
      </c>
      <c r="DH193" s="21">
        <f>EXP(-LN(2)/2)*DH192+(1-EXP(-LN(2)/2))/(LN(2)/2)*DB193*DE193*VLOOKUP('Données projet'!$B$13,Paramètres!$A$1:$I$89,3,0)*0.475*44/12</f>
        <v>2.0545798281407048E-26</v>
      </c>
      <c r="DI193" s="22">
        <f t="shared" si="175"/>
        <v>6.9207469701254833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669.99999999999989</v>
      </c>
      <c r="DP193" s="17">
        <f>DO193*VLOOKUP('Données projet'!$B$14,Paramètres!$A$1:$I$89,3,0)*VLOOKUP('Données projet'!$B$14,Paramètres!$A$1:$I$89,5,0)</f>
        <v>322.26999999999992</v>
      </c>
      <c r="DQ193" s="13">
        <f t="shared" si="176"/>
        <v>75.825476822885776</v>
      </c>
      <c r="DR193" s="20">
        <f t="shared" si="177"/>
        <v>693.34962213319261</v>
      </c>
      <c r="DS193" s="59">
        <f t="shared" si="125"/>
        <v>986.68295546652598</v>
      </c>
      <c r="DT193" s="59">
        <f ca="1">AVERAGE(OFFSET($DS$3,0,0,'Données projet'!$E$14+1,1))-AVERAGE(OFFSET($H$3,0,0,'Données projet'!$E$14+1,1))</f>
        <v>312.64506496298173</v>
      </c>
      <c r="DU193" s="59">
        <f t="shared" si="152"/>
        <v>259.97532509897508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12.824487944520643</v>
      </c>
      <c r="EB193" s="21">
        <f>EXP(-LN(2)/25)*EB192+(1-EXP(-LN(2)/25))/(LN(2)/25)*Calculateur!DW193*Calculateur!DY193*VLOOKUP('Données projet'!$B$14,Paramètres!$A$1:$I$89,3,0)*0.475*44/12</f>
        <v>0.23180287542632302</v>
      </c>
      <c r="EC193" s="21">
        <f>EXP(-LN(2)/2)*EC192+(1-EXP(-LN(2)/2))/(LN(2)/2)*DW193*DZ193*VLOOKUP('Données projet'!$B$14,Paramètres!$A$1:$I$89,3,0)*0.475*44/12</f>
        <v>3.1854145879581141E-24</v>
      </c>
      <c r="ED193" s="22">
        <f t="shared" si="178"/>
        <v>13.056290819946966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267</v>
      </c>
      <c r="EK193" s="17">
        <f>EJ193*VLOOKUP('Données projet'!$B$15,Paramètres!$A$1:$I$89,3,0)*VLOOKUP('Données projet'!$B$15,Paramètres!$A$1:$I$89,5,0)</f>
        <v>241.58159999999998</v>
      </c>
      <c r="EL193" s="13">
        <f t="shared" si="179"/>
        <v>58.779689232021951</v>
      </c>
      <c r="EM193" s="20">
        <f t="shared" si="180"/>
        <v>523.12924541243819</v>
      </c>
      <c r="EN193" s="59">
        <f t="shared" si="128"/>
        <v>816.46257874577145</v>
      </c>
      <c r="EO193" s="59">
        <f ca="1">AVERAGE(OFFSET($EN$3,0,0,'Données projet'!$E$15+1,1))-AVERAGE(OFFSET($H$3,0,0,'Données projet'!$E$15+1,1))</f>
        <v>269.64423257646359</v>
      </c>
      <c r="EP193" s="59">
        <f t="shared" si="154"/>
        <v>161.0819079811821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17.115109866627193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17.115109866627193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349.00000000000017</v>
      </c>
      <c r="FF193" s="17">
        <f>FE193*VLOOKUP('Données projet'!$B$16,Paramètres!$A$1:$I$89,3,0)*VLOOKUP('Données projet'!$B$16,Paramètres!$A$1:$I$89,5,0)</f>
        <v>272.22000000000014</v>
      </c>
      <c r="FG193" s="13">
        <f t="shared" si="182"/>
        <v>65.320184547527205</v>
      </c>
      <c r="FH193" s="20">
        <f t="shared" si="183"/>
        <v>587.88248808694345</v>
      </c>
      <c r="FI193" s="59">
        <f t="shared" si="131"/>
        <v>881.21582142027682</v>
      </c>
      <c r="FJ193" s="59">
        <f ca="1">AVERAGE(OFFSET($FI$3,0,0,'Données projet'!$E$16+1,1))-AVERAGE(OFFSET($H$3,0,0,'Données projet'!$E$16+1,1))</f>
        <v>283.77864672734273</v>
      </c>
      <c r="FK193" s="59">
        <f t="shared" si="156"/>
        <v>270.94620935643866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8.0495492403276074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8.0495492403276074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319</v>
      </c>
      <c r="GA193" s="17">
        <f>FZ193*VLOOKUP('Données projet'!$B$17,Paramètres!$A$1:$I$89,3,0)*VLOOKUP('Données projet'!$B$17,Paramètres!$A$1:$I$89,5,0)</f>
        <v>308.53680000000003</v>
      </c>
      <c r="GB193" s="13">
        <f t="shared" si="185"/>
        <v>72.963171684496103</v>
      </c>
      <c r="GC193" s="20">
        <f t="shared" si="186"/>
        <v>664.4457840171641</v>
      </c>
      <c r="GD193" s="59">
        <f t="shared" si="134"/>
        <v>957.77911735049747</v>
      </c>
      <c r="GE193" s="59">
        <f ca="1">AVERAGE(OFFSET($GD$3,0,0,'Données projet'!$E$17+1,1))-AVERAGE(OFFSET($H$3,0,0,'Données projet'!$E$17+1,1))</f>
        <v>347.54503437087288</v>
      </c>
      <c r="GF193" s="59">
        <f t="shared" si="158"/>
        <v>340.05673244455954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5.9370689467704798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5.9370689467704798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735.00000000000011</v>
      </c>
      <c r="O194" s="13">
        <f>N194*VLOOKUP('Données projet'!$B$9,Paramètres!$A$1:$I$89,3,0)*VLOOKUP('Données projet'!$B$9,Paramètres!$A$1:$I$89,5,0)</f>
        <v>343.98</v>
      </c>
      <c r="P194" s="13">
        <f t="shared" si="141"/>
        <v>80.321681832084693</v>
      </c>
      <c r="Q194" s="20">
        <f t="shared" si="162"/>
        <v>738.9920958575475</v>
      </c>
      <c r="R194" s="59">
        <f t="shared" si="109"/>
        <v>1032.3254291908809</v>
      </c>
      <c r="S194" s="59">
        <f ca="1">AVERAGE(OFFSET($R$3,0,0,'Données projet'!$E$9+1,1))-AVERAGE(OFFSET($H$3,0,0,'Données projet'!$E$9+1,1))</f>
        <v>342.49944586217674</v>
      </c>
      <c r="T194" s="59">
        <f t="shared" si="142"/>
        <v>282.29766600872563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13.091173586474824</v>
      </c>
      <c r="AA194" s="21">
        <f>EXP(-LN(2)/25)*AA193+(1-EXP(-LN(2)/25))/(LN(2)/25)*Calculateur!V194*Calculateur!X194*VLOOKUP('Données projet'!$B$9,Paramètres!$A$1:$I$89,3,0)*0.475*44/12</f>
        <v>0.4616367453127454</v>
      </c>
      <c r="AB194" s="21">
        <f>EXP(-LN(2)/2)*AB193+(1-EXP(-LN(2)/2))/(LN(2)/2)*V194*Y194*VLOOKUP('Données projet'!$B$9,Paramètres!$A$1:$I$89,3,0)*0.475*44/12</f>
        <v>4.8426910965579499E-26</v>
      </c>
      <c r="AC194" s="22">
        <f t="shared" si="163"/>
        <v>13.552810331787569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739.99999999999966</v>
      </c>
      <c r="AJ194" s="13">
        <f>AI194*VLOOKUP('Données projet'!$B$10,Paramètres!$A$1:$I$89,3,0)*VLOOKUP('Données projet'!$B$10,Paramètres!$A$1:$I$89,5,0)</f>
        <v>413.65999999999985</v>
      </c>
      <c r="AK194" s="13">
        <f t="shared" si="164"/>
        <v>94.540585122244352</v>
      </c>
      <c r="AL194" s="20">
        <f t="shared" si="165"/>
        <v>885.11601908790863</v>
      </c>
      <c r="AM194" s="59">
        <f t="shared" si="113"/>
        <v>1178.4493524212419</v>
      </c>
      <c r="AN194" s="59">
        <f ca="1">AVERAGE(OFFSET($AM$3,0,0,'Données projet'!$E$10+1,1))-AVERAGE(OFFSET($H$3,0,0,'Données projet'!$E$10+1,1))</f>
        <v>490.96084572840579</v>
      </c>
      <c r="AO194" s="59">
        <f t="shared" si="144"/>
        <v>597.91658789908263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9.2244593806804218</v>
      </c>
      <c r="AV194" s="21">
        <f>EXP(-LN(2)/25)*AV193+(1-EXP(-LN(2)/25))/(LN(2)/25)*Calculateur!AQ194*Calculateur!AS194*VLOOKUP('Données projet'!$B$10,Paramètres!$A$1:$I$89,3,0)*0.475*44/12</f>
        <v>0.66551338895436529</v>
      </c>
      <c r="AW194" s="21">
        <f>EXP(-LN(2)/2)*AW193+(1-EXP(-LN(2)/2))/(LN(2)/2)*AQ194*AT194*VLOOKUP('Données projet'!$B$10,Paramètres!$A$1:$I$89,3,0)*0.475*44/12</f>
        <v>4.9745199097420257E-25</v>
      </c>
      <c r="AX194" s="21">
        <f t="shared" si="166"/>
        <v>9.8899727696347863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213.00000000000003</v>
      </c>
      <c r="BE194" s="13">
        <f>BD194*VLOOKUP('Données projet'!$B$11,Paramètres!$A$1:$I$89,3,0)*VLOOKUP('Données projet'!$B$11,Paramètres!$A$1:$I$89,5,0)</f>
        <v>169.46280000000002</v>
      </c>
      <c r="BF194" s="13">
        <f t="shared" si="167"/>
        <v>42.969686502194378</v>
      </c>
      <c r="BG194" s="20">
        <f t="shared" si="168"/>
        <v>369.98658065798855</v>
      </c>
      <c r="BH194" s="59">
        <f t="shared" si="116"/>
        <v>663.31991399132187</v>
      </c>
      <c r="BI194" s="59">
        <f ca="1">AVERAGE(OFFSET($BH$3,0,0,'Données projet'!$E$11+1,1))-AVERAGE(OFFSET($H$3,0,0,'Données projet'!$E$11+1,1))</f>
        <v>167.80254365106839</v>
      </c>
      <c r="BJ194" s="59">
        <f t="shared" si="146"/>
        <v>167.42302164950172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3.7204901255021912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3.7204901255021912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669.99999999999989</v>
      </c>
      <c r="BZ194" s="13">
        <f>BY194*VLOOKUP('Données projet'!$B$12,Paramètres!$A$1:$I$89,3,0)*VLOOKUP('Données projet'!$B$12,Paramètres!$A$1:$I$89,5,0)</f>
        <v>330.97999999999996</v>
      </c>
      <c r="CA194" s="13">
        <f t="shared" si="170"/>
        <v>77.633451096966454</v>
      </c>
      <c r="CB194" s="20">
        <f t="shared" si="171"/>
        <v>711.66842732721636</v>
      </c>
      <c r="CC194" s="59">
        <f t="shared" si="119"/>
        <v>1005.0017606605497</v>
      </c>
      <c r="CD194" s="59">
        <f ca="1">AVERAGE(OFFSET($CC$3,0,0,'Données projet'!$E$12+1,1))-AVERAGE(OFFSET($H$3,0,0,'Données projet'!$E$12+1,1))</f>
        <v>322.06606384496587</v>
      </c>
      <c r="CE194" s="59">
        <f t="shared" si="148"/>
        <v>267.71713177624713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12.912818573177473</v>
      </c>
      <c r="CL194" s="21">
        <f>EXP(-LN(2)/25)*CL193+(1-EXP(-LN(2)/25))/(LN(2)/25)*Calculateur!CG194*Calculateur!CI194*VLOOKUP('Données projet'!$B$12,Paramètres!$A$1:$I$89,3,0)*0.475*44/12</f>
        <v>0.23155784100261179</v>
      </c>
      <c r="CM194" s="21">
        <f>EXP(-LN(2)/2)*CM193+(1-EXP(-LN(2)/2))/(LN(2)/2)*CG194*CJ194*VLOOKUP('Données projet'!$B$12,Paramètres!$A$1:$I$89,3,0)*0.475*44/12</f>
        <v>2.3133046953880828E-24</v>
      </c>
      <c r="CN194" s="22">
        <f t="shared" si="172"/>
        <v>13.144376414180085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401</v>
      </c>
      <c r="CU194" s="17">
        <f>CT194*VLOOKUP('Données projet'!$B$13,Paramètres!$A$1:$I$89,3,0)*VLOOKUP('Données projet'!$B$13,Paramètres!$A$1:$I$89,5,0)</f>
        <v>250.22399999999999</v>
      </c>
      <c r="CV194" s="13">
        <f t="shared" si="173"/>
        <v>60.633904580527918</v>
      </c>
      <c r="CW194" s="20">
        <f t="shared" si="174"/>
        <v>541.41085047775289</v>
      </c>
      <c r="CX194" s="59">
        <f t="shared" si="122"/>
        <v>834.74418381108626</v>
      </c>
      <c r="CY194" s="59">
        <f ca="1">AVERAGE(OFFSET($CX$3,0,0,'Données projet'!$E$13+1,1))-AVERAGE(OFFSET($H$3,0,0,'Données projet'!$E$13+1,1))</f>
        <v>269.77739619445515</v>
      </c>
      <c r="CZ194" s="59">
        <f t="shared" si="150"/>
        <v>347.56964743629885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5.7199699266594459</v>
      </c>
      <c r="DG194" s="21">
        <f>EXP(-LN(2)/25)*DG193+(1-EXP(-LN(2)/25))/(LN(2)/25)*Calculateur!DB194*Calculateur!DD194*VLOOKUP('Données projet'!$B$13,Paramètres!$A$1:$I$89,3,0)*0.475*44/12</f>
        <v>1.0566616369953854</v>
      </c>
      <c r="DH194" s="21">
        <f>EXP(-LN(2)/2)*DH193+(1-EXP(-LN(2)/2))/(LN(2)/2)*DB194*DE194*VLOOKUP('Données projet'!$B$13,Paramètres!$A$1:$I$89,3,0)*0.475*44/12</f>
        <v>1.4528073289673837E-26</v>
      </c>
      <c r="DI194" s="22">
        <f t="shared" si="175"/>
        <v>6.7766315636548313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669.99999999999989</v>
      </c>
      <c r="DP194" s="17">
        <f>DO194*VLOOKUP('Données projet'!$B$14,Paramètres!$A$1:$I$89,3,0)*VLOOKUP('Données projet'!$B$14,Paramètres!$A$1:$I$89,5,0)</f>
        <v>322.26999999999992</v>
      </c>
      <c r="DQ194" s="13">
        <f t="shared" si="176"/>
        <v>75.825476822885776</v>
      </c>
      <c r="DR194" s="20">
        <f t="shared" si="177"/>
        <v>693.34962213319261</v>
      </c>
      <c r="DS194" s="59">
        <f t="shared" si="125"/>
        <v>986.68295546652598</v>
      </c>
      <c r="DT194" s="59">
        <f ca="1">AVERAGE(OFFSET($DS$3,0,0,'Données projet'!$E$14+1,1))-AVERAGE(OFFSET($H$3,0,0,'Données projet'!$E$14+1,1))</f>
        <v>312.64506496298173</v>
      </c>
      <c r="DU194" s="59">
        <f t="shared" si="152"/>
        <v>259.97532509897508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12.573007558093865</v>
      </c>
      <c r="EB194" s="21">
        <f>EXP(-LN(2)/25)*EB193+(1-EXP(-LN(2)/25))/(LN(2)/25)*Calculateur!DW194*Calculateur!DY194*VLOOKUP('Données projet'!$B$14,Paramètres!$A$1:$I$89,3,0)*0.475*44/12</f>
        <v>0.2254642136078068</v>
      </c>
      <c r="EC194" s="21">
        <f>EXP(-LN(2)/2)*EC193+(1-EXP(-LN(2)/2))/(LN(2)/2)*DW194*DZ194*VLOOKUP('Données projet'!$B$14,Paramètres!$A$1:$I$89,3,0)*0.475*44/12</f>
        <v>2.2524282560357346E-24</v>
      </c>
      <c r="ED194" s="22">
        <f t="shared" si="178"/>
        <v>12.798471771701672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267</v>
      </c>
      <c r="EK194" s="17">
        <f>EJ194*VLOOKUP('Données projet'!$B$15,Paramètres!$A$1:$I$89,3,0)*VLOOKUP('Données projet'!$B$15,Paramètres!$A$1:$I$89,5,0)</f>
        <v>241.58159999999998</v>
      </c>
      <c r="EL194" s="13">
        <f t="shared" si="179"/>
        <v>58.779689232021951</v>
      </c>
      <c r="EM194" s="20">
        <f t="shared" si="180"/>
        <v>523.12924541243819</v>
      </c>
      <c r="EN194" s="59">
        <f t="shared" si="128"/>
        <v>816.46257874577145</v>
      </c>
      <c r="EO194" s="59">
        <f ca="1">AVERAGE(OFFSET($EN$3,0,0,'Données projet'!$E$15+1,1))-AVERAGE(OFFSET($H$3,0,0,'Données projet'!$E$15+1,1))</f>
        <v>269.64423257646359</v>
      </c>
      <c r="EP194" s="59">
        <f t="shared" si="154"/>
        <v>161.0819079811821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16.77949300132887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16.77949300132887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349.00000000000017</v>
      </c>
      <c r="FF194" s="17">
        <f>FE194*VLOOKUP('Données projet'!$B$16,Paramètres!$A$1:$I$89,3,0)*VLOOKUP('Données projet'!$B$16,Paramètres!$A$1:$I$89,5,0)</f>
        <v>272.22000000000014</v>
      </c>
      <c r="FG194" s="13">
        <f t="shared" si="182"/>
        <v>65.320184547527205</v>
      </c>
      <c r="FH194" s="20">
        <f t="shared" si="183"/>
        <v>587.88248808694345</v>
      </c>
      <c r="FI194" s="59">
        <f t="shared" si="131"/>
        <v>881.21582142027682</v>
      </c>
      <c r="FJ194" s="59">
        <f ca="1">AVERAGE(OFFSET($FI$3,0,0,'Données projet'!$E$16+1,1))-AVERAGE(OFFSET($H$3,0,0,'Données projet'!$E$16+1,1))</f>
        <v>283.77864672734273</v>
      </c>
      <c r="FK194" s="59">
        <f t="shared" si="156"/>
        <v>270.94620935643866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7.8917024894650227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7.8917024894650227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319</v>
      </c>
      <c r="GA194" s="17">
        <f>FZ194*VLOOKUP('Données projet'!$B$17,Paramètres!$A$1:$I$89,3,0)*VLOOKUP('Données projet'!$B$17,Paramètres!$A$1:$I$89,5,0)</f>
        <v>308.53680000000003</v>
      </c>
      <c r="GB194" s="13">
        <f t="shared" si="185"/>
        <v>72.963171684496103</v>
      </c>
      <c r="GC194" s="20">
        <f t="shared" si="186"/>
        <v>664.4457840171641</v>
      </c>
      <c r="GD194" s="59">
        <f t="shared" si="134"/>
        <v>957.77911735049747</v>
      </c>
      <c r="GE194" s="59">
        <f ca="1">AVERAGE(OFFSET($GD$3,0,0,'Données projet'!$E$17+1,1))-AVERAGE(OFFSET($H$3,0,0,'Données projet'!$E$17+1,1))</f>
        <v>347.54503437087288</v>
      </c>
      <c r="GF194" s="59">
        <f t="shared" si="158"/>
        <v>340.05673244455954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5.8206466459787993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5.8206466459787993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735.00000000000011</v>
      </c>
      <c r="O195" s="13">
        <f>N195*VLOOKUP('Données projet'!$B$9,Paramètres!$A$1:$I$89,3,0)*VLOOKUP('Données projet'!$B$9,Paramètres!$A$1:$I$89,5,0)</f>
        <v>343.98</v>
      </c>
      <c r="P195" s="13">
        <f t="shared" si="141"/>
        <v>80.321681832084693</v>
      </c>
      <c r="Q195" s="20">
        <f t="shared" si="162"/>
        <v>738.9920958575475</v>
      </c>
      <c r="R195" s="59">
        <f t="shared" ref="R195:R203" si="191">Q195+(I195+J195)*44/12</f>
        <v>1032.3254291908809</v>
      </c>
      <c r="S195" s="59">
        <f ca="1">AVERAGE(OFFSET($R$3,0,0,'Données projet'!$E$9+1,1))-AVERAGE(OFFSET($H$3,0,0,'Données projet'!$E$9+1,1))</f>
        <v>342.49944586217674</v>
      </c>
      <c r="T195" s="59">
        <f t="shared" si="142"/>
        <v>282.29766600872563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12.834463657271504</v>
      </c>
      <c r="AA195" s="21">
        <f>EXP(-LN(2)/25)*AA194+(1-EXP(-LN(2)/25))/(LN(2)/25)*Calculateur!V195*Calculateur!X195*VLOOKUP('Données projet'!$B$9,Paramètres!$A$1:$I$89,3,0)*0.475*44/12</f>
        <v>0.449013264235747</v>
      </c>
      <c r="AB195" s="21">
        <f>EXP(-LN(2)/2)*AB194+(1-EXP(-LN(2)/2))/(LN(2)/2)*V195*Y195*VLOOKUP('Données projet'!$B$9,Paramètres!$A$1:$I$89,3,0)*0.475*44/12</f>
        <v>3.4242997135678441E-26</v>
      </c>
      <c r="AC195" s="22">
        <f t="shared" si="163"/>
        <v>13.283476921507251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739.99999999999966</v>
      </c>
      <c r="AJ195" s="13">
        <f>AI195*VLOOKUP('Données projet'!$B$10,Paramètres!$A$1:$I$89,3,0)*VLOOKUP('Données projet'!$B$10,Paramètres!$A$1:$I$89,5,0)</f>
        <v>413.65999999999985</v>
      </c>
      <c r="AK195" s="13">
        <f t="shared" si="164"/>
        <v>94.540585122244352</v>
      </c>
      <c r="AL195" s="20">
        <f t="shared" si="165"/>
        <v>885.11601908790863</v>
      </c>
      <c r="AM195" s="59">
        <f t="shared" si="113"/>
        <v>1178.4493524212419</v>
      </c>
      <c r="AN195" s="59">
        <f ca="1">AVERAGE(OFFSET($AM$3,0,0,'Données projet'!$E$10+1,1))-AVERAGE(OFFSET($H$3,0,0,'Données projet'!$E$10+1,1))</f>
        <v>490.96084572840579</v>
      </c>
      <c r="AO195" s="59">
        <f t="shared" si="144"/>
        <v>597.91658789908263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9.0435733585899438</v>
      </c>
      <c r="AV195" s="21">
        <f>EXP(-LN(2)/25)*AV194+(1-EXP(-LN(2)/25))/(LN(2)/25)*Calculateur!AQ195*Calculateur!AS195*VLOOKUP('Données projet'!$B$10,Paramètres!$A$1:$I$89,3,0)*0.475*44/12</f>
        <v>0.6473148903355801</v>
      </c>
      <c r="AW195" s="21">
        <f>EXP(-LN(2)/2)*AW194+(1-EXP(-LN(2)/2))/(LN(2)/2)*AQ195*AT195*VLOOKUP('Données projet'!$B$10,Paramètres!$A$1:$I$89,3,0)*0.475*44/12</f>
        <v>3.5175167613260788E-25</v>
      </c>
      <c r="AX195" s="21">
        <f t="shared" si="166"/>
        <v>9.6908882489255248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213.00000000000003</v>
      </c>
      <c r="BE195" s="13">
        <f>BD195*VLOOKUP('Données projet'!$B$11,Paramètres!$A$1:$I$89,3,0)*VLOOKUP('Données projet'!$B$11,Paramètres!$A$1:$I$89,5,0)</f>
        <v>169.46280000000002</v>
      </c>
      <c r="BF195" s="13">
        <f t="shared" si="167"/>
        <v>42.969686502194378</v>
      </c>
      <c r="BG195" s="20">
        <f t="shared" si="168"/>
        <v>369.98658065798855</v>
      </c>
      <c r="BH195" s="59">
        <f t="shared" si="116"/>
        <v>663.31991399132187</v>
      </c>
      <c r="BI195" s="59">
        <f ca="1">AVERAGE(OFFSET($BH$3,0,0,'Données projet'!$E$11+1,1))-AVERAGE(OFFSET($H$3,0,0,'Données projet'!$E$11+1,1))</f>
        <v>167.80254365106839</v>
      </c>
      <c r="BJ195" s="59">
        <f t="shared" si="146"/>
        <v>167.42302164950172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3.6475335834159974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3.6475335834159974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669.99999999999989</v>
      </c>
      <c r="BZ195" s="13">
        <f>BY195*VLOOKUP('Données projet'!$B$12,Paramètres!$A$1:$I$89,3,0)*VLOOKUP('Données projet'!$B$12,Paramètres!$A$1:$I$89,5,0)</f>
        <v>330.97999999999996</v>
      </c>
      <c r="CA195" s="13">
        <f t="shared" si="170"/>
        <v>77.633451096966454</v>
      </c>
      <c r="CB195" s="20">
        <f t="shared" si="171"/>
        <v>711.66842732721636</v>
      </c>
      <c r="CC195" s="59">
        <f t="shared" si="119"/>
        <v>1005.0017606605497</v>
      </c>
      <c r="CD195" s="59">
        <f ca="1">AVERAGE(OFFSET($CC$3,0,0,'Données projet'!$E$12+1,1))-AVERAGE(OFFSET($H$3,0,0,'Données projet'!$E$12+1,1))</f>
        <v>322.06606384496587</v>
      </c>
      <c r="CE195" s="59">
        <f t="shared" si="148"/>
        <v>267.71713177624713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12.659606076999099</v>
      </c>
      <c r="CL195" s="21">
        <f>EXP(-LN(2)/25)*CL194+(1-EXP(-LN(2)/25))/(LN(2)/25)*Calculateur!CG195*Calculateur!CI195*VLOOKUP('Données projet'!$B$12,Paramètres!$A$1:$I$89,3,0)*0.475*44/12</f>
        <v>0.22522587966329774</v>
      </c>
      <c r="CM195" s="21">
        <f>EXP(-LN(2)/2)*CM194+(1-EXP(-LN(2)/2))/(LN(2)/2)*CG195*CJ195*VLOOKUP('Données projet'!$B$12,Paramètres!$A$1:$I$89,3,0)*0.475*44/12</f>
        <v>1.6357534370595942E-24</v>
      </c>
      <c r="CN195" s="22">
        <f t="shared" si="172"/>
        <v>12.884831956662396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401</v>
      </c>
      <c r="CU195" s="17">
        <f>CT195*VLOOKUP('Données projet'!$B$13,Paramètres!$A$1:$I$89,3,0)*VLOOKUP('Données projet'!$B$13,Paramètres!$A$1:$I$89,5,0)</f>
        <v>250.22399999999999</v>
      </c>
      <c r="CV195" s="13">
        <f t="shared" si="173"/>
        <v>60.633904580527918</v>
      </c>
      <c r="CW195" s="20">
        <f t="shared" si="174"/>
        <v>541.41085047775289</v>
      </c>
      <c r="CX195" s="59">
        <f t="shared" si="122"/>
        <v>834.74418381108626</v>
      </c>
      <c r="CY195" s="59">
        <f ca="1">AVERAGE(OFFSET($CX$3,0,0,'Données projet'!$E$13+1,1))-AVERAGE(OFFSET($H$3,0,0,'Données projet'!$E$13+1,1))</f>
        <v>269.77739619445515</v>
      </c>
      <c r="CZ195" s="59">
        <f t="shared" si="150"/>
        <v>347.56964743629885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5.6078048052348155</v>
      </c>
      <c r="DG195" s="21">
        <f>EXP(-LN(2)/25)*DG194+(1-EXP(-LN(2)/25))/(LN(2)/25)*Calculateur!DB195*Calculateur!DD195*VLOOKUP('Données projet'!$B$13,Paramètres!$A$1:$I$89,3,0)*0.475*44/12</f>
        <v>1.0277671689643262</v>
      </c>
      <c r="DH195" s="21">
        <f>EXP(-LN(2)/2)*DH194+(1-EXP(-LN(2)/2))/(LN(2)/2)*DB195*DE195*VLOOKUP('Données projet'!$B$13,Paramètres!$A$1:$I$89,3,0)*0.475*44/12</f>
        <v>1.0272899140703524E-26</v>
      </c>
      <c r="DI195" s="22">
        <f t="shared" si="175"/>
        <v>6.6355719741991415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669.99999999999989</v>
      </c>
      <c r="DP195" s="17">
        <f>DO195*VLOOKUP('Données projet'!$B$14,Paramètres!$A$1:$I$89,3,0)*VLOOKUP('Données projet'!$B$14,Paramètres!$A$1:$I$89,5,0)</f>
        <v>322.26999999999992</v>
      </c>
      <c r="DQ195" s="13">
        <f t="shared" si="176"/>
        <v>75.825476822885776</v>
      </c>
      <c r="DR195" s="20">
        <f t="shared" si="177"/>
        <v>693.34962213319261</v>
      </c>
      <c r="DS195" s="59">
        <f t="shared" si="125"/>
        <v>986.68295546652598</v>
      </c>
      <c r="DT195" s="59">
        <f ca="1">AVERAGE(OFFSET($DS$3,0,0,'Données projet'!$E$14+1,1))-AVERAGE(OFFSET($H$3,0,0,'Données projet'!$E$14+1,1))</f>
        <v>312.64506496298173</v>
      </c>
      <c r="DU195" s="59">
        <f t="shared" si="152"/>
        <v>259.97532509897508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12.326458548657026</v>
      </c>
      <c r="EB195" s="21">
        <f>EXP(-LN(2)/25)*EB194+(1-EXP(-LN(2)/25))/(LN(2)/25)*Calculateur!DW195*Calculateur!DY195*VLOOKUP('Données projet'!$B$14,Paramètres!$A$1:$I$89,3,0)*0.475*44/12</f>
        <v>0.21929888283005364</v>
      </c>
      <c r="EC195" s="21">
        <f>EXP(-LN(2)/2)*EC194+(1-EXP(-LN(2)/2))/(LN(2)/2)*DW195*DZ195*VLOOKUP('Données projet'!$B$14,Paramètres!$A$1:$I$89,3,0)*0.475*44/12</f>
        <v>1.5927072939790571E-24</v>
      </c>
      <c r="ED195" s="22">
        <f t="shared" si="178"/>
        <v>12.545757431487079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267</v>
      </c>
      <c r="EK195" s="17">
        <f>EJ195*VLOOKUP('Données projet'!$B$15,Paramètres!$A$1:$I$89,3,0)*VLOOKUP('Données projet'!$B$15,Paramètres!$A$1:$I$89,5,0)</f>
        <v>241.58159999999998</v>
      </c>
      <c r="EL195" s="13">
        <f t="shared" si="179"/>
        <v>58.779689232021951</v>
      </c>
      <c r="EM195" s="20">
        <f t="shared" si="180"/>
        <v>523.12924541243819</v>
      </c>
      <c r="EN195" s="59">
        <f t="shared" si="128"/>
        <v>816.46257874577145</v>
      </c>
      <c r="EO195" s="59">
        <f ca="1">AVERAGE(OFFSET($EN$3,0,0,'Données projet'!$E$15+1,1))-AVERAGE(OFFSET($H$3,0,0,'Données projet'!$E$15+1,1))</f>
        <v>269.64423257646359</v>
      </c>
      <c r="EP195" s="59">
        <f t="shared" si="154"/>
        <v>161.0819079811821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16.45045737805297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16.45045737805297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349.00000000000017</v>
      </c>
      <c r="FF195" s="17">
        <f>FE195*VLOOKUP('Données projet'!$B$16,Paramètres!$A$1:$I$89,3,0)*VLOOKUP('Données projet'!$B$16,Paramètres!$A$1:$I$89,5,0)</f>
        <v>272.22000000000014</v>
      </c>
      <c r="FG195" s="13">
        <f t="shared" si="182"/>
        <v>65.320184547527205</v>
      </c>
      <c r="FH195" s="20">
        <f t="shared" si="183"/>
        <v>587.88248808694345</v>
      </c>
      <c r="FI195" s="59">
        <f t="shared" si="131"/>
        <v>881.21582142027682</v>
      </c>
      <c r="FJ195" s="59">
        <f ca="1">AVERAGE(OFFSET($FI$3,0,0,'Données projet'!$E$16+1,1))-AVERAGE(OFFSET($H$3,0,0,'Données projet'!$E$16+1,1))</f>
        <v>283.77864672734273</v>
      </c>
      <c r="FK195" s="59">
        <f t="shared" si="156"/>
        <v>270.94620935643866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7.7369510171098419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7.7369510171098419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319</v>
      </c>
      <c r="GA195" s="17">
        <f>FZ195*VLOOKUP('Données projet'!$B$17,Paramètres!$A$1:$I$89,3,0)*VLOOKUP('Données projet'!$B$17,Paramètres!$A$1:$I$89,5,0)</f>
        <v>308.53680000000003</v>
      </c>
      <c r="GB195" s="13">
        <f t="shared" si="185"/>
        <v>72.963171684496103</v>
      </c>
      <c r="GC195" s="20">
        <f t="shared" si="186"/>
        <v>664.4457840171641</v>
      </c>
      <c r="GD195" s="59">
        <f t="shared" si="134"/>
        <v>957.77911735049747</v>
      </c>
      <c r="GE195" s="59">
        <f ca="1">AVERAGE(OFFSET($GD$3,0,0,'Données projet'!$E$17+1,1))-AVERAGE(OFFSET($H$3,0,0,'Données projet'!$E$17+1,1))</f>
        <v>347.54503437087288</v>
      </c>
      <c r="GF195" s="59">
        <f t="shared" si="158"/>
        <v>340.05673244455954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5.7065073154950516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5.7065073154950516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735.00000000000011</v>
      </c>
      <c r="O196" s="13">
        <f>N196*VLOOKUP('Données projet'!$B$9,Paramètres!$A$1:$I$89,3,0)*VLOOKUP('Données projet'!$B$9,Paramètres!$A$1:$I$89,5,0)</f>
        <v>343.98</v>
      </c>
      <c r="P196" s="13">
        <f t="shared" si="141"/>
        <v>80.321681832084693</v>
      </c>
      <c r="Q196" s="20">
        <f t="shared" si="162"/>
        <v>738.9920958575475</v>
      </c>
      <c r="R196" s="59">
        <f t="shared" si="191"/>
        <v>1032.3254291908809</v>
      </c>
      <c r="S196" s="59">
        <f ca="1">AVERAGE(OFFSET($R$3,0,0,'Données projet'!$E$9+1,1))-AVERAGE(OFFSET($H$3,0,0,'Données projet'!$E$9+1,1))</f>
        <v>342.49944586217674</v>
      </c>
      <c r="T196" s="59">
        <f t="shared" si="142"/>
        <v>282.29766600872563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12.582787653202265</v>
      </c>
      <c r="AA196" s="21">
        <f>EXP(-LN(2)/25)*AA195+(1-EXP(-LN(2)/25))/(LN(2)/25)*Calculateur!V196*Calculateur!X196*VLOOKUP('Données projet'!$B$9,Paramètres!$A$1:$I$89,3,0)*0.475*44/12</f>
        <v>0.43673497291263919</v>
      </c>
      <c r="AB196" s="21">
        <f>EXP(-LN(2)/2)*AB195+(1-EXP(-LN(2)/2))/(LN(2)/2)*V196*Y196*VLOOKUP('Données projet'!$B$9,Paramètres!$A$1:$I$89,3,0)*0.475*44/12</f>
        <v>2.4213455482789749E-26</v>
      </c>
      <c r="AC196" s="22">
        <f t="shared" si="163"/>
        <v>13.019522626114904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739.99999999999966</v>
      </c>
      <c r="AJ196" s="13">
        <f>AI196*VLOOKUP('Données projet'!$B$10,Paramètres!$A$1:$I$89,3,0)*VLOOKUP('Données projet'!$B$10,Paramètres!$A$1:$I$89,5,0)</f>
        <v>413.65999999999985</v>
      </c>
      <c r="AK196" s="13">
        <f t="shared" si="164"/>
        <v>94.540585122244352</v>
      </c>
      <c r="AL196" s="20">
        <f t="shared" si="165"/>
        <v>885.11601908790863</v>
      </c>
      <c r="AM196" s="59">
        <f t="shared" ref="AM196:AM203" si="193">AL196+(AD196+AE196)*44/12</f>
        <v>1178.4493524212419</v>
      </c>
      <c r="AN196" s="59">
        <f ca="1">AVERAGE(OFFSET($AM$3,0,0,'Données projet'!$E$10+1,1))-AVERAGE(OFFSET($H$3,0,0,'Données projet'!$E$10+1,1))</f>
        <v>490.96084572840579</v>
      </c>
      <c r="AO196" s="59">
        <f t="shared" si="144"/>
        <v>597.91658789908263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8.86623440106308</v>
      </c>
      <c r="AV196" s="21">
        <f>EXP(-LN(2)/25)*AV195+(1-EXP(-LN(2)/25))/(LN(2)/25)*Calculateur!AQ196*Calculateur!AS196*VLOOKUP('Données projet'!$B$10,Paramètres!$A$1:$I$89,3,0)*0.475*44/12</f>
        <v>0.62961403061854304</v>
      </c>
      <c r="AW196" s="21">
        <f>EXP(-LN(2)/2)*AW195+(1-EXP(-LN(2)/2))/(LN(2)/2)*AQ196*AT196*VLOOKUP('Données projet'!$B$10,Paramètres!$A$1:$I$89,3,0)*0.475*44/12</f>
        <v>2.4872599548710129E-25</v>
      </c>
      <c r="AX196" s="21">
        <f t="shared" si="166"/>
        <v>9.4958484316816225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213.00000000000003</v>
      </c>
      <c r="BE196" s="13">
        <f>BD196*VLOOKUP('Données projet'!$B$11,Paramètres!$A$1:$I$89,3,0)*VLOOKUP('Données projet'!$B$11,Paramètres!$A$1:$I$89,5,0)</f>
        <v>169.46280000000002</v>
      </c>
      <c r="BF196" s="13">
        <f t="shared" si="167"/>
        <v>42.969686502194378</v>
      </c>
      <c r="BG196" s="20">
        <f t="shared" si="168"/>
        <v>369.98658065798855</v>
      </c>
      <c r="BH196" s="59">
        <f t="shared" ref="BH196:BH203" si="194">BG196+(AY196+AZ196)*44/12</f>
        <v>663.31991399132187</v>
      </c>
      <c r="BI196" s="59">
        <f ca="1">AVERAGE(OFFSET($BH$3,0,0,'Données projet'!$E$11+1,1))-AVERAGE(OFFSET($H$3,0,0,'Données projet'!$E$11+1,1))</f>
        <v>167.80254365106839</v>
      </c>
      <c r="BJ196" s="59">
        <f t="shared" si="146"/>
        <v>167.42302164950172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3.5760076746210174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3.5760076746210174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669.99999999999989</v>
      </c>
      <c r="BZ196" s="13">
        <f>BY196*VLOOKUP('Données projet'!$B$12,Paramètres!$A$1:$I$89,3,0)*VLOOKUP('Données projet'!$B$12,Paramètres!$A$1:$I$89,5,0)</f>
        <v>330.97999999999996</v>
      </c>
      <c r="CA196" s="13">
        <f t="shared" si="170"/>
        <v>77.633451096966454</v>
      </c>
      <c r="CB196" s="20">
        <f t="shared" si="171"/>
        <v>711.66842732721636</v>
      </c>
      <c r="CC196" s="59">
        <f t="shared" ref="CC196:CC203" si="195">CB196+(BT196+BU196)*44/12</f>
        <v>1005.0017606605497</v>
      </c>
      <c r="CD196" s="59">
        <f ca="1">AVERAGE(OFFSET($CC$3,0,0,'Données projet'!$E$12+1,1))-AVERAGE(OFFSET($H$3,0,0,'Données projet'!$E$12+1,1))</f>
        <v>322.06606384496587</v>
      </c>
      <c r="CE196" s="59">
        <f t="shared" si="148"/>
        <v>267.71713177624713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12.411358923426409</v>
      </c>
      <c r="CL196" s="21">
        <f>EXP(-LN(2)/25)*CL195+(1-EXP(-LN(2)/25))/(LN(2)/25)*Calculateur!CG196*Calculateur!CI196*VLOOKUP('Données projet'!$B$12,Paramètres!$A$1:$I$89,3,0)*0.475*44/12</f>
        <v>0.2190670661397906</v>
      </c>
      <c r="CM196" s="21">
        <f>EXP(-LN(2)/2)*CM195+(1-EXP(-LN(2)/2))/(LN(2)/2)*CG196*CJ196*VLOOKUP('Données projet'!$B$12,Paramètres!$A$1:$I$89,3,0)*0.475*44/12</f>
        <v>1.1566523476940416E-24</v>
      </c>
      <c r="CN196" s="22">
        <f t="shared" si="172"/>
        <v>12.6304259895662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401</v>
      </c>
      <c r="CU196" s="17">
        <f>CT196*VLOOKUP('Données projet'!$B$13,Paramètres!$A$1:$I$89,3,0)*VLOOKUP('Données projet'!$B$13,Paramètres!$A$1:$I$89,5,0)</f>
        <v>250.22399999999999</v>
      </c>
      <c r="CV196" s="13">
        <f t="shared" si="173"/>
        <v>60.633904580527918</v>
      </c>
      <c r="CW196" s="20">
        <f t="shared" si="174"/>
        <v>541.41085047775289</v>
      </c>
      <c r="CX196" s="59">
        <f t="shared" ref="CX196:CX203" si="196">CW196+(CO196+CP196)*44/12</f>
        <v>834.74418381108626</v>
      </c>
      <c r="CY196" s="59">
        <f ca="1">AVERAGE(OFFSET($CX$3,0,0,'Données projet'!$E$13+1,1))-AVERAGE(OFFSET($H$3,0,0,'Données projet'!$E$13+1,1))</f>
        <v>269.77739619445515</v>
      </c>
      <c r="CZ196" s="59">
        <f t="shared" si="150"/>
        <v>347.56964743629885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5.4978391734273533</v>
      </c>
      <c r="DG196" s="21">
        <f>EXP(-LN(2)/25)*DG195+(1-EXP(-LN(2)/25))/(LN(2)/25)*Calculateur!DB196*Calculateur!DD196*VLOOKUP('Données projet'!$B$13,Paramètres!$A$1:$I$89,3,0)*0.475*44/12</f>
        <v>0.99966282168107023</v>
      </c>
      <c r="DH196" s="21">
        <f>EXP(-LN(2)/2)*DH195+(1-EXP(-LN(2)/2))/(LN(2)/2)*DB196*DE196*VLOOKUP('Données projet'!$B$13,Paramètres!$A$1:$I$89,3,0)*0.475*44/12</f>
        <v>7.2640366448369185E-27</v>
      </c>
      <c r="DI196" s="22">
        <f t="shared" si="175"/>
        <v>6.4975019951084239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669.99999999999989</v>
      </c>
      <c r="DP196" s="17">
        <f>DO196*VLOOKUP('Données projet'!$B$14,Paramètres!$A$1:$I$89,3,0)*VLOOKUP('Données projet'!$B$14,Paramètres!$A$1:$I$89,5,0)</f>
        <v>322.26999999999992</v>
      </c>
      <c r="DQ196" s="13">
        <f t="shared" si="176"/>
        <v>75.825476822885776</v>
      </c>
      <c r="DR196" s="20">
        <f t="shared" si="177"/>
        <v>693.34962213319261</v>
      </c>
      <c r="DS196" s="59">
        <f t="shared" ref="DS196:DS203" si="197">DR196+(DJ196+DK196)*44/12</f>
        <v>986.68295546652598</v>
      </c>
      <c r="DT196" s="59">
        <f ca="1">AVERAGE(OFFSET($DS$3,0,0,'Données projet'!$E$14+1,1))-AVERAGE(OFFSET($H$3,0,0,'Données projet'!$E$14+1,1))</f>
        <v>312.64506496298173</v>
      </c>
      <c r="DU196" s="59">
        <f t="shared" si="152"/>
        <v>259.97532509897508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12.084744214915197</v>
      </c>
      <c r="EB196" s="21">
        <f>EXP(-LN(2)/25)*EB195+(1-EXP(-LN(2)/25))/(LN(2)/25)*Calculateur!DW196*Calculateur!DY196*VLOOKUP('Données projet'!$B$14,Paramètres!$A$1:$I$89,3,0)*0.475*44/12</f>
        <v>0.2133021433466388</v>
      </c>
      <c r="EC196" s="21">
        <f>EXP(-LN(2)/2)*EC195+(1-EXP(-LN(2)/2))/(LN(2)/2)*DW196*DZ196*VLOOKUP('Données projet'!$B$14,Paramètres!$A$1:$I$89,3,0)*0.475*44/12</f>
        <v>1.1262141280178673E-24</v>
      </c>
      <c r="ED196" s="22">
        <f t="shared" si="178"/>
        <v>12.298046358261836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267</v>
      </c>
      <c r="EK196" s="17">
        <f>EJ196*VLOOKUP('Données projet'!$B$15,Paramètres!$A$1:$I$89,3,0)*VLOOKUP('Données projet'!$B$15,Paramètres!$A$1:$I$89,5,0)</f>
        <v>241.58159999999998</v>
      </c>
      <c r="EL196" s="13">
        <f t="shared" si="179"/>
        <v>58.779689232021951</v>
      </c>
      <c r="EM196" s="20">
        <f t="shared" si="180"/>
        <v>523.12924541243819</v>
      </c>
      <c r="EN196" s="59">
        <f t="shared" ref="EN196:EN203" si="198">EM196+(EE196+EF196)*44/12</f>
        <v>816.46257874577145</v>
      </c>
      <c r="EO196" s="59">
        <f ca="1">AVERAGE(OFFSET($EN$3,0,0,'Données projet'!$E$15+1,1))-AVERAGE(OFFSET($H$3,0,0,'Données projet'!$E$15+1,1))</f>
        <v>269.64423257646359</v>
      </c>
      <c r="EP196" s="59">
        <f t="shared" si="154"/>
        <v>161.0819079811821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16.127873942657597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16.127873942657597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349.00000000000017</v>
      </c>
      <c r="FF196" s="17">
        <f>FE196*VLOOKUP('Données projet'!$B$16,Paramètres!$A$1:$I$89,3,0)*VLOOKUP('Données projet'!$B$16,Paramètres!$A$1:$I$89,5,0)</f>
        <v>272.22000000000014</v>
      </c>
      <c r="FG196" s="13">
        <f t="shared" si="182"/>
        <v>65.320184547527205</v>
      </c>
      <c r="FH196" s="20">
        <f t="shared" si="183"/>
        <v>587.88248808694345</v>
      </c>
      <c r="FI196" s="59">
        <f t="shared" ref="FI196:FI203" si="199">FH196+(EZ196+FA196)*44/12</f>
        <v>881.21582142027682</v>
      </c>
      <c r="FJ196" s="59">
        <f ca="1">AVERAGE(OFFSET($FI$3,0,0,'Données projet'!$E$16+1,1))-AVERAGE(OFFSET($H$3,0,0,'Données projet'!$E$16+1,1))</f>
        <v>283.77864672734273</v>
      </c>
      <c r="FK196" s="59">
        <f t="shared" si="156"/>
        <v>270.94620935643866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7.5852341267384684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7.5852341267384684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319</v>
      </c>
      <c r="GA196" s="17">
        <f>FZ196*VLOOKUP('Données projet'!$B$17,Paramètres!$A$1:$I$89,3,0)*VLOOKUP('Données projet'!$B$17,Paramètres!$A$1:$I$89,5,0)</f>
        <v>308.53680000000003</v>
      </c>
      <c r="GB196" s="13">
        <f t="shared" si="185"/>
        <v>72.963171684496103</v>
      </c>
      <c r="GC196" s="20">
        <f t="shared" si="186"/>
        <v>664.4457840171641</v>
      </c>
      <c r="GD196" s="59">
        <f t="shared" ref="GD196:GD203" si="200">GC196+(FU196+FV196)*44/12</f>
        <v>957.77911735049747</v>
      </c>
      <c r="GE196" s="59">
        <f ca="1">AVERAGE(OFFSET($GD$3,0,0,'Données projet'!$E$17+1,1))-AVERAGE(OFFSET($H$3,0,0,'Données projet'!$E$17+1,1))</f>
        <v>347.54503437087288</v>
      </c>
      <c r="GF196" s="59">
        <f t="shared" si="158"/>
        <v>340.05673244455954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5.594606187663973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5.594606187663973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735.00000000000011</v>
      </c>
      <c r="O197" s="13">
        <f>N197*VLOOKUP('Données projet'!$B$9,Paramètres!$A$1:$I$89,3,0)*VLOOKUP('Données projet'!$B$9,Paramètres!$A$1:$I$89,5,0)</f>
        <v>343.98</v>
      </c>
      <c r="P197" s="13">
        <f t="shared" ref="P197:P203" si="203">EXP(-1.0587+0.8836*LN(O197)+0.284)</f>
        <v>80.321681832084693</v>
      </c>
      <c r="Q197" s="20">
        <f t="shared" si="162"/>
        <v>738.9920958575475</v>
      </c>
      <c r="R197" s="59">
        <f t="shared" si="191"/>
        <v>1032.3254291908809</v>
      </c>
      <c r="S197" s="59">
        <f ca="1">AVERAGE(OFFSET($R$3,0,0,'Données projet'!$E$9+1,1))-AVERAGE(OFFSET($H$3,0,0,'Données projet'!$E$9+1,1))</f>
        <v>342.49944586217674</v>
      </c>
      <c r="T197" s="59">
        <f t="shared" ref="T197:T203" si="204">$T$3</f>
        <v>282.29766600872563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12.33604686206562</v>
      </c>
      <c r="AA197" s="21">
        <f>EXP(-LN(2)/25)*AA196+(1-EXP(-LN(2)/25))/(LN(2)/25)*Calculateur!V197*Calculateur!X197*VLOOKUP('Données projet'!$B$9,Paramètres!$A$1:$I$89,3,0)*0.475*44/12</f>
        <v>0.42479243211144901</v>
      </c>
      <c r="AB197" s="21">
        <f>EXP(-LN(2)/2)*AB196+(1-EXP(-LN(2)/2))/(LN(2)/2)*V197*Y197*VLOOKUP('Données projet'!$B$9,Paramètres!$A$1:$I$89,3,0)*0.475*44/12</f>
        <v>1.7121498567839221E-26</v>
      </c>
      <c r="AC197" s="22">
        <f t="shared" si="163"/>
        <v>12.760839294177069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739.99999999999966</v>
      </c>
      <c r="AJ197" s="13">
        <f>AI197*VLOOKUP('Données projet'!$B$10,Paramètres!$A$1:$I$89,3,0)*VLOOKUP('Données projet'!$B$10,Paramètres!$A$1:$I$89,5,0)</f>
        <v>413.65999999999985</v>
      </c>
      <c r="AK197" s="13">
        <f t="shared" si="164"/>
        <v>94.540585122244352</v>
      </c>
      <c r="AL197" s="20">
        <f t="shared" si="165"/>
        <v>885.11601908790863</v>
      </c>
      <c r="AM197" s="59">
        <f t="shared" si="193"/>
        <v>1178.4493524212419</v>
      </c>
      <c r="AN197" s="59">
        <f ca="1">AVERAGE(OFFSET($AM$3,0,0,'Données projet'!$E$10+1,1))-AVERAGE(OFFSET($H$3,0,0,'Données projet'!$E$10+1,1))</f>
        <v>490.96084572840579</v>
      </c>
      <c r="AO197" s="59">
        <f t="shared" ref="AO197:AO203" si="205">$AO$3</f>
        <v>597.91658789908263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8.6923729523272346</v>
      </c>
      <c r="AV197" s="21">
        <f>EXP(-LN(2)/25)*AV196+(1-EXP(-LN(2)/25))/(LN(2)/25)*Calculateur!AQ197*Calculateur!AS197*VLOOKUP('Données projet'!$B$10,Paramètres!$A$1:$I$89,3,0)*0.475*44/12</f>
        <v>0.61239720184131607</v>
      </c>
      <c r="AW197" s="21">
        <f>EXP(-LN(2)/2)*AW196+(1-EXP(-LN(2)/2))/(LN(2)/2)*AQ197*AT197*VLOOKUP('Données projet'!$B$10,Paramètres!$A$1:$I$89,3,0)*0.475*44/12</f>
        <v>1.7587583806630394E-25</v>
      </c>
      <c r="AX197" s="21">
        <f t="shared" si="166"/>
        <v>9.3047701541685512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213.00000000000003</v>
      </c>
      <c r="BE197" s="13">
        <f>BD197*VLOOKUP('Données projet'!$B$11,Paramètres!$A$1:$I$89,3,0)*VLOOKUP('Données projet'!$B$11,Paramètres!$A$1:$I$89,5,0)</f>
        <v>169.46280000000002</v>
      </c>
      <c r="BF197" s="13">
        <f t="shared" si="167"/>
        <v>42.969686502194378</v>
      </c>
      <c r="BG197" s="20">
        <f t="shared" si="168"/>
        <v>369.98658065798855</v>
      </c>
      <c r="BH197" s="59">
        <f t="shared" si="194"/>
        <v>663.31991399132187</v>
      </c>
      <c r="BI197" s="59">
        <f ca="1">AVERAGE(OFFSET($BH$3,0,0,'Données projet'!$E$11+1,1))-AVERAGE(OFFSET($H$3,0,0,'Données projet'!$E$11+1,1))</f>
        <v>167.80254365106839</v>
      </c>
      <c r="BJ197" s="59">
        <f t="shared" ref="BJ197:BJ203" si="206">$BJ$3</f>
        <v>167.42302164950172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3.50588434527101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3.50588434527101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669.99999999999989</v>
      </c>
      <c r="BZ197" s="13">
        <f>BY197*VLOOKUP('Données projet'!$B$12,Paramètres!$A$1:$I$89,3,0)*VLOOKUP('Données projet'!$B$12,Paramètres!$A$1:$I$89,5,0)</f>
        <v>330.97999999999996</v>
      </c>
      <c r="CA197" s="13">
        <f t="shared" si="170"/>
        <v>77.633451096966454</v>
      </c>
      <c r="CB197" s="20">
        <f t="shared" si="171"/>
        <v>711.66842732721636</v>
      </c>
      <c r="CC197" s="59">
        <f t="shared" si="195"/>
        <v>1005.0017606605497</v>
      </c>
      <c r="CD197" s="59">
        <f ca="1">AVERAGE(OFFSET($CC$3,0,0,'Données projet'!$E$12+1,1))-AVERAGE(OFFSET($H$3,0,0,'Données projet'!$E$12+1,1))</f>
        <v>322.06606384496587</v>
      </c>
      <c r="CE197" s="59">
        <f t="shared" ref="CE197:CE203" si="207">$CE$3</f>
        <v>267.71713177624713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12.167979745119467</v>
      </c>
      <c r="CL197" s="21">
        <f>EXP(-LN(2)/25)*CL196+(1-EXP(-LN(2)/25))/(LN(2)/25)*Calculateur!CG197*Calculateur!CI197*VLOOKUP('Données projet'!$B$12,Paramètres!$A$1:$I$89,3,0)*0.475*44/12</f>
        <v>0.2130766656959617</v>
      </c>
      <c r="CM197" s="21">
        <f>EXP(-LN(2)/2)*CM196+(1-EXP(-LN(2)/2))/(LN(2)/2)*CG197*CJ197*VLOOKUP('Données projet'!$B$12,Paramètres!$A$1:$I$89,3,0)*0.475*44/12</f>
        <v>8.178767185297972E-25</v>
      </c>
      <c r="CN197" s="22">
        <f t="shared" si="172"/>
        <v>12.381056410815429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401</v>
      </c>
      <c r="CU197" s="17">
        <f>CT197*VLOOKUP('Données projet'!$B$13,Paramètres!$A$1:$I$89,3,0)*VLOOKUP('Données projet'!$B$13,Paramètres!$A$1:$I$89,5,0)</f>
        <v>250.22399999999999</v>
      </c>
      <c r="CV197" s="13">
        <f t="shared" si="173"/>
        <v>60.633904580527918</v>
      </c>
      <c r="CW197" s="20">
        <f t="shared" si="174"/>
        <v>541.41085047775289</v>
      </c>
      <c r="CX197" s="59">
        <f t="shared" si="196"/>
        <v>834.74418381108626</v>
      </c>
      <c r="CY197" s="59">
        <f ca="1">AVERAGE(OFFSET($CX$3,0,0,'Données projet'!$E$13+1,1))-AVERAGE(OFFSET($H$3,0,0,'Données projet'!$E$13+1,1))</f>
        <v>269.77739619445515</v>
      </c>
      <c r="CZ197" s="59">
        <f t="shared" ref="CZ197:CZ203" si="208">$CZ$3</f>
        <v>347.56964743629885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5.3900299005872228</v>
      </c>
      <c r="DG197" s="21">
        <f>EXP(-LN(2)/25)*DG196+(1-EXP(-LN(2)/25))/(LN(2)/25)*Calculateur!DB197*Calculateur!DD197*VLOOKUP('Données projet'!$B$13,Paramètres!$A$1:$I$89,3,0)*0.475*44/12</f>
        <v>0.97232698925221839</v>
      </c>
      <c r="DH197" s="21">
        <f>EXP(-LN(2)/2)*DH196+(1-EXP(-LN(2)/2))/(LN(2)/2)*DB197*DE197*VLOOKUP('Données projet'!$B$13,Paramètres!$A$1:$I$89,3,0)*0.475*44/12</f>
        <v>5.1364495703517619E-27</v>
      </c>
      <c r="DI197" s="22">
        <f t="shared" si="175"/>
        <v>6.3623568898394414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669.99999999999989</v>
      </c>
      <c r="DP197" s="17">
        <f>DO197*VLOOKUP('Données projet'!$B$14,Paramètres!$A$1:$I$89,3,0)*VLOOKUP('Données projet'!$B$14,Paramètres!$A$1:$I$89,5,0)</f>
        <v>322.26999999999992</v>
      </c>
      <c r="DQ197" s="13">
        <f t="shared" si="176"/>
        <v>75.825476822885776</v>
      </c>
      <c r="DR197" s="20">
        <f t="shared" si="177"/>
        <v>693.34962213319261</v>
      </c>
      <c r="DS197" s="59">
        <f t="shared" si="197"/>
        <v>986.68295546652598</v>
      </c>
      <c r="DT197" s="59">
        <f ca="1">AVERAGE(OFFSET($DS$3,0,0,'Données projet'!$E$14+1,1))-AVERAGE(OFFSET($H$3,0,0,'Données projet'!$E$14+1,1))</f>
        <v>312.64506496298173</v>
      </c>
      <c r="DU197" s="59">
        <f t="shared" ref="DU197:DU203" si="209">$DU$3</f>
        <v>259.97532509897508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11.847769751826858</v>
      </c>
      <c r="EB197" s="21">
        <f>EXP(-LN(2)/25)*EB196+(1-EXP(-LN(2)/25))/(LN(2)/25)*Calculateur!DW197*Calculateur!DY197*VLOOKUP('Données projet'!$B$14,Paramètres!$A$1:$I$89,3,0)*0.475*44/12</f>
        <v>0.20746938501975276</v>
      </c>
      <c r="EC197" s="21">
        <f>EXP(-LN(2)/2)*EC196+(1-EXP(-LN(2)/2))/(LN(2)/2)*DW197*DZ197*VLOOKUP('Données projet'!$B$14,Paramètres!$A$1:$I$89,3,0)*0.475*44/12</f>
        <v>7.9635364698952853E-25</v>
      </c>
      <c r="ED197" s="22">
        <f t="shared" si="178"/>
        <v>12.055239136846611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267</v>
      </c>
      <c r="EK197" s="17">
        <f>EJ197*VLOOKUP('Données projet'!$B$15,Paramètres!$A$1:$I$89,3,0)*VLOOKUP('Données projet'!$B$15,Paramètres!$A$1:$I$89,5,0)</f>
        <v>241.58159999999998</v>
      </c>
      <c r="EL197" s="13">
        <f t="shared" si="179"/>
        <v>58.779689232021951</v>
      </c>
      <c r="EM197" s="20">
        <f t="shared" si="180"/>
        <v>523.12924541243819</v>
      </c>
      <c r="EN197" s="59">
        <f t="shared" si="198"/>
        <v>816.46257874577145</v>
      </c>
      <c r="EO197" s="59">
        <f ca="1">AVERAGE(OFFSET($EN$3,0,0,'Données projet'!$E$15+1,1))-AVERAGE(OFFSET($H$3,0,0,'Données projet'!$E$15+1,1))</f>
        <v>269.64423257646359</v>
      </c>
      <c r="EP197" s="59">
        <f t="shared" ref="EP197:EP203" si="210">$EP$3</f>
        <v>161.0819079811821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15.81161617167386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15.81161617167386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349.00000000000017</v>
      </c>
      <c r="FF197" s="17">
        <f>FE197*VLOOKUP('Données projet'!$B$16,Paramètres!$A$1:$I$89,3,0)*VLOOKUP('Données projet'!$B$16,Paramètres!$A$1:$I$89,5,0)</f>
        <v>272.22000000000014</v>
      </c>
      <c r="FG197" s="13">
        <f t="shared" si="182"/>
        <v>65.320184547527205</v>
      </c>
      <c r="FH197" s="20">
        <f t="shared" si="183"/>
        <v>587.88248808694345</v>
      </c>
      <c r="FI197" s="59">
        <f t="shared" si="199"/>
        <v>881.21582142027682</v>
      </c>
      <c r="FJ197" s="59">
        <f ca="1">AVERAGE(OFFSET($FI$3,0,0,'Données projet'!$E$16+1,1))-AVERAGE(OFFSET($H$3,0,0,'Données projet'!$E$16+1,1))</f>
        <v>283.77864672734273</v>
      </c>
      <c r="FK197" s="59">
        <f t="shared" ref="FK197:FK203" si="211">$FK$3</f>
        <v>270.94620935643866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7.4364923120491122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7.4364923120491122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319</v>
      </c>
      <c r="GA197" s="17">
        <f>FZ197*VLOOKUP('Données projet'!$B$17,Paramètres!$A$1:$I$89,3,0)*VLOOKUP('Données projet'!$B$17,Paramètres!$A$1:$I$89,5,0)</f>
        <v>308.53680000000003</v>
      </c>
      <c r="GB197" s="13">
        <f t="shared" si="185"/>
        <v>72.963171684496103</v>
      </c>
      <c r="GC197" s="20">
        <f t="shared" si="186"/>
        <v>664.4457840171641</v>
      </c>
      <c r="GD197" s="59">
        <f t="shared" si="200"/>
        <v>957.77911735049747</v>
      </c>
      <c r="GE197" s="59">
        <f ca="1">AVERAGE(OFFSET($GD$3,0,0,'Données projet'!$E$17+1,1))-AVERAGE(OFFSET($H$3,0,0,'Données projet'!$E$17+1,1))</f>
        <v>347.54503437087288</v>
      </c>
      <c r="GF197" s="59">
        <f t="shared" ref="GF197:GF203" si="212">$GF$3</f>
        <v>340.05673244455954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5.484899372696713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5.484899372696713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735.00000000000011</v>
      </c>
      <c r="O198" s="13">
        <f>N198*VLOOKUP('Données projet'!$B$9,Paramètres!$A$1:$I$89,3,0)*VLOOKUP('Données projet'!$B$9,Paramètres!$A$1:$I$89,5,0)</f>
        <v>343.98</v>
      </c>
      <c r="P198" s="13">
        <f t="shared" si="203"/>
        <v>80.321681832084693</v>
      </c>
      <c r="Q198" s="20">
        <f t="shared" si="162"/>
        <v>738.9920958575475</v>
      </c>
      <c r="R198" s="59">
        <f t="shared" si="191"/>
        <v>1032.3254291908809</v>
      </c>
      <c r="S198" s="59">
        <f ca="1">AVERAGE(OFFSET($R$3,0,0,'Données projet'!$E$9+1,1))-AVERAGE(OFFSET($H$3,0,0,'Données projet'!$E$9+1,1))</f>
        <v>342.49944586217674</v>
      </c>
      <c r="T198" s="59">
        <f t="shared" si="204"/>
        <v>282.29766600872563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12.094144507346142</v>
      </c>
      <c r="AA198" s="21">
        <f>EXP(-LN(2)/25)*AA197+(1-EXP(-LN(2)/25))/(LN(2)/25)*Calculateur!V198*Calculateur!X198*VLOOKUP('Données projet'!$B$9,Paramètres!$A$1:$I$89,3,0)*0.475*44/12</f>
        <v>0.41317646071649833</v>
      </c>
      <c r="AB198" s="21">
        <f>EXP(-LN(2)/2)*AB197+(1-EXP(-LN(2)/2))/(LN(2)/2)*V198*Y198*VLOOKUP('Données projet'!$B$9,Paramètres!$A$1:$I$89,3,0)*0.475*44/12</f>
        <v>1.2106727741394875E-26</v>
      </c>
      <c r="AC198" s="22">
        <f t="shared" si="163"/>
        <v>12.50732096806264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739.99999999999966</v>
      </c>
      <c r="AJ198" s="13">
        <f>AI198*VLOOKUP('Données projet'!$B$10,Paramètres!$A$1:$I$89,3,0)*VLOOKUP('Données projet'!$B$10,Paramètres!$A$1:$I$89,5,0)</f>
        <v>413.65999999999985</v>
      </c>
      <c r="AK198" s="13">
        <f t="shared" si="164"/>
        <v>94.540585122244352</v>
      </c>
      <c r="AL198" s="20">
        <f t="shared" si="165"/>
        <v>885.11601908790863</v>
      </c>
      <c r="AM198" s="59">
        <f t="shared" si="193"/>
        <v>1178.4493524212419</v>
      </c>
      <c r="AN198" s="59">
        <f ca="1">AVERAGE(OFFSET($AM$3,0,0,'Données projet'!$E$10+1,1))-AVERAGE(OFFSET($H$3,0,0,'Données projet'!$E$10+1,1))</f>
        <v>490.96084572840579</v>
      </c>
      <c r="AO198" s="59">
        <f t="shared" si="205"/>
        <v>597.91658789908263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8.5219208205560868</v>
      </c>
      <c r="AV198" s="21">
        <f>EXP(-LN(2)/25)*AV197+(1-EXP(-LN(2)/25))/(LN(2)/25)*Calculateur!AQ198*Calculateur!AS198*VLOOKUP('Données projet'!$B$10,Paramètres!$A$1:$I$89,3,0)*0.475*44/12</f>
        <v>0.59565116815239605</v>
      </c>
      <c r="AW198" s="21">
        <f>EXP(-LN(2)/2)*AW197+(1-EXP(-LN(2)/2))/(LN(2)/2)*AQ198*AT198*VLOOKUP('Données projet'!$B$10,Paramètres!$A$1:$I$89,3,0)*0.475*44/12</f>
        <v>1.2436299774355064E-25</v>
      </c>
      <c r="AX198" s="21">
        <f t="shared" si="166"/>
        <v>9.1175719887084821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213.00000000000003</v>
      </c>
      <c r="BE198" s="13">
        <f>BD198*VLOOKUP('Données projet'!$B$11,Paramètres!$A$1:$I$89,3,0)*VLOOKUP('Données projet'!$B$11,Paramètres!$A$1:$I$89,5,0)</f>
        <v>169.46280000000002</v>
      </c>
      <c r="BF198" s="13">
        <f t="shared" si="167"/>
        <v>42.969686502194378</v>
      </c>
      <c r="BG198" s="20">
        <f t="shared" si="168"/>
        <v>369.98658065798855</v>
      </c>
      <c r="BH198" s="59">
        <f t="shared" si="194"/>
        <v>663.31991399132187</v>
      </c>
      <c r="BI198" s="59">
        <f ca="1">AVERAGE(OFFSET($BH$3,0,0,'Données projet'!$E$11+1,1))-AVERAGE(OFFSET($H$3,0,0,'Données projet'!$E$11+1,1))</f>
        <v>167.80254365106839</v>
      </c>
      <c r="BJ198" s="59">
        <f t="shared" si="206"/>
        <v>167.42302164950172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3.4371360916385489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3.4371360916385489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669.99999999999989</v>
      </c>
      <c r="BZ198" s="13">
        <f>BY198*VLOOKUP('Données projet'!$B$12,Paramètres!$A$1:$I$89,3,0)*VLOOKUP('Données projet'!$B$12,Paramètres!$A$1:$I$89,5,0)</f>
        <v>330.97999999999996</v>
      </c>
      <c r="CA198" s="13">
        <f t="shared" si="170"/>
        <v>77.633451096966454</v>
      </c>
      <c r="CB198" s="20">
        <f t="shared" si="171"/>
        <v>711.66842732721636</v>
      </c>
      <c r="CC198" s="59">
        <f t="shared" si="195"/>
        <v>1005.0017606605497</v>
      </c>
      <c r="CD198" s="59">
        <f ca="1">AVERAGE(OFFSET($CC$3,0,0,'Données projet'!$E$12+1,1))-AVERAGE(OFFSET($H$3,0,0,'Données projet'!$E$12+1,1))</f>
        <v>322.06606384496587</v>
      </c>
      <c r="CE198" s="59">
        <f t="shared" si="207"/>
        <v>267.71713177624713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11.929373084052484</v>
      </c>
      <c r="CL198" s="21">
        <f>EXP(-LN(2)/25)*CL197+(1-EXP(-LN(2)/25))/(LN(2)/25)*Calculateur!CG198*Calculateur!CI198*VLOOKUP('Données projet'!$B$12,Paramètres!$A$1:$I$89,3,0)*0.475*44/12</f>
        <v>0.20725007306729076</v>
      </c>
      <c r="CM198" s="21">
        <f>EXP(-LN(2)/2)*CM197+(1-EXP(-LN(2)/2))/(LN(2)/2)*CG198*CJ198*VLOOKUP('Données projet'!$B$12,Paramètres!$A$1:$I$89,3,0)*0.475*44/12</f>
        <v>5.7832617384702088E-25</v>
      </c>
      <c r="CN198" s="22">
        <f t="shared" si="172"/>
        <v>12.136623157119775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401</v>
      </c>
      <c r="CU198" s="17">
        <f>CT198*VLOOKUP('Données projet'!$B$13,Paramètres!$A$1:$I$89,3,0)*VLOOKUP('Données projet'!$B$13,Paramètres!$A$1:$I$89,5,0)</f>
        <v>250.22399999999999</v>
      </c>
      <c r="CV198" s="13">
        <f t="shared" si="173"/>
        <v>60.633904580527918</v>
      </c>
      <c r="CW198" s="20">
        <f t="shared" si="174"/>
        <v>541.41085047775289</v>
      </c>
      <c r="CX198" s="59">
        <f t="shared" si="196"/>
        <v>834.74418381108626</v>
      </c>
      <c r="CY198" s="59">
        <f ca="1">AVERAGE(OFFSET($CX$3,0,0,'Données projet'!$E$13+1,1))-AVERAGE(OFFSET($H$3,0,0,'Données projet'!$E$13+1,1))</f>
        <v>269.77739619445515</v>
      </c>
      <c r="CZ198" s="59">
        <f t="shared" si="208"/>
        <v>347.56964743629885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5.2843347018303239</v>
      </c>
      <c r="DG198" s="21">
        <f>EXP(-LN(2)/25)*DG197+(1-EXP(-LN(2)/25))/(LN(2)/25)*Calculateur!DB198*Calculateur!DD198*VLOOKUP('Données projet'!$B$13,Paramètres!$A$1:$I$89,3,0)*0.475*44/12</f>
        <v>0.94573865659866241</v>
      </c>
      <c r="DH198" s="21">
        <f>EXP(-LN(2)/2)*DH197+(1-EXP(-LN(2)/2))/(LN(2)/2)*DB198*DE198*VLOOKUP('Données projet'!$B$13,Paramètres!$A$1:$I$89,3,0)*0.475*44/12</f>
        <v>3.6320183224184593E-27</v>
      </c>
      <c r="DI198" s="22">
        <f t="shared" si="175"/>
        <v>6.230073358428986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669.99999999999989</v>
      </c>
      <c r="DP198" s="17">
        <f>DO198*VLOOKUP('Données projet'!$B$14,Paramètres!$A$1:$I$89,3,0)*VLOOKUP('Données projet'!$B$14,Paramètres!$A$1:$I$89,5,0)</f>
        <v>322.26999999999992</v>
      </c>
      <c r="DQ198" s="13">
        <f t="shared" si="176"/>
        <v>75.825476822885776</v>
      </c>
      <c r="DR198" s="20">
        <f t="shared" si="177"/>
        <v>693.34962213319261</v>
      </c>
      <c r="DS198" s="59">
        <f t="shared" si="197"/>
        <v>986.68295546652598</v>
      </c>
      <c r="DT198" s="59">
        <f ca="1">AVERAGE(OFFSET($DS$3,0,0,'Données projet'!$E$14+1,1))-AVERAGE(OFFSET($H$3,0,0,'Données projet'!$E$14+1,1))</f>
        <v>312.64506496298173</v>
      </c>
      <c r="DU198" s="59">
        <f t="shared" si="209"/>
        <v>259.97532509897508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11.615442213419533</v>
      </c>
      <c r="EB198" s="21">
        <f>EXP(-LN(2)/25)*EB197+(1-EXP(-LN(2)/25))/(LN(2)/25)*Calculateur!DW198*Calculateur!DY198*VLOOKUP('Données projet'!$B$14,Paramètres!$A$1:$I$89,3,0)*0.475*44/12</f>
        <v>0.20179612377604683</v>
      </c>
      <c r="EC198" s="21">
        <f>EXP(-LN(2)/2)*EC197+(1-EXP(-LN(2)/2))/(LN(2)/2)*DW198*DZ198*VLOOKUP('Données projet'!$B$14,Paramètres!$A$1:$I$89,3,0)*0.475*44/12</f>
        <v>5.6310706400893366E-25</v>
      </c>
      <c r="ED198" s="22">
        <f t="shared" si="178"/>
        <v>11.81723833719558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267</v>
      </c>
      <c r="EK198" s="17">
        <f>EJ198*VLOOKUP('Données projet'!$B$15,Paramètres!$A$1:$I$89,3,0)*VLOOKUP('Données projet'!$B$15,Paramètres!$A$1:$I$89,5,0)</f>
        <v>241.58159999999998</v>
      </c>
      <c r="EL198" s="13">
        <f t="shared" si="179"/>
        <v>58.779689232021951</v>
      </c>
      <c r="EM198" s="20">
        <f t="shared" si="180"/>
        <v>523.12924541243819</v>
      </c>
      <c r="EN198" s="59">
        <f t="shared" si="198"/>
        <v>816.46257874577145</v>
      </c>
      <c r="EO198" s="59">
        <f ca="1">AVERAGE(OFFSET($EN$3,0,0,'Données projet'!$E$15+1,1))-AVERAGE(OFFSET($H$3,0,0,'Données projet'!$E$15+1,1))</f>
        <v>269.64423257646359</v>
      </c>
      <c r="EP198" s="59">
        <f t="shared" si="210"/>
        <v>161.0819079811821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15.501560022680922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15.501560022680922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349.00000000000017</v>
      </c>
      <c r="FF198" s="17">
        <f>FE198*VLOOKUP('Données projet'!$B$16,Paramètres!$A$1:$I$89,3,0)*VLOOKUP('Données projet'!$B$16,Paramètres!$A$1:$I$89,5,0)</f>
        <v>272.22000000000014</v>
      </c>
      <c r="FG198" s="13">
        <f t="shared" si="182"/>
        <v>65.320184547527205</v>
      </c>
      <c r="FH198" s="20">
        <f t="shared" si="183"/>
        <v>587.88248808694345</v>
      </c>
      <c r="FI198" s="59">
        <f t="shared" si="199"/>
        <v>881.21582142027682</v>
      </c>
      <c r="FJ198" s="59">
        <f ca="1">AVERAGE(OFFSET($FI$3,0,0,'Données projet'!$E$16+1,1))-AVERAGE(OFFSET($H$3,0,0,'Données projet'!$E$16+1,1))</f>
        <v>283.77864672734273</v>
      </c>
      <c r="FK198" s="59">
        <f t="shared" si="211"/>
        <v>270.94620935643866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7.2906672336222655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7.2906672336222655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319</v>
      </c>
      <c r="GA198" s="17">
        <f>FZ198*VLOOKUP('Données projet'!$B$17,Paramètres!$A$1:$I$89,3,0)*VLOOKUP('Données projet'!$B$17,Paramètres!$A$1:$I$89,5,0)</f>
        <v>308.53680000000003</v>
      </c>
      <c r="GB198" s="13">
        <f t="shared" si="185"/>
        <v>72.963171684496103</v>
      </c>
      <c r="GC198" s="20">
        <f t="shared" si="186"/>
        <v>664.4457840171641</v>
      </c>
      <c r="GD198" s="59">
        <f t="shared" si="200"/>
        <v>957.77911735049747</v>
      </c>
      <c r="GE198" s="59">
        <f ca="1">AVERAGE(OFFSET($GD$3,0,0,'Données projet'!$E$17+1,1))-AVERAGE(OFFSET($H$3,0,0,'Données projet'!$E$17+1,1))</f>
        <v>347.54503437087288</v>
      </c>
      <c r="GF198" s="59">
        <f t="shared" si="212"/>
        <v>340.05673244455954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5.377343841456411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5.377343841456411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735.00000000000011</v>
      </c>
      <c r="O199" s="13">
        <f>N199*VLOOKUP('Données projet'!$B$9,Paramètres!$A$1:$I$89,3,0)*VLOOKUP('Données projet'!$B$9,Paramètres!$A$1:$I$89,5,0)</f>
        <v>343.98</v>
      </c>
      <c r="P199" s="13">
        <f t="shared" si="203"/>
        <v>80.321681832084693</v>
      </c>
      <c r="Q199" s="20">
        <f t="shared" si="162"/>
        <v>738.9920958575475</v>
      </c>
      <c r="R199" s="59">
        <f t="shared" si="191"/>
        <v>1032.3254291908809</v>
      </c>
      <c r="S199" s="59">
        <f ca="1">AVERAGE(OFFSET($R$3,0,0,'Données projet'!$E$9+1,1))-AVERAGE(OFFSET($H$3,0,0,'Données projet'!$E$9+1,1))</f>
        <v>342.49944586217674</v>
      </c>
      <c r="T199" s="59">
        <f t="shared" si="204"/>
        <v>282.29766600872563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11.856985710256845</v>
      </c>
      <c r="AA199" s="21">
        <f>EXP(-LN(2)/25)*AA198+(1-EXP(-LN(2)/25))/(LN(2)/25)*Calculateur!V199*Calculateur!X199*VLOOKUP('Données projet'!$B$9,Paramètres!$A$1:$I$89,3,0)*0.475*44/12</f>
        <v>0.40187812867019995</v>
      </c>
      <c r="AB199" s="21">
        <f>EXP(-LN(2)/2)*AB198+(1-EXP(-LN(2)/2))/(LN(2)/2)*V199*Y199*VLOOKUP('Données projet'!$B$9,Paramètres!$A$1:$I$89,3,0)*0.475*44/12</f>
        <v>8.5607492839196103E-27</v>
      </c>
      <c r="AC199" s="22">
        <f t="shared" si="163"/>
        <v>12.258863838927045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739.99999999999966</v>
      </c>
      <c r="AJ199" s="13">
        <f>AI199*VLOOKUP('Données projet'!$B$10,Paramètres!$A$1:$I$89,3,0)*VLOOKUP('Données projet'!$B$10,Paramètres!$A$1:$I$89,5,0)</f>
        <v>413.65999999999985</v>
      </c>
      <c r="AK199" s="13">
        <f t="shared" si="164"/>
        <v>94.540585122244352</v>
      </c>
      <c r="AL199" s="20">
        <f t="shared" si="165"/>
        <v>885.11601908790863</v>
      </c>
      <c r="AM199" s="59">
        <f t="shared" si="193"/>
        <v>1178.4493524212419</v>
      </c>
      <c r="AN199" s="59">
        <f ca="1">AVERAGE(OFFSET($AM$3,0,0,'Données projet'!$E$10+1,1))-AVERAGE(OFFSET($H$3,0,0,'Données projet'!$E$10+1,1))</f>
        <v>490.96084572840579</v>
      </c>
      <c r="AO199" s="59">
        <f t="shared" si="205"/>
        <v>597.91658789908263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8.3548111511234371</v>
      </c>
      <c r="AV199" s="21">
        <f>EXP(-LN(2)/25)*AV198+(1-EXP(-LN(2)/25))/(LN(2)/25)*Calculateur!AQ199*Calculateur!AS199*VLOOKUP('Données projet'!$B$10,Paramètres!$A$1:$I$89,3,0)*0.475*44/12</f>
        <v>0.57936305563533519</v>
      </c>
      <c r="AW199" s="21">
        <f>EXP(-LN(2)/2)*AW198+(1-EXP(-LN(2)/2))/(LN(2)/2)*AQ199*AT199*VLOOKUP('Données projet'!$B$10,Paramètres!$A$1:$I$89,3,0)*0.475*44/12</f>
        <v>8.793791903315197E-26</v>
      </c>
      <c r="AX199" s="21">
        <f t="shared" si="166"/>
        <v>8.9341742067587724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213.00000000000003</v>
      </c>
      <c r="BE199" s="13">
        <f>BD199*VLOOKUP('Données projet'!$B$11,Paramètres!$A$1:$I$89,3,0)*VLOOKUP('Données projet'!$B$11,Paramètres!$A$1:$I$89,5,0)</f>
        <v>169.46280000000002</v>
      </c>
      <c r="BF199" s="13">
        <f t="shared" si="167"/>
        <v>42.969686502194378</v>
      </c>
      <c r="BG199" s="20">
        <f t="shared" si="168"/>
        <v>369.98658065798855</v>
      </c>
      <c r="BH199" s="59">
        <f t="shared" si="194"/>
        <v>663.31991399132187</v>
      </c>
      <c r="BI199" s="59">
        <f ca="1">AVERAGE(OFFSET($BH$3,0,0,'Données projet'!$E$11+1,1))-AVERAGE(OFFSET($H$3,0,0,'Données projet'!$E$11+1,1))</f>
        <v>167.80254365106839</v>
      </c>
      <c r="BJ199" s="59">
        <f t="shared" si="206"/>
        <v>167.42302164950172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3.3697359493275258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3.3697359493275258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669.99999999999989</v>
      </c>
      <c r="BZ199" s="13">
        <f>BY199*VLOOKUP('Données projet'!$B$12,Paramètres!$A$1:$I$89,3,0)*VLOOKUP('Données projet'!$B$12,Paramètres!$A$1:$I$89,5,0)</f>
        <v>330.97999999999996</v>
      </c>
      <c r="CA199" s="13">
        <f t="shared" si="170"/>
        <v>77.633451096966454</v>
      </c>
      <c r="CB199" s="20">
        <f t="shared" si="171"/>
        <v>711.66842732721636</v>
      </c>
      <c r="CC199" s="59">
        <f t="shared" si="195"/>
        <v>1005.0017606605497</v>
      </c>
      <c r="CD199" s="59">
        <f ca="1">AVERAGE(OFFSET($CC$3,0,0,'Données projet'!$E$12+1,1))-AVERAGE(OFFSET($H$3,0,0,'Données projet'!$E$12+1,1))</f>
        <v>322.06606384496587</v>
      </c>
      <c r="CE199" s="59">
        <f t="shared" si="207"/>
        <v>267.71713177624713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11.695445354073332</v>
      </c>
      <c r="CL199" s="21">
        <f>EXP(-LN(2)/25)*CL198+(1-EXP(-LN(2)/25))/(LN(2)/25)*Calculateur!CG199*Calculateur!CI199*VLOOKUP('Données projet'!$B$12,Paramètres!$A$1:$I$89,3,0)*0.475*44/12</f>
        <v>0.20158280892045802</v>
      </c>
      <c r="CM199" s="21">
        <f>EXP(-LN(2)/2)*CM198+(1-EXP(-LN(2)/2))/(LN(2)/2)*CG199*CJ199*VLOOKUP('Données projet'!$B$12,Paramètres!$A$1:$I$89,3,0)*0.475*44/12</f>
        <v>4.0893835926489865E-25</v>
      </c>
      <c r="CN199" s="22">
        <f t="shared" si="172"/>
        <v>11.89702816299379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401</v>
      </c>
      <c r="CU199" s="17">
        <f>CT199*VLOOKUP('Données projet'!$B$13,Paramètres!$A$1:$I$89,3,0)*VLOOKUP('Données projet'!$B$13,Paramètres!$A$1:$I$89,5,0)</f>
        <v>250.22399999999999</v>
      </c>
      <c r="CV199" s="13">
        <f t="shared" si="173"/>
        <v>60.633904580527918</v>
      </c>
      <c r="CW199" s="20">
        <f t="shared" si="174"/>
        <v>541.41085047775289</v>
      </c>
      <c r="CX199" s="59">
        <f t="shared" si="196"/>
        <v>834.74418381108626</v>
      </c>
      <c r="CY199" s="59">
        <f ca="1">AVERAGE(OFFSET($CX$3,0,0,'Données projet'!$E$13+1,1))-AVERAGE(OFFSET($H$3,0,0,'Données projet'!$E$13+1,1))</f>
        <v>269.77739619445515</v>
      </c>
      <c r="CZ199" s="59">
        <f t="shared" si="208"/>
        <v>347.56964743629885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5.1807121214533423</v>
      </c>
      <c r="DG199" s="21">
        <f>EXP(-LN(2)/25)*DG198+(1-EXP(-LN(2)/25))/(LN(2)/25)*Calculateur!DB199*Calculateur!DD199*VLOOKUP('Données projet'!$B$13,Paramètres!$A$1:$I$89,3,0)*0.475*44/12</f>
        <v>0.91987738329973756</v>
      </c>
      <c r="DH199" s="21">
        <f>EXP(-LN(2)/2)*DH198+(1-EXP(-LN(2)/2))/(LN(2)/2)*DB199*DE199*VLOOKUP('Données projet'!$B$13,Paramètres!$A$1:$I$89,3,0)*0.475*44/12</f>
        <v>2.5682247851758809E-27</v>
      </c>
      <c r="DI199" s="22">
        <f t="shared" si="175"/>
        <v>6.1005895047530796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669.99999999999989</v>
      </c>
      <c r="DP199" s="17">
        <f>DO199*VLOOKUP('Données projet'!$B$14,Paramètres!$A$1:$I$89,3,0)*VLOOKUP('Données projet'!$B$14,Paramètres!$A$1:$I$89,5,0)</f>
        <v>322.26999999999992</v>
      </c>
      <c r="DQ199" s="13">
        <f t="shared" si="176"/>
        <v>75.825476822885776</v>
      </c>
      <c r="DR199" s="20">
        <f t="shared" si="177"/>
        <v>693.34962213319261</v>
      </c>
      <c r="DS199" s="59">
        <f t="shared" si="197"/>
        <v>986.68295546652598</v>
      </c>
      <c r="DT199" s="59">
        <f ca="1">AVERAGE(OFFSET($DS$3,0,0,'Données projet'!$E$14+1,1))-AVERAGE(OFFSET($H$3,0,0,'Données projet'!$E$14+1,1))</f>
        <v>312.64506496298173</v>
      </c>
      <c r="DU199" s="59">
        <f t="shared" si="209"/>
        <v>259.97532509897508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11.387670476334568</v>
      </c>
      <c r="EB199" s="21">
        <f>EXP(-LN(2)/25)*EB198+(1-EXP(-LN(2)/25))/(LN(2)/25)*Calculateur!DW199*Calculateur!DY199*VLOOKUP('Données projet'!$B$14,Paramètres!$A$1:$I$89,3,0)*0.475*44/12</f>
        <v>0.1962779981593939</v>
      </c>
      <c r="EC199" s="21">
        <f>EXP(-LN(2)/2)*EC198+(1-EXP(-LN(2)/2))/(LN(2)/2)*DW199*DZ199*VLOOKUP('Données projet'!$B$14,Paramètres!$A$1:$I$89,3,0)*0.475*44/12</f>
        <v>3.9817682349476427E-25</v>
      </c>
      <c r="ED199" s="22">
        <f t="shared" si="178"/>
        <v>11.583948474493962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267</v>
      </c>
      <c r="EK199" s="17">
        <f>EJ199*VLOOKUP('Données projet'!$B$15,Paramètres!$A$1:$I$89,3,0)*VLOOKUP('Données projet'!$B$15,Paramètres!$A$1:$I$89,5,0)</f>
        <v>241.58159999999998</v>
      </c>
      <c r="EL199" s="13">
        <f t="shared" si="179"/>
        <v>58.779689232021951</v>
      </c>
      <c r="EM199" s="20">
        <f t="shared" si="180"/>
        <v>523.12924541243819</v>
      </c>
      <c r="EN199" s="59">
        <f t="shared" si="198"/>
        <v>816.46257874577145</v>
      </c>
      <c r="EO199" s="59">
        <f ca="1">AVERAGE(OFFSET($EN$3,0,0,'Données projet'!$E$15+1,1))-AVERAGE(OFFSET($H$3,0,0,'Données projet'!$E$15+1,1))</f>
        <v>269.64423257646359</v>
      </c>
      <c r="EP199" s="59">
        <f t="shared" si="210"/>
        <v>161.0819079811821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15.197583885654158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15.197583885654158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349.00000000000017</v>
      </c>
      <c r="FF199" s="17">
        <f>FE199*VLOOKUP('Données projet'!$B$16,Paramètres!$A$1:$I$89,3,0)*VLOOKUP('Données projet'!$B$16,Paramètres!$A$1:$I$89,5,0)</f>
        <v>272.22000000000014</v>
      </c>
      <c r="FG199" s="13">
        <f t="shared" si="182"/>
        <v>65.320184547527205</v>
      </c>
      <c r="FH199" s="20">
        <f t="shared" si="183"/>
        <v>587.88248808694345</v>
      </c>
      <c r="FI199" s="59">
        <f t="shared" si="199"/>
        <v>881.21582142027682</v>
      </c>
      <c r="FJ199" s="59">
        <f ca="1">AVERAGE(OFFSET($FI$3,0,0,'Données projet'!$E$16+1,1))-AVERAGE(OFFSET($H$3,0,0,'Données projet'!$E$16+1,1))</f>
        <v>283.77864672734273</v>
      </c>
      <c r="FK199" s="59">
        <f t="shared" si="211"/>
        <v>270.94620935643866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7.1477016960388537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7.1477016960388537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319</v>
      </c>
      <c r="GA199" s="17">
        <f>FZ199*VLOOKUP('Données projet'!$B$17,Paramètres!$A$1:$I$89,3,0)*VLOOKUP('Données projet'!$B$17,Paramètres!$A$1:$I$89,5,0)</f>
        <v>308.53680000000003</v>
      </c>
      <c r="GB199" s="13">
        <f t="shared" si="185"/>
        <v>72.963171684496103</v>
      </c>
      <c r="GC199" s="20">
        <f t="shared" si="186"/>
        <v>664.4457840171641</v>
      </c>
      <c r="GD199" s="59">
        <f t="shared" si="200"/>
        <v>957.77911735049747</v>
      </c>
      <c r="GE199" s="59">
        <f ca="1">AVERAGE(OFFSET($GD$3,0,0,'Données projet'!$E$17+1,1))-AVERAGE(OFFSET($H$3,0,0,'Données projet'!$E$17+1,1))</f>
        <v>347.54503437087288</v>
      </c>
      <c r="GF199" s="59">
        <f t="shared" si="212"/>
        <v>340.05673244455954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5.271897408581335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5.271897408581335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735.00000000000011</v>
      </c>
      <c r="O200" s="13">
        <f>N200*VLOOKUP('Données projet'!$B$9,Paramètres!$A$1:$I$89,3,0)*VLOOKUP('Données projet'!$B$9,Paramètres!$A$1:$I$89,5,0)</f>
        <v>343.98</v>
      </c>
      <c r="P200" s="13">
        <f t="shared" si="203"/>
        <v>80.321681832084693</v>
      </c>
      <c r="Q200" s="20">
        <f t="shared" si="162"/>
        <v>738.9920958575475</v>
      </c>
      <c r="R200" s="59">
        <f t="shared" si="191"/>
        <v>1032.3254291908809</v>
      </c>
      <c r="S200" s="59">
        <f ca="1">AVERAGE(OFFSET($R$3,0,0,'Données projet'!$E$9+1,1))-AVERAGE(OFFSET($H$3,0,0,'Données projet'!$E$9+1,1))</f>
        <v>342.49944586217674</v>
      </c>
      <c r="T200" s="59">
        <f t="shared" si="204"/>
        <v>282.29766600872563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11.624477452525886</v>
      </c>
      <c r="AA200" s="21">
        <f>EXP(-LN(2)/25)*AA199+(1-EXP(-LN(2)/25))/(LN(2)/25)*Calculateur!V200*Calculateur!X200*VLOOKUP('Données projet'!$B$9,Paramètres!$A$1:$I$89,3,0)*0.475*44/12</f>
        <v>0.39088875010786106</v>
      </c>
      <c r="AB200" s="21">
        <f>EXP(-LN(2)/2)*AB199+(1-EXP(-LN(2)/2))/(LN(2)/2)*V200*Y200*VLOOKUP('Données projet'!$B$9,Paramètres!$A$1:$I$89,3,0)*0.475*44/12</f>
        <v>6.0533638706974374E-27</v>
      </c>
      <c r="AC200" s="22">
        <f t="shared" si="163"/>
        <v>12.015366202633746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739.99999999999966</v>
      </c>
      <c r="AJ200" s="13">
        <f>AI200*VLOOKUP('Données projet'!$B$10,Paramètres!$A$1:$I$89,3,0)*VLOOKUP('Données projet'!$B$10,Paramètres!$A$1:$I$89,5,0)</f>
        <v>413.65999999999985</v>
      </c>
      <c r="AK200" s="13">
        <f t="shared" si="164"/>
        <v>94.540585122244352</v>
      </c>
      <c r="AL200" s="20">
        <f t="shared" si="165"/>
        <v>885.11601908790863</v>
      </c>
      <c r="AM200" s="59">
        <f t="shared" si="193"/>
        <v>1178.4493524212419</v>
      </c>
      <c r="AN200" s="59">
        <f ca="1">AVERAGE(OFFSET($AM$3,0,0,'Données projet'!$E$10+1,1))-AVERAGE(OFFSET($H$3,0,0,'Données projet'!$E$10+1,1))</f>
        <v>490.96084572840579</v>
      </c>
      <c r="AO200" s="59">
        <f t="shared" si="205"/>
        <v>597.91658789908263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8.1909784003815265</v>
      </c>
      <c r="AV200" s="21">
        <f>EXP(-LN(2)/25)*AV199+(1-EXP(-LN(2)/25))/(LN(2)/25)*Calculateur!AQ200*Calculateur!AS200*VLOOKUP('Données projet'!$B$10,Paramètres!$A$1:$I$89,3,0)*0.475*44/12</f>
        <v>0.56352034241160798</v>
      </c>
      <c r="AW200" s="21">
        <f>EXP(-LN(2)/2)*AW199+(1-EXP(-LN(2)/2))/(LN(2)/2)*AQ200*AT200*VLOOKUP('Données projet'!$B$10,Paramètres!$A$1:$I$89,3,0)*0.475*44/12</f>
        <v>6.2181498871775322E-26</v>
      </c>
      <c r="AX200" s="21">
        <f t="shared" si="166"/>
        <v>8.7544987427931353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213.00000000000003</v>
      </c>
      <c r="BE200" s="13">
        <f>BD200*VLOOKUP('Données projet'!$B$11,Paramètres!$A$1:$I$89,3,0)*VLOOKUP('Données projet'!$B$11,Paramètres!$A$1:$I$89,5,0)</f>
        <v>169.46280000000002</v>
      </c>
      <c r="BF200" s="13">
        <f t="shared" si="167"/>
        <v>42.969686502194378</v>
      </c>
      <c r="BG200" s="20">
        <f t="shared" si="168"/>
        <v>369.98658065798855</v>
      </c>
      <c r="BH200" s="59">
        <f t="shared" si="194"/>
        <v>663.31991399132187</v>
      </c>
      <c r="BI200" s="59">
        <f ca="1">AVERAGE(OFFSET($BH$3,0,0,'Données projet'!$E$11+1,1))-AVERAGE(OFFSET($H$3,0,0,'Données projet'!$E$11+1,1))</f>
        <v>167.80254365106839</v>
      </c>
      <c r="BJ200" s="59">
        <f t="shared" si="206"/>
        <v>167.42302164950172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3.3036574826971945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3.3036574826971945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669.99999999999989</v>
      </c>
      <c r="BZ200" s="13">
        <f>BY200*VLOOKUP('Données projet'!$B$12,Paramètres!$A$1:$I$89,3,0)*VLOOKUP('Données projet'!$B$12,Paramètres!$A$1:$I$89,5,0)</f>
        <v>330.97999999999996</v>
      </c>
      <c r="CA200" s="13">
        <f t="shared" si="170"/>
        <v>77.633451096966454</v>
      </c>
      <c r="CB200" s="20">
        <f t="shared" si="171"/>
        <v>711.66842732721636</v>
      </c>
      <c r="CC200" s="59">
        <f t="shared" si="195"/>
        <v>1005.0017606605497</v>
      </c>
      <c r="CD200" s="59">
        <f ca="1">AVERAGE(OFFSET($CC$3,0,0,'Données projet'!$E$12+1,1))-AVERAGE(OFFSET($H$3,0,0,'Données projet'!$E$12+1,1))</f>
        <v>322.06606384496587</v>
      </c>
      <c r="CE200" s="59">
        <f t="shared" si="207"/>
        <v>267.71713177624713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11.466104804197244</v>
      </c>
      <c r="CL200" s="21">
        <f>EXP(-LN(2)/25)*CL199+(1-EXP(-LN(2)/25))/(LN(2)/25)*Calculateur!CG200*Calculateur!CI200*VLOOKUP('Données projet'!$B$12,Paramètres!$A$1:$I$89,3,0)*0.475*44/12</f>
        <v>0.1960705164097489</v>
      </c>
      <c r="CM200" s="21">
        <f>EXP(-LN(2)/2)*CM199+(1-EXP(-LN(2)/2))/(LN(2)/2)*CG200*CJ200*VLOOKUP('Données projet'!$B$12,Paramètres!$A$1:$I$89,3,0)*0.475*44/12</f>
        <v>2.8916308692351049E-25</v>
      </c>
      <c r="CN200" s="22">
        <f t="shared" si="172"/>
        <v>11.662175320606993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401</v>
      </c>
      <c r="CU200" s="17">
        <f>CT200*VLOOKUP('Données projet'!$B$13,Paramètres!$A$1:$I$89,3,0)*VLOOKUP('Données projet'!$B$13,Paramètres!$A$1:$I$89,5,0)</f>
        <v>250.22399999999999</v>
      </c>
      <c r="CV200" s="13">
        <f t="shared" si="173"/>
        <v>60.633904580527918</v>
      </c>
      <c r="CW200" s="20">
        <f t="shared" si="174"/>
        <v>541.41085047775289</v>
      </c>
      <c r="CX200" s="59">
        <f t="shared" si="196"/>
        <v>834.74418381108626</v>
      </c>
      <c r="CY200" s="59">
        <f ca="1">AVERAGE(OFFSET($CX$3,0,0,'Données projet'!$E$13+1,1))-AVERAGE(OFFSET($H$3,0,0,'Données projet'!$E$13+1,1))</f>
        <v>269.77739619445515</v>
      </c>
      <c r="CZ200" s="59">
        <f t="shared" si="208"/>
        <v>347.56964743629885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5.0791215166740198</v>
      </c>
      <c r="DG200" s="21">
        <f>EXP(-LN(2)/25)*DG199+(1-EXP(-LN(2)/25))/(LN(2)/25)*Calculateur!DB200*Calculateur!DD200*VLOOKUP('Données projet'!$B$13,Paramètres!$A$1:$I$89,3,0)*0.475*44/12</f>
        <v>0.894723287879157</v>
      </c>
      <c r="DH200" s="21">
        <f>EXP(-LN(2)/2)*DH199+(1-EXP(-LN(2)/2))/(LN(2)/2)*DB200*DE200*VLOOKUP('Données projet'!$B$13,Paramètres!$A$1:$I$89,3,0)*0.475*44/12</f>
        <v>1.8160091612092296E-27</v>
      </c>
      <c r="DI200" s="22">
        <f t="shared" si="175"/>
        <v>5.9738448045531767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669.99999999999989</v>
      </c>
      <c r="DP200" s="17">
        <f>DO200*VLOOKUP('Données projet'!$B$14,Paramètres!$A$1:$I$89,3,0)*VLOOKUP('Données projet'!$B$14,Paramètres!$A$1:$I$89,5,0)</f>
        <v>322.26999999999992</v>
      </c>
      <c r="DQ200" s="13">
        <f t="shared" si="176"/>
        <v>75.825476822885776</v>
      </c>
      <c r="DR200" s="20">
        <f t="shared" si="177"/>
        <v>693.34962213319261</v>
      </c>
      <c r="DS200" s="59">
        <f t="shared" si="197"/>
        <v>986.68295546652598</v>
      </c>
      <c r="DT200" s="59">
        <f ca="1">AVERAGE(OFFSET($DS$3,0,0,'Données projet'!$E$14+1,1))-AVERAGE(OFFSET($H$3,0,0,'Données projet'!$E$14+1,1))</f>
        <v>312.64506496298173</v>
      </c>
      <c r="DU200" s="59">
        <f t="shared" si="209"/>
        <v>259.97532509897508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11.164365204086797</v>
      </c>
      <c r="EB200" s="21">
        <f>EXP(-LN(2)/25)*EB199+(1-EXP(-LN(2)/25))/(LN(2)/25)*Calculateur!DW200*Calculateur!DY200*VLOOKUP('Données projet'!$B$14,Paramètres!$A$1:$I$89,3,0)*0.475*44/12</f>
        <v>0.19091076597791395</v>
      </c>
      <c r="EC200" s="21">
        <f>EXP(-LN(2)/2)*EC199+(1-EXP(-LN(2)/2))/(LN(2)/2)*DW200*DZ200*VLOOKUP('Données projet'!$B$14,Paramètres!$A$1:$I$89,3,0)*0.475*44/12</f>
        <v>2.8155353200446683E-25</v>
      </c>
      <c r="ED200" s="22">
        <f t="shared" si="178"/>
        <v>11.355275970064712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267</v>
      </c>
      <c r="EK200" s="17">
        <f>EJ200*VLOOKUP('Données projet'!$B$15,Paramètres!$A$1:$I$89,3,0)*VLOOKUP('Données projet'!$B$15,Paramètres!$A$1:$I$89,5,0)</f>
        <v>241.58159999999998</v>
      </c>
      <c r="EL200" s="13">
        <f t="shared" si="179"/>
        <v>58.779689232021951</v>
      </c>
      <c r="EM200" s="20">
        <f t="shared" si="180"/>
        <v>523.12924541243819</v>
      </c>
      <c r="EN200" s="59">
        <f t="shared" si="198"/>
        <v>816.46257874577145</v>
      </c>
      <c r="EO200" s="59">
        <f ca="1">AVERAGE(OFFSET($EN$3,0,0,'Données projet'!$E$15+1,1))-AVERAGE(OFFSET($H$3,0,0,'Données projet'!$E$15+1,1))</f>
        <v>269.64423257646359</v>
      </c>
      <c r="EP200" s="59">
        <f t="shared" si="210"/>
        <v>161.0819079811821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14.899568535267353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14.899568535267353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349.00000000000017</v>
      </c>
      <c r="FF200" s="17">
        <f>FE200*VLOOKUP('Données projet'!$B$16,Paramètres!$A$1:$I$89,3,0)*VLOOKUP('Données projet'!$B$16,Paramètres!$A$1:$I$89,5,0)</f>
        <v>272.22000000000014</v>
      </c>
      <c r="FG200" s="13">
        <f t="shared" si="182"/>
        <v>65.320184547527205</v>
      </c>
      <c r="FH200" s="20">
        <f t="shared" si="183"/>
        <v>587.88248808694345</v>
      </c>
      <c r="FI200" s="59">
        <f t="shared" si="199"/>
        <v>881.21582142027682</v>
      </c>
      <c r="FJ200" s="59">
        <f ca="1">AVERAGE(OFFSET($FI$3,0,0,'Données projet'!$E$16+1,1))-AVERAGE(OFFSET($H$3,0,0,'Données projet'!$E$16+1,1))</f>
        <v>283.77864672734273</v>
      </c>
      <c r="FK200" s="59">
        <f t="shared" si="211"/>
        <v>270.94620935643866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7.0075396254470848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7.0075396254470848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319</v>
      </c>
      <c r="GA200" s="17">
        <f>FZ200*VLOOKUP('Données projet'!$B$17,Paramètres!$A$1:$I$89,3,0)*VLOOKUP('Données projet'!$B$17,Paramètres!$A$1:$I$89,5,0)</f>
        <v>308.53680000000003</v>
      </c>
      <c r="GB200" s="13">
        <f t="shared" si="185"/>
        <v>72.963171684496103</v>
      </c>
      <c r="GC200" s="20">
        <f t="shared" si="186"/>
        <v>664.4457840171641</v>
      </c>
      <c r="GD200" s="59">
        <f t="shared" si="200"/>
        <v>957.77911735049747</v>
      </c>
      <c r="GE200" s="59">
        <f ca="1">AVERAGE(OFFSET($GD$3,0,0,'Données projet'!$E$17+1,1))-AVERAGE(OFFSET($H$3,0,0,'Données projet'!$E$17+1,1))</f>
        <v>347.54503437087288</v>
      </c>
      <c r="GF200" s="59">
        <f t="shared" si="212"/>
        <v>340.05673244455954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5.1685187159389665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5.1685187159389665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735.00000000000011</v>
      </c>
      <c r="O201" s="13">
        <f>N201*VLOOKUP('Données projet'!$B$9,Paramètres!$A$1:$I$89,3,0)*VLOOKUP('Données projet'!$B$9,Paramètres!$A$1:$I$89,5,0)</f>
        <v>343.98</v>
      </c>
      <c r="P201" s="13">
        <f t="shared" si="203"/>
        <v>80.321681832084693</v>
      </c>
      <c r="Q201" s="20">
        <f t="shared" si="162"/>
        <v>738.9920958575475</v>
      </c>
      <c r="R201" s="59">
        <f t="shared" si="191"/>
        <v>1032.3254291908809</v>
      </c>
      <c r="S201" s="59">
        <f ca="1">AVERAGE(OFFSET($R$3,0,0,'Données projet'!$E$9+1,1))-AVERAGE(OFFSET($H$3,0,0,'Données projet'!$E$9+1,1))</f>
        <v>342.49944586217674</v>
      </c>
      <c r="T201" s="59">
        <f t="shared" si="204"/>
        <v>282.29766600872563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11.396528539912998</v>
      </c>
      <c r="AA201" s="21">
        <f>EXP(-LN(2)/25)*AA200+(1-EXP(-LN(2)/25))/(LN(2)/25)*Calculateur!V201*Calculateur!X201*VLOOKUP('Données projet'!$B$9,Paramètres!$A$1:$I$89,3,0)*0.475*44/12</f>
        <v>0.3801998766802156</v>
      </c>
      <c r="AB201" s="21">
        <f>EXP(-LN(2)/2)*AB200+(1-EXP(-LN(2)/2))/(LN(2)/2)*V201*Y201*VLOOKUP('Données projet'!$B$9,Paramètres!$A$1:$I$89,3,0)*0.475*44/12</f>
        <v>4.2803746419598052E-27</v>
      </c>
      <c r="AC201" s="22">
        <f t="shared" si="163"/>
        <v>11.776728416593214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739.99999999999966</v>
      </c>
      <c r="AJ201" s="13">
        <f>AI201*VLOOKUP('Données projet'!$B$10,Paramètres!$A$1:$I$89,3,0)*VLOOKUP('Données projet'!$B$10,Paramètres!$A$1:$I$89,5,0)</f>
        <v>413.65999999999985</v>
      </c>
      <c r="AK201" s="13">
        <f t="shared" si="164"/>
        <v>94.540585122244352</v>
      </c>
      <c r="AL201" s="20">
        <f t="shared" si="165"/>
        <v>885.11601908790863</v>
      </c>
      <c r="AM201" s="59">
        <f t="shared" si="193"/>
        <v>1178.4493524212419</v>
      </c>
      <c r="AN201" s="59">
        <f ca="1">AVERAGE(OFFSET($AM$3,0,0,'Données projet'!$E$10+1,1))-AVERAGE(OFFSET($H$3,0,0,'Données projet'!$E$10+1,1))</f>
        <v>490.96084572840579</v>
      </c>
      <c r="AO201" s="59">
        <f t="shared" si="205"/>
        <v>597.91658789908263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8.030358309953554</v>
      </c>
      <c r="AV201" s="21">
        <f>EXP(-LN(2)/25)*AV200+(1-EXP(-LN(2)/25))/(LN(2)/25)*Calculateur!AQ201*Calculateur!AS201*VLOOKUP('Données projet'!$B$10,Paramètres!$A$1:$I$89,3,0)*0.475*44/12</f>
        <v>0.54811084901411566</v>
      </c>
      <c r="AW201" s="21">
        <f>EXP(-LN(2)/2)*AW200+(1-EXP(-LN(2)/2))/(LN(2)/2)*AQ201*AT201*VLOOKUP('Données projet'!$B$10,Paramètres!$A$1:$I$89,3,0)*0.475*44/12</f>
        <v>4.3968959516575985E-26</v>
      </c>
      <c r="AX201" s="21">
        <f t="shared" si="166"/>
        <v>8.5784691589676694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213.00000000000003</v>
      </c>
      <c r="BE201" s="13">
        <f>BD201*VLOOKUP('Données projet'!$B$11,Paramètres!$A$1:$I$89,3,0)*VLOOKUP('Données projet'!$B$11,Paramètres!$A$1:$I$89,5,0)</f>
        <v>169.46280000000002</v>
      </c>
      <c r="BF201" s="13">
        <f t="shared" si="167"/>
        <v>42.969686502194378</v>
      </c>
      <c r="BG201" s="20">
        <f t="shared" si="168"/>
        <v>369.98658065798855</v>
      </c>
      <c r="BH201" s="59">
        <f t="shared" si="194"/>
        <v>663.31991399132187</v>
      </c>
      <c r="BI201" s="59">
        <f ca="1">AVERAGE(OFFSET($BH$3,0,0,'Données projet'!$E$11+1,1))-AVERAGE(OFFSET($H$3,0,0,'Données projet'!$E$11+1,1))</f>
        <v>167.80254365106839</v>
      </c>
      <c r="BJ201" s="59">
        <f t="shared" si="206"/>
        <v>167.42302164950172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3.2388747744935991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3.2388747744935991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669.99999999999989</v>
      </c>
      <c r="BZ201" s="13">
        <f>BY201*VLOOKUP('Données projet'!$B$12,Paramètres!$A$1:$I$89,3,0)*VLOOKUP('Données projet'!$B$12,Paramètres!$A$1:$I$89,5,0)</f>
        <v>330.97999999999996</v>
      </c>
      <c r="CA201" s="13">
        <f t="shared" si="170"/>
        <v>77.633451096966454</v>
      </c>
      <c r="CB201" s="20">
        <f t="shared" si="171"/>
        <v>711.66842732721636</v>
      </c>
      <c r="CC201" s="59">
        <f t="shared" si="195"/>
        <v>1005.0017606605497</v>
      </c>
      <c r="CD201" s="59">
        <f ca="1">AVERAGE(OFFSET($CC$3,0,0,'Données projet'!$E$12+1,1))-AVERAGE(OFFSET($H$3,0,0,'Données projet'!$E$12+1,1))</f>
        <v>322.06606384496587</v>
      </c>
      <c r="CE201" s="59">
        <f t="shared" si="207"/>
        <v>267.71713177624713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11.241261482620303</v>
      </c>
      <c r="CL201" s="21">
        <f>EXP(-LN(2)/25)*CL200+(1-EXP(-LN(2)/25))/(LN(2)/25)*Calculateur!CG201*Calculateur!CI201*VLOOKUP('Données projet'!$B$12,Paramètres!$A$1:$I$89,3,0)*0.475*44/12</f>
        <v>0.19070895782762398</v>
      </c>
      <c r="CM201" s="21">
        <f>EXP(-LN(2)/2)*CM200+(1-EXP(-LN(2)/2))/(LN(2)/2)*CG201*CJ201*VLOOKUP('Données projet'!$B$12,Paramètres!$A$1:$I$89,3,0)*0.475*44/12</f>
        <v>2.0446917963244937E-25</v>
      </c>
      <c r="CN201" s="22">
        <f t="shared" si="172"/>
        <v>11.431970440447927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401</v>
      </c>
      <c r="CU201" s="17">
        <f>CT201*VLOOKUP('Données projet'!$B$13,Paramètres!$A$1:$I$89,3,0)*VLOOKUP('Données projet'!$B$13,Paramètres!$A$1:$I$89,5,0)</f>
        <v>250.22399999999999</v>
      </c>
      <c r="CV201" s="13">
        <f t="shared" si="173"/>
        <v>60.633904580527918</v>
      </c>
      <c r="CW201" s="20">
        <f t="shared" si="174"/>
        <v>541.41085047775289</v>
      </c>
      <c r="CX201" s="59">
        <f t="shared" si="196"/>
        <v>834.74418381108626</v>
      </c>
      <c r="CY201" s="59">
        <f ca="1">AVERAGE(OFFSET($CX$3,0,0,'Données projet'!$E$13+1,1))-AVERAGE(OFFSET($H$3,0,0,'Données projet'!$E$13+1,1))</f>
        <v>269.77739619445515</v>
      </c>
      <c r="CZ201" s="59">
        <f t="shared" si="208"/>
        <v>347.56964743629885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4.9795230416902694</v>
      </c>
      <c r="DG201" s="21">
        <f>EXP(-LN(2)/25)*DG200+(1-EXP(-LN(2)/25))/(LN(2)/25)*Calculateur!DB201*Calculateur!DD201*VLOOKUP('Données projet'!$B$13,Paramètres!$A$1:$I$89,3,0)*0.475*44/12</f>
        <v>0.87025703252064868</v>
      </c>
      <c r="DH201" s="21">
        <f>EXP(-LN(2)/2)*DH200+(1-EXP(-LN(2)/2))/(LN(2)/2)*DB201*DE201*VLOOKUP('Données projet'!$B$13,Paramètres!$A$1:$I$89,3,0)*0.475*44/12</f>
        <v>1.2841123925879405E-27</v>
      </c>
      <c r="DI201" s="22">
        <f t="shared" si="175"/>
        <v>5.8497800742109183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669.99999999999989</v>
      </c>
      <c r="DP201" s="17">
        <f>DO201*VLOOKUP('Données projet'!$B$14,Paramètres!$A$1:$I$89,3,0)*VLOOKUP('Données projet'!$B$14,Paramètres!$A$1:$I$89,5,0)</f>
        <v>322.26999999999992</v>
      </c>
      <c r="DQ201" s="13">
        <f t="shared" si="176"/>
        <v>75.825476822885776</v>
      </c>
      <c r="DR201" s="20">
        <f t="shared" si="177"/>
        <v>693.34962213319261</v>
      </c>
      <c r="DS201" s="59">
        <f t="shared" si="197"/>
        <v>986.68295546652598</v>
      </c>
      <c r="DT201" s="59">
        <f ca="1">AVERAGE(OFFSET($DS$3,0,0,'Données projet'!$E$14+1,1))-AVERAGE(OFFSET($H$3,0,0,'Données projet'!$E$14+1,1))</f>
        <v>312.64506496298173</v>
      </c>
      <c r="DU201" s="59">
        <f t="shared" si="209"/>
        <v>259.97532509897508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10.945438812025039</v>
      </c>
      <c r="EB201" s="21">
        <f>EXP(-LN(2)/25)*EB200+(1-EXP(-LN(2)/25))/(LN(2)/25)*Calculateur!DW201*Calculateur!DY201*VLOOKUP('Données projet'!$B$14,Paramètres!$A$1:$I$89,3,0)*0.475*44/12</f>
        <v>0.18569030104268705</v>
      </c>
      <c r="EC201" s="21">
        <f>EXP(-LN(2)/2)*EC200+(1-EXP(-LN(2)/2))/(LN(2)/2)*DW201*DZ201*VLOOKUP('Données projet'!$B$14,Paramètres!$A$1:$I$89,3,0)*0.475*44/12</f>
        <v>1.9908841174738213E-25</v>
      </c>
      <c r="ED201" s="22">
        <f t="shared" si="178"/>
        <v>11.131129113067725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267</v>
      </c>
      <c r="EK201" s="17">
        <f>EJ201*VLOOKUP('Données projet'!$B$15,Paramètres!$A$1:$I$89,3,0)*VLOOKUP('Données projet'!$B$15,Paramètres!$A$1:$I$89,5,0)</f>
        <v>241.58159999999998</v>
      </c>
      <c r="EL201" s="13">
        <f t="shared" si="179"/>
        <v>58.779689232021951</v>
      </c>
      <c r="EM201" s="20">
        <f t="shared" si="180"/>
        <v>523.12924541243819</v>
      </c>
      <c r="EN201" s="59">
        <f t="shared" si="198"/>
        <v>816.46257874577145</v>
      </c>
      <c r="EO201" s="59">
        <f ca="1">AVERAGE(OFFSET($EN$3,0,0,'Données projet'!$E$15+1,1))-AVERAGE(OFFSET($H$3,0,0,'Données projet'!$E$15+1,1))</f>
        <v>269.64423257646359</v>
      </c>
      <c r="EP201" s="59">
        <f t="shared" si="210"/>
        <v>161.0819079811821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14.607397084130216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14.607397084130216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349.00000000000017</v>
      </c>
      <c r="FF201" s="17">
        <f>FE201*VLOOKUP('Données projet'!$B$16,Paramètres!$A$1:$I$89,3,0)*VLOOKUP('Données projet'!$B$16,Paramètres!$A$1:$I$89,5,0)</f>
        <v>272.22000000000014</v>
      </c>
      <c r="FG201" s="13">
        <f t="shared" si="182"/>
        <v>65.320184547527205</v>
      </c>
      <c r="FH201" s="20">
        <f t="shared" si="183"/>
        <v>587.88248808694345</v>
      </c>
      <c r="FI201" s="59">
        <f t="shared" si="199"/>
        <v>881.21582142027682</v>
      </c>
      <c r="FJ201" s="59">
        <f ca="1">AVERAGE(OFFSET($FI$3,0,0,'Données projet'!$E$16+1,1))-AVERAGE(OFFSET($H$3,0,0,'Données projet'!$E$16+1,1))</f>
        <v>283.77864672734273</v>
      </c>
      <c r="FK201" s="59">
        <f t="shared" si="211"/>
        <v>270.94620935643866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6.8701260475691992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6.8701260475691992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319</v>
      </c>
      <c r="GA201" s="17">
        <f>FZ201*VLOOKUP('Données projet'!$B$17,Paramètres!$A$1:$I$89,3,0)*VLOOKUP('Données projet'!$B$17,Paramètres!$A$1:$I$89,5,0)</f>
        <v>308.53680000000003</v>
      </c>
      <c r="GB201" s="13">
        <f t="shared" si="185"/>
        <v>72.963171684496103</v>
      </c>
      <c r="GC201" s="20">
        <f t="shared" si="186"/>
        <v>664.4457840171641</v>
      </c>
      <c r="GD201" s="59">
        <f t="shared" si="200"/>
        <v>957.77911735049747</v>
      </c>
      <c r="GE201" s="59">
        <f ca="1">AVERAGE(OFFSET($GD$3,0,0,'Données projet'!$E$17+1,1))-AVERAGE(OFFSET($H$3,0,0,'Données projet'!$E$17+1,1))</f>
        <v>347.54503437087288</v>
      </c>
      <c r="GF201" s="59">
        <f t="shared" si="212"/>
        <v>340.05673244455954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5.0671672164045383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5.0671672164045383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735.00000000000011</v>
      </c>
      <c r="O202" s="13">
        <f>N202*VLOOKUP('Données projet'!$B$9,Paramètres!$A$1:$I$89,3,0)*VLOOKUP('Données projet'!$B$9,Paramètres!$A$1:$I$89,5,0)</f>
        <v>343.98</v>
      </c>
      <c r="P202" s="13">
        <f t="shared" si="203"/>
        <v>80.321681832084693</v>
      </c>
      <c r="Q202" s="20">
        <f t="shared" si="162"/>
        <v>738.9920958575475</v>
      </c>
      <c r="R202" s="59">
        <f t="shared" si="191"/>
        <v>1032.3254291908809</v>
      </c>
      <c r="S202" s="59">
        <f ca="1">AVERAGE(OFFSET($R$3,0,0,'Données projet'!$E$9+1,1))-AVERAGE(OFFSET($H$3,0,0,'Données projet'!$E$9+1,1))</f>
        <v>342.49944586217674</v>
      </c>
      <c r="T202" s="59">
        <f t="shared" si="204"/>
        <v>282.29766600872563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11.173049566441339</v>
      </c>
      <c r="AA202" s="21">
        <f>EXP(-LN(2)/25)*AA201+(1-EXP(-LN(2)/25))/(LN(2)/25)*Calculateur!V202*Calculateur!X202*VLOOKUP('Données projet'!$B$9,Paramètres!$A$1:$I$89,3,0)*0.475*44/12</f>
        <v>0.36980329105855253</v>
      </c>
      <c r="AB202" s="21">
        <f>EXP(-LN(2)/2)*AB201+(1-EXP(-LN(2)/2))/(LN(2)/2)*V202*Y202*VLOOKUP('Données projet'!$B$9,Paramètres!$A$1:$I$89,3,0)*0.475*44/12</f>
        <v>3.0266819353487187E-27</v>
      </c>
      <c r="AC202" s="22">
        <f t="shared" si="163"/>
        <v>11.542852857499891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739.99999999999966</v>
      </c>
      <c r="AJ202" s="13">
        <f>AI202*VLOOKUP('Données projet'!$B$10,Paramètres!$A$1:$I$89,3,0)*VLOOKUP('Données projet'!$B$10,Paramètres!$A$1:$I$89,5,0)</f>
        <v>413.65999999999985</v>
      </c>
      <c r="AK202" s="13">
        <f t="shared" si="164"/>
        <v>94.540585122244352</v>
      </c>
      <c r="AL202" s="20">
        <f t="shared" si="165"/>
        <v>885.11601908790863</v>
      </c>
      <c r="AM202" s="59">
        <f t="shared" si="193"/>
        <v>1178.4493524212419</v>
      </c>
      <c r="AN202" s="59">
        <f ca="1">AVERAGE(OFFSET($AM$3,0,0,'Données projet'!$E$10+1,1))-AVERAGE(OFFSET($H$3,0,0,'Données projet'!$E$10+1,1))</f>
        <v>490.96084572840579</v>
      </c>
      <c r="AO202" s="59">
        <f t="shared" si="205"/>
        <v>597.91658789908263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7.8728878815302927</v>
      </c>
      <c r="AV202" s="21">
        <f>EXP(-LN(2)/25)*AV201+(1-EXP(-LN(2)/25))/(LN(2)/25)*Calculateur!AQ202*Calculateur!AS202*VLOOKUP('Données projet'!$B$10,Paramètres!$A$1:$I$89,3,0)*0.475*44/12</f>
        <v>0.53312272902392788</v>
      </c>
      <c r="AW202" s="21">
        <f>EXP(-LN(2)/2)*AW201+(1-EXP(-LN(2)/2))/(LN(2)/2)*AQ202*AT202*VLOOKUP('Données projet'!$B$10,Paramètres!$A$1:$I$89,3,0)*0.475*44/12</f>
        <v>3.1090749435887661E-26</v>
      </c>
      <c r="AX202" s="21">
        <f t="shared" si="166"/>
        <v>8.4060106105542207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213.00000000000003</v>
      </c>
      <c r="BE202" s="13">
        <f>BD202*VLOOKUP('Données projet'!$B$11,Paramètres!$A$1:$I$89,3,0)*VLOOKUP('Données projet'!$B$11,Paramètres!$A$1:$I$89,5,0)</f>
        <v>169.46280000000002</v>
      </c>
      <c r="BF202" s="13">
        <f t="shared" si="167"/>
        <v>42.969686502194378</v>
      </c>
      <c r="BG202" s="20">
        <f t="shared" si="168"/>
        <v>369.98658065798855</v>
      </c>
      <c r="BH202" s="59">
        <f t="shared" si="194"/>
        <v>663.31991399132187</v>
      </c>
      <c r="BI202" s="59">
        <f ca="1">AVERAGE(OFFSET($BH$3,0,0,'Données projet'!$E$11+1,1))-AVERAGE(OFFSET($H$3,0,0,'Données projet'!$E$11+1,1))</f>
        <v>167.80254365106839</v>
      </c>
      <c r="BJ202" s="59">
        <f t="shared" si="206"/>
        <v>167.42302164950172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3.1753624156843259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3.1753624156843259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669.99999999999989</v>
      </c>
      <c r="BZ202" s="13">
        <f>BY202*VLOOKUP('Données projet'!$B$12,Paramètres!$A$1:$I$89,3,0)*VLOOKUP('Données projet'!$B$12,Paramètres!$A$1:$I$89,5,0)</f>
        <v>330.97999999999996</v>
      </c>
      <c r="CA202" s="13">
        <f t="shared" si="170"/>
        <v>77.633451096966454</v>
      </c>
      <c r="CB202" s="20">
        <f t="shared" si="171"/>
        <v>711.66842732721636</v>
      </c>
      <c r="CC202" s="59">
        <f t="shared" si="195"/>
        <v>1005.0017606605497</v>
      </c>
      <c r="CD202" s="59">
        <f ca="1">AVERAGE(OFFSET($CC$3,0,0,'Données projet'!$E$12+1,1))-AVERAGE(OFFSET($H$3,0,0,'Données projet'!$E$12+1,1))</f>
        <v>322.06606384496587</v>
      </c>
      <c r="CE202" s="59">
        <f t="shared" si="207"/>
        <v>267.71713177624713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11.0208272014386</v>
      </c>
      <c r="CL202" s="21">
        <f>EXP(-LN(2)/25)*CL201+(1-EXP(-LN(2)/25))/(LN(2)/25)*Calculateur!CG202*Calculateur!CI202*VLOOKUP('Données projet'!$B$12,Paramètres!$A$1:$I$89,3,0)*0.475*44/12</f>
        <v>0.18549401134687937</v>
      </c>
      <c r="CM202" s="21">
        <f>EXP(-LN(2)/2)*CM201+(1-EXP(-LN(2)/2))/(LN(2)/2)*CG202*CJ202*VLOOKUP('Données projet'!$B$12,Paramètres!$A$1:$I$89,3,0)*0.475*44/12</f>
        <v>1.4458154346175527E-25</v>
      </c>
      <c r="CN202" s="22">
        <f t="shared" si="172"/>
        <v>11.206321212785479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401</v>
      </c>
      <c r="CU202" s="17">
        <f>CT202*VLOOKUP('Données projet'!$B$13,Paramètres!$A$1:$I$89,3,0)*VLOOKUP('Données projet'!$B$13,Paramètres!$A$1:$I$89,5,0)</f>
        <v>250.22399999999999</v>
      </c>
      <c r="CV202" s="13">
        <f t="shared" si="173"/>
        <v>60.633904580527918</v>
      </c>
      <c r="CW202" s="20">
        <f t="shared" si="174"/>
        <v>541.41085047775289</v>
      </c>
      <c r="CX202" s="59">
        <f t="shared" si="196"/>
        <v>834.74418381108626</v>
      </c>
      <c r="CY202" s="59">
        <f ca="1">AVERAGE(OFFSET($CX$3,0,0,'Données projet'!$E$13+1,1))-AVERAGE(OFFSET($H$3,0,0,'Données projet'!$E$13+1,1))</f>
        <v>269.77739619445515</v>
      </c>
      <c r="CZ202" s="59">
        <f t="shared" si="208"/>
        <v>347.56964743629885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4.8818776320518795</v>
      </c>
      <c r="DG202" s="21">
        <f>EXP(-LN(2)/25)*DG201+(1-EXP(-LN(2)/25))/(LN(2)/25)*Calculateur!DB202*Calculateur!DD202*VLOOKUP('Données projet'!$B$13,Paramètres!$A$1:$I$89,3,0)*0.475*44/12</f>
        <v>0.84645980820154321</v>
      </c>
      <c r="DH202" s="21">
        <f>EXP(-LN(2)/2)*DH201+(1-EXP(-LN(2)/2))/(LN(2)/2)*DB202*DE202*VLOOKUP('Données projet'!$B$13,Paramètres!$A$1:$I$89,3,0)*0.475*44/12</f>
        <v>9.0800458060461481E-28</v>
      </c>
      <c r="DI202" s="22">
        <f t="shared" si="175"/>
        <v>5.7283374402534228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669.99999999999989</v>
      </c>
      <c r="DP202" s="17">
        <f>DO202*VLOOKUP('Données projet'!$B$14,Paramètres!$A$1:$I$89,3,0)*VLOOKUP('Données projet'!$B$14,Paramètres!$A$1:$I$89,5,0)</f>
        <v>322.26999999999992</v>
      </c>
      <c r="DQ202" s="13">
        <f t="shared" si="176"/>
        <v>75.825476822885776</v>
      </c>
      <c r="DR202" s="20">
        <f t="shared" si="177"/>
        <v>693.34962213319261</v>
      </c>
      <c r="DS202" s="59">
        <f t="shared" si="197"/>
        <v>986.68295546652598</v>
      </c>
      <c r="DT202" s="59">
        <f ca="1">AVERAGE(OFFSET($DS$3,0,0,'Données projet'!$E$14+1,1))-AVERAGE(OFFSET($H$3,0,0,'Données projet'!$E$14+1,1))</f>
        <v>312.64506496298173</v>
      </c>
      <c r="DU202" s="59">
        <f t="shared" si="209"/>
        <v>259.97532509897508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10.730805432979697</v>
      </c>
      <c r="EB202" s="21">
        <f>EXP(-LN(2)/25)*EB201+(1-EXP(-LN(2)/25))/(LN(2)/25)*Calculateur!DW202*Calculateur!DY202*VLOOKUP('Données projet'!$B$14,Paramètres!$A$1:$I$89,3,0)*0.475*44/12</f>
        <v>0.18061258999564625</v>
      </c>
      <c r="EC202" s="21">
        <f>EXP(-LN(2)/2)*EC201+(1-EXP(-LN(2)/2))/(LN(2)/2)*DW202*DZ202*VLOOKUP('Données projet'!$B$14,Paramètres!$A$1:$I$89,3,0)*0.475*44/12</f>
        <v>1.4077676600223341E-25</v>
      </c>
      <c r="ED202" s="22">
        <f t="shared" si="178"/>
        <v>10.911418022975344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267</v>
      </c>
      <c r="EK202" s="17">
        <f>EJ202*VLOOKUP('Données projet'!$B$15,Paramètres!$A$1:$I$89,3,0)*VLOOKUP('Données projet'!$B$15,Paramètres!$A$1:$I$89,5,0)</f>
        <v>241.58159999999998</v>
      </c>
      <c r="EL202" s="13">
        <f t="shared" si="179"/>
        <v>58.779689232021951</v>
      </c>
      <c r="EM202" s="20">
        <f t="shared" si="180"/>
        <v>523.12924541243819</v>
      </c>
      <c r="EN202" s="59">
        <f t="shared" si="198"/>
        <v>816.46257874577145</v>
      </c>
      <c r="EO202" s="59">
        <f ca="1">AVERAGE(OFFSET($EN$3,0,0,'Données projet'!$E$15+1,1))-AVERAGE(OFFSET($H$3,0,0,'Données projet'!$E$15+1,1))</f>
        <v>269.64423257646359</v>
      </c>
      <c r="EP202" s="59">
        <f t="shared" si="210"/>
        <v>161.0819079811821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14.320954936942892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14.320954936942892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349.00000000000017</v>
      </c>
      <c r="FF202" s="17">
        <f>FE202*VLOOKUP('Données projet'!$B$16,Paramètres!$A$1:$I$89,3,0)*VLOOKUP('Données projet'!$B$16,Paramètres!$A$1:$I$89,5,0)</f>
        <v>272.22000000000014</v>
      </c>
      <c r="FG202" s="13">
        <f t="shared" si="182"/>
        <v>65.320184547527205</v>
      </c>
      <c r="FH202" s="20">
        <f t="shared" si="183"/>
        <v>587.88248808694345</v>
      </c>
      <c r="FI202" s="59">
        <f t="shared" si="199"/>
        <v>881.21582142027682</v>
      </c>
      <c r="FJ202" s="59">
        <f ca="1">AVERAGE(OFFSET($FI$3,0,0,'Données projet'!$E$16+1,1))-AVERAGE(OFFSET($H$3,0,0,'Données projet'!$E$16+1,1))</f>
        <v>283.77864672734273</v>
      </c>
      <c r="FK202" s="59">
        <f t="shared" si="211"/>
        <v>270.94620935643866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6.7354070661394925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6.7354070661394925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319</v>
      </c>
      <c r="GA202" s="17">
        <f>FZ202*VLOOKUP('Données projet'!$B$17,Paramètres!$A$1:$I$89,3,0)*VLOOKUP('Données projet'!$B$17,Paramètres!$A$1:$I$89,5,0)</f>
        <v>308.53680000000003</v>
      </c>
      <c r="GB202" s="13">
        <f t="shared" si="185"/>
        <v>72.963171684496103</v>
      </c>
      <c r="GC202" s="20">
        <f t="shared" si="186"/>
        <v>664.4457840171641</v>
      </c>
      <c r="GD202" s="59">
        <f t="shared" si="200"/>
        <v>957.77911735049747</v>
      </c>
      <c r="GE202" s="59">
        <f ca="1">AVERAGE(OFFSET($GD$3,0,0,'Données projet'!$E$17+1,1))-AVERAGE(OFFSET($H$3,0,0,'Données projet'!$E$17+1,1))</f>
        <v>347.54503437087288</v>
      </c>
      <c r="GF202" s="59">
        <f t="shared" si="212"/>
        <v>340.05673244455954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4.9678031579576691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4.9678031579576691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735.00000000000011</v>
      </c>
      <c r="O203" s="13">
        <f>N203*VLOOKUP('Données projet'!$B$9,Paramètres!$A$1:$I$89,3,0)*VLOOKUP('Données projet'!$B$9,Paramètres!$A$1:$I$89,5,0)</f>
        <v>343.98</v>
      </c>
      <c r="P203" s="13">
        <f t="shared" si="203"/>
        <v>80.321681832084693</v>
      </c>
      <c r="Q203" s="20">
        <f t="shared" si="162"/>
        <v>738.9920958575475</v>
      </c>
      <c r="R203" s="59">
        <f t="shared" si="191"/>
        <v>1032.3254291908809</v>
      </c>
      <c r="S203" s="59">
        <f ca="1">AVERAGE(OFFSET($R$3,0,0,'Données projet'!$E$9+1,1))-AVERAGE(OFFSET($H$3,0,0,'Données projet'!$E$9+1,1))</f>
        <v>342.49944586217674</v>
      </c>
      <c r="T203" s="59">
        <f t="shared" si="204"/>
        <v>282.29766600872563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10.953952879330746</v>
      </c>
      <c r="AA203" s="21">
        <f>EXP(-LN(2)/25)*AA202+(1-EXP(-LN(2)/25))/(LN(2)/25)*Calculateur!V203*Calculateur!X203*VLOOKUP('Données projet'!$B$9,Paramètres!$A$1:$I$89,3,0)*0.475*44/12</f>
        <v>0.35969100061744652</v>
      </c>
      <c r="AB203" s="21">
        <f>EXP(-LN(2)/2)*AB202+(1-EXP(-LN(2)/2))/(LN(2)/2)*V203*Y203*VLOOKUP('Données projet'!$B$9,Paramètres!$A$1:$I$89,3,0)*0.475*44/12</f>
        <v>2.1401873209799026E-27</v>
      </c>
      <c r="AC203" s="22">
        <f t="shared" si="163"/>
        <v>11.313643879948193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739.99999999999966</v>
      </c>
      <c r="AJ203" s="13">
        <f>AI203*VLOOKUP('Données projet'!$B$10,Paramètres!$A$1:$I$89,3,0)*VLOOKUP('Données projet'!$B$10,Paramètres!$A$1:$I$89,5,0)</f>
        <v>413.65999999999985</v>
      </c>
      <c r="AK203" s="13">
        <f t="shared" si="164"/>
        <v>94.540585122244352</v>
      </c>
      <c r="AL203" s="20">
        <f t="shared" si="165"/>
        <v>885.11601908790863</v>
      </c>
      <c r="AM203" s="59">
        <f t="shared" si="193"/>
        <v>1178.4493524212419</v>
      </c>
      <c r="AN203" s="59">
        <f ca="1">AVERAGE(OFFSET($AM$3,0,0,'Données projet'!$E$10+1,1))-AVERAGE(OFFSET($H$3,0,0,'Données projet'!$E$10+1,1))</f>
        <v>490.96084572840579</v>
      </c>
      <c r="AO203" s="59">
        <f t="shared" si="205"/>
        <v>597.91658789908263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7.7185053521609346</v>
      </c>
      <c r="AV203" s="21">
        <f>EXP(-LN(2)/25)*AV202+(1-EXP(-LN(2)/25))/(LN(2)/25)*Calculateur!AQ203*Calculateur!AS203*VLOOKUP('Données projet'!$B$10,Paramètres!$A$1:$I$89,3,0)*0.475*44/12</f>
        <v>0.51854445996306275</v>
      </c>
      <c r="AW203" s="21">
        <f>EXP(-LN(2)/2)*AW202+(1-EXP(-LN(2)/2))/(LN(2)/2)*AQ203*AT203*VLOOKUP('Données projet'!$B$10,Paramètres!$A$1:$I$89,3,0)*0.475*44/12</f>
        <v>2.1984479758287993E-26</v>
      </c>
      <c r="AX203" s="21">
        <f t="shared" si="166"/>
        <v>8.2370498121239972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213.00000000000003</v>
      </c>
      <c r="BE203" s="13">
        <f>BD203*VLOOKUP('Données projet'!$B$11,Paramètres!$A$1:$I$89,3,0)*VLOOKUP('Données projet'!$B$11,Paramètres!$A$1:$I$89,5,0)</f>
        <v>169.46280000000002</v>
      </c>
      <c r="BF203" s="13">
        <f t="shared" si="167"/>
        <v>42.969686502194378</v>
      </c>
      <c r="BG203" s="20">
        <f t="shared" si="168"/>
        <v>369.98658065798855</v>
      </c>
      <c r="BH203" s="59">
        <f t="shared" si="194"/>
        <v>663.31991399132187</v>
      </c>
      <c r="BI203" s="59">
        <f ca="1">AVERAGE(OFFSET($BH$3,0,0,'Données projet'!$E$11+1,1))-AVERAGE(OFFSET($H$3,0,0,'Données projet'!$E$11+1,1))</f>
        <v>167.80254365106839</v>
      </c>
      <c r="BJ203" s="59">
        <f t="shared" si="206"/>
        <v>167.42302164950172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3.1130954954925887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3.1130954954925887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669.99999999999989</v>
      </c>
      <c r="BZ203" s="13">
        <f>BY203*VLOOKUP('Données projet'!$B$12,Paramètres!$A$1:$I$89,3,0)*VLOOKUP('Données projet'!$B$12,Paramètres!$A$1:$I$89,5,0)</f>
        <v>330.97999999999996</v>
      </c>
      <c r="CA203" s="13">
        <f t="shared" si="170"/>
        <v>77.633451096966454</v>
      </c>
      <c r="CB203" s="20">
        <f t="shared" si="171"/>
        <v>711.66842732721636</v>
      </c>
      <c r="CC203" s="59">
        <f t="shared" si="195"/>
        <v>1005.0017606605497</v>
      </c>
      <c r="CD203" s="59">
        <f ca="1">AVERAGE(OFFSET($CC$3,0,0,'Données projet'!$E$12+1,1))-AVERAGE(OFFSET($H$3,0,0,'Données projet'!$E$12+1,1))</f>
        <v>322.06606384496587</v>
      </c>
      <c r="CE203" s="59">
        <f t="shared" si="207"/>
        <v>267.71713177624713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10.804715502059235</v>
      </c>
      <c r="CL203" s="21">
        <f>EXP(-LN(2)/25)*CL202+(1-EXP(-LN(2)/25))/(LN(2)/25)*Calculateur!CG203*Calculateur!CI203*VLOOKUP('Données projet'!$B$12,Paramètres!$A$1:$I$89,3,0)*0.475*44/12</f>
        <v>0.18042166785189284</v>
      </c>
      <c r="CM203" s="21">
        <f>EXP(-LN(2)/2)*CM202+(1-EXP(-LN(2)/2))/(LN(2)/2)*CG203*CJ203*VLOOKUP('Données projet'!$B$12,Paramètres!$A$1:$I$89,3,0)*0.475*44/12</f>
        <v>1.022345898162247E-25</v>
      </c>
      <c r="CN203" s="22">
        <f t="shared" si="172"/>
        <v>10.985137169911127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401</v>
      </c>
      <c r="CU203" s="17">
        <f>CT203*VLOOKUP('Données projet'!$B$13,Paramètres!$A$1:$I$89,3,0)*VLOOKUP('Données projet'!$B$13,Paramètres!$A$1:$I$89,5,0)</f>
        <v>250.22399999999999</v>
      </c>
      <c r="CV203" s="13">
        <f t="shared" si="173"/>
        <v>60.633904580527918</v>
      </c>
      <c r="CW203" s="20">
        <f t="shared" si="174"/>
        <v>541.41085047775289</v>
      </c>
      <c r="CX203" s="59">
        <f t="shared" si="196"/>
        <v>834.74418381108626</v>
      </c>
      <c r="CY203" s="59">
        <f ca="1">AVERAGE(OFFSET($CX$3,0,0,'Données projet'!$E$13+1,1))-AVERAGE(OFFSET($H$3,0,0,'Données projet'!$E$13+1,1))</f>
        <v>269.77739619445515</v>
      </c>
      <c r="CZ203" s="59">
        <f t="shared" si="208"/>
        <v>347.56964743629885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4.786146989338679</v>
      </c>
      <c r="DG203" s="21">
        <f>EXP(-LN(2)/25)*DG202+(1-EXP(-LN(2)/25))/(LN(2)/25)*Calculateur!DB203*Calculateur!DD203*VLOOKUP('Données projet'!$B$13,Paramètres!$A$1:$I$89,3,0)*0.475*44/12</f>
        <v>0.82331332023288528</v>
      </c>
      <c r="DH203" s="21">
        <f>EXP(-LN(2)/2)*DH202+(1-EXP(-LN(2)/2))/(LN(2)/2)*DB203*DE203*VLOOKUP('Données projet'!$B$13,Paramètres!$A$1:$I$89,3,0)*0.475*44/12</f>
        <v>6.4205619629397024E-28</v>
      </c>
      <c r="DI203" s="22">
        <f t="shared" si="175"/>
        <v>5.6094603095715643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669.99999999999989</v>
      </c>
      <c r="DP203" s="17">
        <f>DO203*VLOOKUP('Données projet'!$B$14,Paramètres!$A$1:$I$89,3,0)*VLOOKUP('Données projet'!$B$14,Paramètres!$A$1:$I$89,5,0)</f>
        <v>322.26999999999992</v>
      </c>
      <c r="DQ203" s="13">
        <f t="shared" si="176"/>
        <v>75.825476822885776</v>
      </c>
      <c r="DR203" s="20">
        <f t="shared" si="177"/>
        <v>693.34962213319261</v>
      </c>
      <c r="DS203" s="59">
        <f t="shared" si="197"/>
        <v>986.68295546652598</v>
      </c>
      <c r="DT203" s="59">
        <f ca="1">AVERAGE(OFFSET($DS$3,0,0,'Données projet'!$E$14+1,1))-AVERAGE(OFFSET($H$3,0,0,'Données projet'!$E$14+1,1))</f>
        <v>312.64506496298173</v>
      </c>
      <c r="DU203" s="59">
        <f t="shared" si="209"/>
        <v>259.97532509897508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10.520380883584</v>
      </c>
      <c r="EB203" s="21">
        <f>EXP(-LN(2)/25)*EB202+(1-EXP(-LN(2)/25))/(LN(2)/25)*Calculateur!DW203*Calculateur!DY203*VLOOKUP('Données projet'!$B$14,Paramètres!$A$1:$I$89,3,0)*0.475*44/12</f>
        <v>0.17567372922421198</v>
      </c>
      <c r="EC203" s="21">
        <f>EXP(-LN(2)/2)*EC202+(1-EXP(-LN(2)/2))/(LN(2)/2)*DW203*DZ203*VLOOKUP('Données projet'!$B$14,Paramètres!$A$1:$I$89,3,0)*0.475*44/12</f>
        <v>9.9544205873691066E-26</v>
      </c>
      <c r="ED203" s="22">
        <f t="shared" si="178"/>
        <v>10.696054612808211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267</v>
      </c>
      <c r="EK203" s="17">
        <f>EJ203*VLOOKUP('Données projet'!$B$15,Paramètres!$A$1:$I$89,3,0)*VLOOKUP('Données projet'!$B$15,Paramètres!$A$1:$I$89,5,0)</f>
        <v>241.58159999999998</v>
      </c>
      <c r="EL203" s="13">
        <f t="shared" si="179"/>
        <v>58.779689232021951</v>
      </c>
      <c r="EM203" s="20">
        <f t="shared" si="180"/>
        <v>523.12924541243819</v>
      </c>
      <c r="EN203" s="59">
        <f t="shared" si="198"/>
        <v>816.46257874577145</v>
      </c>
      <c r="EO203" s="59">
        <f ca="1">AVERAGE(OFFSET($EN$3,0,0,'Données projet'!$E$15+1,1))-AVERAGE(OFFSET($H$3,0,0,'Données projet'!$E$15+1,1))</f>
        <v>269.64423257646359</v>
      </c>
      <c r="EP203" s="59">
        <f t="shared" si="210"/>
        <v>161.0819079811821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14.040129745549452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14.040129745549452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349.00000000000017</v>
      </c>
      <c r="FF203" s="17">
        <f>FE203*VLOOKUP('Données projet'!$B$16,Paramètres!$A$1:$I$89,3,0)*VLOOKUP('Données projet'!$B$16,Paramètres!$A$1:$I$89,5,0)</f>
        <v>272.22000000000014</v>
      </c>
      <c r="FG203" s="13">
        <f t="shared" si="182"/>
        <v>65.320184547527205</v>
      </c>
      <c r="FH203" s="20">
        <f t="shared" si="183"/>
        <v>587.88248808694345</v>
      </c>
      <c r="FI203" s="59">
        <f t="shared" si="199"/>
        <v>881.21582142027682</v>
      </c>
      <c r="FJ203" s="59">
        <f ca="1">AVERAGE(OFFSET($FI$3,0,0,'Données projet'!$E$16+1,1))-AVERAGE(OFFSET($H$3,0,0,'Données projet'!$E$16+1,1))</f>
        <v>283.77864672734273</v>
      </c>
      <c r="FK203" s="59">
        <f t="shared" si="211"/>
        <v>270.94620935643866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6.6033298417651567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6.6033298417651567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319</v>
      </c>
      <c r="GA203" s="17">
        <f>FZ203*VLOOKUP('Données projet'!$B$17,Paramètres!$A$1:$I$89,3,0)*VLOOKUP('Données projet'!$B$17,Paramètres!$A$1:$I$89,5,0)</f>
        <v>308.53680000000003</v>
      </c>
      <c r="GB203" s="13">
        <f t="shared" si="185"/>
        <v>72.963171684496103</v>
      </c>
      <c r="GC203" s="20">
        <f t="shared" si="186"/>
        <v>664.4457840171641</v>
      </c>
      <c r="GD203" s="59">
        <f t="shared" si="200"/>
        <v>957.77911735049747</v>
      </c>
      <c r="GE203" s="59">
        <f ca="1">AVERAGE(OFFSET($GD$3,0,0,'Données projet'!$E$17+1,1))-AVERAGE(OFFSET($H$3,0,0,'Données projet'!$E$17+1,1))</f>
        <v>347.54503437087288</v>
      </c>
      <c r="GF203" s="59">
        <f t="shared" si="212"/>
        <v>340.05673244455954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4.8703875680908517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4.8703875680908517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1.2907749310619425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1.4037863041747067</v>
      </c>
      <c r="BA205" s="81">
        <f>EXP(LN('Données projet'!B88)/'Données projet'!A88)</f>
        <v>1.1577536725165907</v>
      </c>
      <c r="BV205" s="81">
        <f>EXP(LN('Données projet'!B114)/'Données projet'!A114)</f>
        <v>1.2563584400948855</v>
      </c>
      <c r="CQ205" s="81">
        <f>EXP(LN('Données projet'!B140)/'Données projet'!A140)</f>
        <v>1.4714192565876152</v>
      </c>
      <c r="DL205" s="81">
        <f>EXP(LN('Données projet'!B166)/'Données projet'!A166)</f>
        <v>1.2563584400948855</v>
      </c>
      <c r="EG205" s="81">
        <f>EXP(LN('Données projet'!B192)/'Données projet'!A192)</f>
        <v>1.2054868146447177</v>
      </c>
      <c r="FB205" s="81">
        <f>EXP(LN('Données projet'!B218)/'Données projet'!A218)</f>
        <v>1.2688471048731957</v>
      </c>
      <c r="FW205" s="81">
        <f>EXP(LN('Données projet'!B244)/'Données projet'!A244)</f>
        <v>1.2709816152101407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1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2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1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3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3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2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1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2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189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2" t="s">
        <v>271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Cèdre de l'Atlas</v>
      </c>
      <c r="B6" s="144">
        <f>'Données projet'!D9</f>
        <v>1.1528985507246376</v>
      </c>
      <c r="C6" s="145">
        <f ca="1">IF(OR('Données projet'!B9="",'Données projet'!C9="",'Données projet'!C9=0%),0,Calculateur!S3)</f>
        <v>342.49944586217674</v>
      </c>
      <c r="D6" s="145">
        <f>IF(OR('Données projet'!B9="",'Données projet'!C9="",'Données projet'!C9=0%),0,Calculateur!T3)</f>
        <v>282.29766600872563</v>
      </c>
      <c r="E6" s="145">
        <f ca="1">MIN(C6,D6)</f>
        <v>282.29766600872563</v>
      </c>
      <c r="F6" s="145">
        <f ca="1">E6*B6</f>
        <v>325.46057001440761</v>
      </c>
      <c r="G6" s="145">
        <f ca="1">F6*(100%-'Données projet'!$C$24)*(100%-'Données projet'!$C$25)*(100%-'Données projet'!$C$26)*(100%-'Données projet'!$C$27)</f>
        <v>292.91451301296684</v>
      </c>
      <c r="H6" s="146">
        <f>IF(OR('Données projet'!B9="",'Données projet'!C9="",'Données projet'!C9=0%),0,AVERAGE(Calculateur!$AC$3:$AC$33)*B6)</f>
        <v>5.5919598317336101</v>
      </c>
      <c r="I6" s="147">
        <f>H6*(100%-'Données projet'!$C$24)*(100%-'Données projet'!$C$25)*(100%-'Données projet'!$C$26)*(100%-'Données projet'!$C$27)</f>
        <v>5.0327638485602488</v>
      </c>
      <c r="J6" s="148">
        <f>IF(OR('Données projet'!B9="",'Données projet'!C9="",'Données projet'!C9=0%),0,SUM(Calculateur!$V$3:$V$33)*VLOOKUP('Données projet'!$B$9,Paramètres!$A$1:$I$89,9,0)*B6)</f>
        <v>64.942775362318841</v>
      </c>
      <c r="K6" s="149">
        <f>J6*(100%-'Données projet'!$C$24)*(100%-'Données projet'!$C$25)*(100%-'Données projet'!$C$26)*(100%-'Données projet'!$C$27)</f>
        <v>58.448497826086957</v>
      </c>
      <c r="L6" s="150">
        <f ca="1">G6+I6+K6</f>
        <v>356.39577468761405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Douglas</v>
      </c>
      <c r="B7" s="152">
        <f>'Données projet'!D10</f>
        <v>0.77898550724637683</v>
      </c>
      <c r="C7" s="145">
        <f ca="1">IF(OR('Données projet'!B10="",'Données projet'!C10="",'Données projet'!C10=0%),0,Calculateur!AN3)</f>
        <v>490.96084572840579</v>
      </c>
      <c r="D7" s="145">
        <f>IF(OR('Données projet'!B10="",'Données projet'!C10="",'Données projet'!C10=0%),0,Calculateur!AO3)</f>
        <v>597.91658789908263</v>
      </c>
      <c r="E7" s="145">
        <f t="shared" ref="E7:E15" ca="1" si="0">MIN(C7,D7)</f>
        <v>490.96084572840579</v>
      </c>
      <c r="F7" s="145">
        <f t="shared" ref="F7:F15" ca="1" si="1">E7*B7</f>
        <v>382.45138344785232</v>
      </c>
      <c r="G7" s="145">
        <f ca="1">F7*(100%-'Données projet'!$C$24)*(100%-'Données projet'!$C$25)*(100%-'Données projet'!$C$26)*(100%-'Données projet'!$C$27)</f>
        <v>344.20624510306709</v>
      </c>
      <c r="H7" s="153">
        <f>IF(OR('Données projet'!B10="",'Données projet'!C10="",'Données projet'!C10=0%),0,AVERAGE(Calculateur!$AX$3:$AX$33)*B7)</f>
        <v>6.6348513430721914</v>
      </c>
      <c r="I7" s="147">
        <f>H7*(100%-'Données projet'!$C$24)*(100%-'Données projet'!$C$25)*(100%-'Données projet'!$C$26)*(100%-'Données projet'!$C$27)</f>
        <v>5.9713662087649721</v>
      </c>
      <c r="J7" s="148">
        <f>IF(OR('Données projet'!B10="",'Données projet'!C10="",'Données projet'!C10=0%),0,SUM(Calculateur!$AQ$3:$AQ$33)*VLOOKUP('Données projet'!$B$10,Paramètres!$A$1:$I$89,9,0)*B7)</f>
        <v>64.648007246376807</v>
      </c>
      <c r="K7" s="149">
        <f>J7*(100%-'Données projet'!$C$24)*(100%-'Données projet'!$C$25)*(100%-'Données projet'!$C$26)*(100%-'Données projet'!$C$27)</f>
        <v>58.18320652173913</v>
      </c>
      <c r="L7" s="150">
        <f t="shared" ref="L7:L15" ca="1" si="2">G7+I7+K7</f>
        <v>408.36081783357116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Erable sycomore</v>
      </c>
      <c r="B8" s="152">
        <f>'Données projet'!D11</f>
        <v>0.74782608695652164</v>
      </c>
      <c r="C8" s="145">
        <f ca="1">IF(OR('Données projet'!B11="",'Données projet'!C11="",'Données projet'!C11=0%),0,Calculateur!BI3)</f>
        <v>167.80254365106839</v>
      </c>
      <c r="D8" s="145">
        <f>IF(OR('Données projet'!B11="",'Données projet'!C11="",'Données projet'!C11=0%),0,Calculateur!BJ3)</f>
        <v>167.42302164950172</v>
      </c>
      <c r="E8" s="145">
        <f t="shared" ca="1" si="0"/>
        <v>167.42302164950172</v>
      </c>
      <c r="F8" s="145">
        <f t="shared" ca="1" si="1"/>
        <v>125.20330314658388</v>
      </c>
      <c r="G8" s="145">
        <f ca="1">F8*(100%-'Données projet'!$C$24)*(100%-'Données projet'!$C$25)*(100%-'Données projet'!$C$26)*(100%-'Données projet'!$C$27)</f>
        <v>112.6829728319255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11.778260869565216</v>
      </c>
      <c r="K8" s="149">
        <f>J8*(100%-'Données projet'!$C$24)*(100%-'Données projet'!$C$25)*(100%-'Données projet'!$C$26)*(100%-'Données projet'!$C$27)</f>
        <v>10.600434782608694</v>
      </c>
      <c r="L8" s="150">
        <f t="shared" ca="1" si="2"/>
        <v>123.28340761453418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Sapin pectiné</v>
      </c>
      <c r="B9" s="152">
        <f>'Données projet'!D12</f>
        <v>0.56086956521739129</v>
      </c>
      <c r="C9" s="145">
        <f ca="1">IF(OR('Données projet'!B12="",'Données projet'!C12="",'Données projet'!C12=0%),0,Calculateur!CD3)</f>
        <v>322.06606384496587</v>
      </c>
      <c r="D9" s="145">
        <f>IF(OR('Données projet'!B12="",'Données projet'!C12="",'Données projet'!C12=0%),0,Calculateur!CE3)</f>
        <v>267.71713177624713</v>
      </c>
      <c r="E9" s="145">
        <f t="shared" ca="1" si="0"/>
        <v>267.71713177624713</v>
      </c>
      <c r="F9" s="145">
        <f t="shared" ca="1" si="1"/>
        <v>150.15439130059079</v>
      </c>
      <c r="G9" s="145">
        <f ca="1">F9*(100%-'Données projet'!$C$24)*(100%-'Données projet'!$C$25)*(100%-'Données projet'!$C$26)*(100%-'Données projet'!$C$27)</f>
        <v>135.13895217053172</v>
      </c>
      <c r="H9" s="153">
        <f>IF(OR('Données projet'!B12="",'Données projet'!C12="",'Données projet'!C12=0%),0,AVERAGE(Calculateur!$CN$3:$CN$33)*B9)</f>
        <v>1.5730062497707187</v>
      </c>
      <c r="I9" s="147">
        <f>H9*(100%-'Données projet'!$C$24)*(100%-'Données projet'!$C$25)*(100%-'Données projet'!$C$26)*(100%-'Données projet'!$C$27)</f>
        <v>1.4157056247936468</v>
      </c>
      <c r="J9" s="148">
        <f>IF(OR('Données projet'!B12="",'Données projet'!C12="",'Données projet'!C12=0%),0,SUM(Calculateur!$CG$3:$CG$33)*VLOOKUP('Données projet'!$B$12,Paramètres!$A$1:$I$89,9,0)*B9)</f>
        <v>23.152695652173914</v>
      </c>
      <c r="K9" s="149">
        <f>J9*(100%-'Données projet'!$C$24)*(100%-'Données projet'!$C$25)*(100%-'Données projet'!$C$26)*(100%-'Données projet'!$C$27)</f>
        <v>20.837426086956523</v>
      </c>
      <c r="L9" s="150">
        <f t="shared" ca="1" si="2"/>
        <v>157.3920838822819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Mélèze d'Europe</v>
      </c>
      <c r="B10" s="152">
        <f>'Données projet'!D13</f>
        <v>0.43623188405797103</v>
      </c>
      <c r="C10" s="145">
        <f ca="1">IF(OR('Données projet'!B13="",'Données projet'!C13="",'Données projet'!C13=0%),0,Calculateur!CY3)</f>
        <v>269.77739619445515</v>
      </c>
      <c r="D10" s="145">
        <f>IF(OR('Données projet'!B13="",'Données projet'!C13="",'Données projet'!C13=0%),0,Calculateur!CZ3)</f>
        <v>347.56964743629885</v>
      </c>
      <c r="E10" s="145">
        <f t="shared" ca="1" si="0"/>
        <v>269.77739619445515</v>
      </c>
      <c r="F10" s="145">
        <f t="shared" ca="1" si="1"/>
        <v>117.68550181816087</v>
      </c>
      <c r="G10" s="145">
        <f ca="1">F10*(100%-'Données projet'!$C$24)*(100%-'Données projet'!$C$25)*(100%-'Données projet'!$C$26)*(100%-'Données projet'!$C$27)</f>
        <v>105.91695163634479</v>
      </c>
      <c r="H10" s="153">
        <f>IF(OR('Données projet'!B13="",'Données projet'!C13="",'Données projet'!C13=0%),0,AVERAGE(Calculateur!$DI$3:$DI$33)*B10)</f>
        <v>10.850639038921351</v>
      </c>
      <c r="I10" s="147">
        <f>H10*(100%-'Données projet'!$C$24)*(100%-'Données projet'!$C$25)*(100%-'Données projet'!$C$26)*(100%-'Données projet'!$C$27)</f>
        <v>9.7655751350292164</v>
      </c>
      <c r="J10" s="148">
        <f>IF(OR('Données projet'!B13="",'Données projet'!C13="",'Données projet'!C13=0%),0,SUM(Calculateur!$DB$3:$DB$33)*VLOOKUP('Données projet'!$B$13,Paramètres!$A$1:$I$89,9,0)*B10)</f>
        <v>44.756518840579709</v>
      </c>
      <c r="K10" s="149">
        <f>J10*(100%-'Données projet'!$C$24)*(100%-'Données projet'!$C$25)*(100%-'Données projet'!$C$26)*(100%-'Données projet'!$C$27)</f>
        <v>40.280866956521741</v>
      </c>
      <c r="L10" s="150">
        <f t="shared" ca="1" si="2"/>
        <v>155.96339372789575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Sapin de Nordmann</v>
      </c>
      <c r="B11" s="152">
        <f>'Données projet'!D14</f>
        <v>0.24927536231884057</v>
      </c>
      <c r="C11" s="145">
        <f ca="1">IF(OR('Données projet'!B14="",'Données projet'!C14="",'Données projet'!C14=0%),0,Calculateur!DT3)</f>
        <v>312.64506496298173</v>
      </c>
      <c r="D11" s="145">
        <f>IF(OR('Données projet'!B14="",'Données projet'!C14="",'Données projet'!C14=0%),0,Calculateur!DU3)</f>
        <v>259.97532509897508</v>
      </c>
      <c r="E11" s="145">
        <f t="shared" ca="1" si="0"/>
        <v>259.97532509897508</v>
      </c>
      <c r="F11" s="145">
        <f t="shared" ca="1" si="1"/>
        <v>64.805443358005377</v>
      </c>
      <c r="G11" s="145">
        <f ca="1">F11*(100%-'Données projet'!$C$24)*(100%-'Données projet'!$C$25)*(100%-'Données projet'!$C$26)*(100%-'Données projet'!$C$27)</f>
        <v>58.324899022204839</v>
      </c>
      <c r="H11" s="153">
        <f>IF(OR('Données projet'!B14="",'Données projet'!C14="",'Données projet'!C14=0%),0,AVERAGE(Calculateur!$ED$3:$ED$33)*B11)</f>
        <v>0.6807161548715388</v>
      </c>
      <c r="I11" s="147">
        <f>H11*(100%-'Données projet'!$C$24)*(100%-'Données projet'!$C$25)*(100%-'Données projet'!$C$26)*(100%-'Données projet'!$C$27)</f>
        <v>0.6126445393843849</v>
      </c>
      <c r="J11" s="148">
        <f>IF(OR('Données projet'!B14="",'Données projet'!C14="",'Données projet'!C14=0%),0,SUM(Calculateur!$DW$3:$DW$33)*VLOOKUP('Données projet'!$B$14,Paramètres!$A$1:$I$89,9,0)*B11)</f>
        <v>10.290086956521739</v>
      </c>
      <c r="K11" s="149">
        <f>J11*(100%-'Données projet'!$C$24)*(100%-'Données projet'!$C$25)*(100%-'Données projet'!$C$26)*(100%-'Données projet'!$C$27)</f>
        <v>9.2610782608695654</v>
      </c>
      <c r="L11" s="150">
        <f t="shared" ca="1" si="2"/>
        <v>68.19862182245879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Chêne sessile</v>
      </c>
      <c r="B12" s="152">
        <f>'Données projet'!D15</f>
        <v>0.15579710144927536</v>
      </c>
      <c r="C12" s="145">
        <f ca="1">IF(OR('Données projet'!B15="",'Données projet'!C15="",'Données projet'!C15=0%),0,Calculateur!EO3)</f>
        <v>269.64423257646359</v>
      </c>
      <c r="D12" s="145">
        <f>IF(OR('Données projet'!B15="",'Données projet'!C15="",'Données projet'!C15=0%),0,Calculateur!EP3)</f>
        <v>161.0819079811821</v>
      </c>
      <c r="E12" s="145">
        <f t="shared" ca="1" si="0"/>
        <v>161.0819079811821</v>
      </c>
      <c r="F12" s="145">
        <f t="shared" ca="1" si="1"/>
        <v>25.096094359387067</v>
      </c>
      <c r="G12" s="145">
        <f ca="1">F12*(100%-'Données projet'!$C$24)*(100%-'Données projet'!$C$25)*(100%-'Données projet'!$C$26)*(100%-'Données projet'!$C$27)</f>
        <v>22.58648492344836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1.1295289855072463</v>
      </c>
      <c r="K12" s="149">
        <f>J12*(100%-'Données projet'!$C$24)*(100%-'Données projet'!$C$25)*(100%-'Données projet'!$C$26)*(100%-'Données projet'!$C$27)</f>
        <v>1.0165760869565217</v>
      </c>
      <c r="L12" s="150">
        <f t="shared" ca="1" si="2"/>
        <v>23.603061010404883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Merisier</v>
      </c>
      <c r="B13" s="152">
        <f>'Données projet'!D16</f>
        <v>0.12463768115942028</v>
      </c>
      <c r="C13" s="145">
        <f ca="1">IF(OR('Données projet'!B16="",'Données projet'!C16="",'Données projet'!C16=0%),0,Calculateur!FJ3)</f>
        <v>283.77864672734273</v>
      </c>
      <c r="D13" s="145">
        <f>IF(OR('Données projet'!B16="",'Données projet'!C16="",'Données projet'!C16=0%),0,Calculateur!FK3)</f>
        <v>270.94620935643866</v>
      </c>
      <c r="E13" s="145">
        <f t="shared" ca="1" si="0"/>
        <v>270.94620935643866</v>
      </c>
      <c r="F13" s="145">
        <f t="shared" ca="1" si="1"/>
        <v>33.770107253121338</v>
      </c>
      <c r="G13" s="145">
        <f ca="1">F13*(100%-'Données projet'!$C$24)*(100%-'Données projet'!$C$25)*(100%-'Données projet'!$C$26)*(100%-'Données projet'!$C$27)</f>
        <v>30.393096527809206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2.0565217391304347</v>
      </c>
      <c r="K13" s="149">
        <f>J13*(100%-'Données projet'!$C$24)*(100%-'Données projet'!$C$25)*(100%-'Données projet'!$C$26)*(100%-'Données projet'!$C$27)</f>
        <v>1.8508695652173912</v>
      </c>
      <c r="L13" s="150">
        <f t="shared" ca="1" si="2"/>
        <v>32.2439660930266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>Alisier torminal</v>
      </c>
      <c r="B14" s="152">
        <f>'Données projet'!D17</f>
        <v>9.3478260869565205E-2</v>
      </c>
      <c r="C14" s="145">
        <f ca="1">IF(OR('Données projet'!B17="",'Données projet'!C17="",'Données projet'!C17=0%),0,Calculateur!GE3)</f>
        <v>347.54503437087288</v>
      </c>
      <c r="D14" s="145">
        <f>IF(OR('Données projet'!B17="",'Données projet'!C17="",'Données projet'!C17=0%),0,Calculateur!GF3)</f>
        <v>340.05673244455954</v>
      </c>
      <c r="E14" s="145">
        <f t="shared" ca="1" si="0"/>
        <v>340.05673244455954</v>
      </c>
      <c r="F14" s="145">
        <f t="shared" ca="1" si="1"/>
        <v>31.787911945904476</v>
      </c>
      <c r="G14" s="145">
        <f ca="1">F14*(100%-'Données projet'!$C$24)*(100%-'Données projet'!$C$25)*(100%-'Données projet'!$C$26)*(100%-'Données projet'!$C$27)</f>
        <v>28.60912075131403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3.2016304347826083</v>
      </c>
      <c r="K14" s="149">
        <f>J14*(100%-'Données projet'!$C$24)*(100%-'Données projet'!$C$25)*(100%-'Données projet'!$C$26)*(100%-'Données projet'!$C$27)</f>
        <v>2.8814673913043474</v>
      </c>
      <c r="L14" s="150">
        <f t="shared" ca="1" si="2"/>
        <v>31.490588142618378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1256.4147066440134</v>
      </c>
      <c r="G16" s="164">
        <f t="shared" ca="1" si="3"/>
        <v>1130.7732359796123</v>
      </c>
      <c r="H16" s="165">
        <f t="shared" si="3"/>
        <v>25.331172618369411</v>
      </c>
      <c r="I16" s="165">
        <f t="shared" si="3"/>
        <v>22.798055356532466</v>
      </c>
      <c r="J16" s="166">
        <f t="shared" si="3"/>
        <v>225.95602608695648</v>
      </c>
      <c r="K16" s="166">
        <f t="shared" si="3"/>
        <v>203.36042347826086</v>
      </c>
      <c r="L16" s="167">
        <f t="shared" ca="1" si="3"/>
        <v>1356.9317148144055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4" t="s">
        <v>246</v>
      </c>
      <c r="G17" s="295"/>
      <c r="H17" s="295"/>
      <c r="I17" s="295"/>
      <c r="J17" s="295"/>
      <c r="K17" s="295"/>
      <c r="L17" s="29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1"/>
      <c r="G18" s="281"/>
      <c r="H18" s="281"/>
      <c r="I18" s="281"/>
      <c r="J18" s="281"/>
      <c r="K18" s="281"/>
      <c r="L18" s="28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Sapin pectiné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Mélèze d'Europe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Sapin de Nordmann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Chêne sessile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Merisier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>Alisier torminal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8" zoomScale="90" zoomScaleNormal="90" workbookViewId="0">
      <selection activeCell="E266" sqref="E26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2" t="s">
        <v>272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2" t="s">
        <v>315</v>
      </c>
      <c r="I4" s="272"/>
      <c r="K4" s="296" t="s">
        <v>253</v>
      </c>
      <c r="L4" s="297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6" t="s">
        <v>310</v>
      </c>
      <c r="S7" s="307"/>
      <c r="T7" s="307"/>
      <c r="U7" s="307"/>
      <c r="V7" s="30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Cèdre de l'Atlas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-2992.0675713392625</v>
      </c>
      <c r="U10" s="176">
        <f>'Données projet'!D9</f>
        <v>1.1528985507246376</v>
      </c>
      <c r="V10" s="175">
        <f>U10*T10</f>
        <v>-3449.5503666672221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Douglas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-2950.6916280369387</v>
      </c>
      <c r="U11" s="176">
        <f>'Données projet'!D10</f>
        <v>0.77898550724637683</v>
      </c>
      <c r="V11" s="175">
        <f t="shared" ref="V11" si="0">U11*T11</f>
        <v>-2298.5460145939924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Erable sycomore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-3653.5923563611013</v>
      </c>
      <c r="U12" s="176">
        <f>'Données projet'!D11</f>
        <v>0.74782608695652164</v>
      </c>
      <c r="V12" s="175">
        <f t="shared" ref="V12:V19" si="1">U12*T12</f>
        <v>-2732.2516751917797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Sapin pectiné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-2896.1977526449059</v>
      </c>
      <c r="U13" s="176">
        <f>'Données projet'!D12</f>
        <v>0.56086956521739129</v>
      </c>
      <c r="V13" s="175">
        <f t="shared" si="1"/>
        <v>-1624.3891743095342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Cèdre de l'Atlas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Mélèze d'Europe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-2214.6103236882491</v>
      </c>
      <c r="U14" s="176">
        <f>'Données projet'!D13</f>
        <v>0.43623188405797103</v>
      </c>
      <c r="V14" s="175">
        <f t="shared" si="1"/>
        <v>-966.08363395675792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9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Sapin de Nordmann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-3160.9677526449054</v>
      </c>
      <c r="U15" s="176">
        <f>'Données projet'!D14</f>
        <v>0.24927536231884057</v>
      </c>
      <c r="V15" s="175">
        <f t="shared" si="1"/>
        <v>-787.95138181873006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9"/>
      <c r="H16" s="188"/>
      <c r="I16" s="189"/>
      <c r="J16" s="200"/>
      <c r="K16" s="206"/>
      <c r="L16" s="296" t="s">
        <v>254</v>
      </c>
      <c r="M16" s="297"/>
      <c r="N16" s="2">
        <v>45</v>
      </c>
      <c r="O16" s="23"/>
      <c r="P16" s="23"/>
      <c r="Q16" s="232"/>
      <c r="R16" s="23"/>
      <c r="S16" s="36" t="str">
        <f>B200</f>
        <v>Chêne sessile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-4219.7573235139425</v>
      </c>
      <c r="U16" s="176">
        <f>'Données projet'!D15</f>
        <v>0.15579710144927536</v>
      </c>
      <c r="V16" s="175">
        <f t="shared" si="1"/>
        <v>-657.42595982282432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3390.63</v>
      </c>
      <c r="F17" s="228"/>
      <c r="G17" s="299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45.000000000000036</v>
      </c>
      <c r="O17" s="23"/>
      <c r="P17" s="23"/>
      <c r="Q17" s="232"/>
      <c r="R17" s="23"/>
      <c r="S17" s="36" t="str">
        <f>B231</f>
        <v>Merisier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-4445.169293275123</v>
      </c>
      <c r="U17" s="176">
        <f>'Données projet'!D16</f>
        <v>0.12463768115942028</v>
      </c>
      <c r="V17" s="175">
        <f t="shared" si="1"/>
        <v>-554.03559307487035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9"/>
      <c r="J18" s="200"/>
      <c r="K18" s="206"/>
      <c r="L18" s="269" t="s">
        <v>255</v>
      </c>
      <c r="M18" s="271"/>
      <c r="N18" s="190">
        <v>10</v>
      </c>
      <c r="O18" s="23"/>
      <c r="P18" s="23"/>
      <c r="Q18" s="232"/>
      <c r="R18" s="23"/>
      <c r="S18" s="36" t="str">
        <f>B262</f>
        <v>Alisier torminal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-6528.6181149569338</v>
      </c>
      <c r="U18" s="176">
        <f>'Données projet'!D17</f>
        <v>9.3478260869565205E-2</v>
      </c>
      <c r="V18" s="175">
        <f t="shared" si="1"/>
        <v>-610.28386726771328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9"/>
      <c r="H19" s="210" t="s">
        <v>178</v>
      </c>
      <c r="I19" s="210" t="s">
        <v>287</v>
      </c>
      <c r="J19" s="91"/>
      <c r="K19" s="171"/>
      <c r="L19" s="296" t="s">
        <v>288</v>
      </c>
      <c r="M19" s="297"/>
      <c r="N19" s="177">
        <f>N17*N18</f>
        <v>450.00000000000034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9"/>
      <c r="H20" s="188">
        <v>0</v>
      </c>
      <c r="I20" s="189">
        <v>9046.0499999999993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0</v>
      </c>
      <c r="C23" s="191">
        <v>10</v>
      </c>
      <c r="D23" s="180">
        <f>B23*C23</f>
        <v>0</v>
      </c>
      <c r="E23" s="191"/>
      <c r="F23" s="228"/>
      <c r="H23" s="188">
        <v>3</v>
      </c>
      <c r="I23" s="189"/>
      <c r="K23" s="206"/>
      <c r="L23" s="298" t="s">
        <v>260</v>
      </c>
      <c r="M23" s="298"/>
      <c r="N23" s="298"/>
      <c r="O23" s="23"/>
      <c r="P23" s="23"/>
      <c r="Q23" s="232"/>
      <c r="R23" s="23"/>
      <c r="S23" s="36" t="s">
        <v>264</v>
      </c>
      <c r="T23" s="31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-52578.532666703417</v>
      </c>
      <c r="U23" s="311"/>
      <c r="V23" s="31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5</v>
      </c>
      <c r="C24" s="191">
        <v>10</v>
      </c>
      <c r="D24" s="180">
        <f t="shared" ref="D24:D42" si="2">B24*C24</f>
        <v>50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2">
        <f ca="1">'Scénario référence'!$B$8*$M$30*'Données projet'!$C$5+('Scénario référence'!B9+'Scénario référence'!B10+'Scénario référence'!F8+'Scénario référence'!F9)*$N$19/(1+M4)^N16*'Données projet'!$C$5</f>
        <v>266.96104842496999</v>
      </c>
      <c r="U24" s="312"/>
      <c r="V24" s="31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63</v>
      </c>
      <c r="C25" s="191">
        <v>10</v>
      </c>
      <c r="D25" s="180">
        <f t="shared" si="2"/>
        <v>630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3">
        <f ca="1">T23-T24</f>
        <v>-52845.493715128388</v>
      </c>
      <c r="U25" s="313"/>
      <c r="V25" s="31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63</v>
      </c>
      <c r="C26" s="191">
        <v>10</v>
      </c>
      <c r="D26" s="180">
        <f t="shared" si="2"/>
        <v>630</v>
      </c>
      <c r="E26" s="191"/>
      <c r="F26" s="231"/>
      <c r="G26" s="227"/>
      <c r="H26" s="188"/>
      <c r="I26" s="189"/>
      <c r="K26" s="206"/>
      <c r="L26" s="300" t="s">
        <v>258</v>
      </c>
      <c r="M26" s="301"/>
      <c r="N26" s="301"/>
      <c r="O26" s="301"/>
      <c r="P26" s="302"/>
      <c r="Q26" s="232"/>
      <c r="R26" s="23"/>
      <c r="S26" s="184" t="s">
        <v>265</v>
      </c>
      <c r="T26" s="310" t="str">
        <f ca="1">IF(T25&lt;0,"Votre projet est additionnel","Votre projet n'est pas additionnel")</f>
        <v>Votre projet est additionnel</v>
      </c>
      <c r="U26" s="310"/>
      <c r="V26" s="31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63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3"/>
      <c r="M27" s="304"/>
      <c r="N27" s="304"/>
      <c r="O27" s="304"/>
      <c r="P27" s="305"/>
      <c r="Q27" s="232"/>
      <c r="R27" s="23"/>
      <c r="S27" s="309" t="s">
        <v>267</v>
      </c>
      <c r="T27" s="309"/>
      <c r="U27" s="309"/>
      <c r="V27" s="30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63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63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63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60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53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48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45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43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41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Douglas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3390.63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0</v>
      </c>
      <c r="C54" s="189">
        <v>10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43</v>
      </c>
      <c r="C55" s="189">
        <v>10</v>
      </c>
      <c r="D55" s="177">
        <f t="shared" ref="D55:D73" si="4">B55*C55</f>
        <v>430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60</v>
      </c>
      <c r="C56" s="189">
        <v>10</v>
      </c>
      <c r="D56" s="177">
        <f t="shared" si="4"/>
        <v>600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90</v>
      </c>
      <c r="C57" s="189">
        <v>10</v>
      </c>
      <c r="D57" s="177">
        <f t="shared" si="4"/>
        <v>900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72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77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64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62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46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35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29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Erable sycomore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3973.12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0</v>
      </c>
      <c r="C85" s="189">
        <v>15</v>
      </c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21</v>
      </c>
      <c r="C86" s="189">
        <v>15</v>
      </c>
      <c r="D86" s="177">
        <f t="shared" ref="D86:D104" si="6">B86*C86</f>
        <v>315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21</v>
      </c>
      <c r="C87" s="189">
        <v>15</v>
      </c>
      <c r="D87" s="177">
        <f t="shared" si="6"/>
        <v>315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21</v>
      </c>
      <c r="C88" s="189">
        <v>15</v>
      </c>
      <c r="D88" s="177">
        <f t="shared" si="6"/>
        <v>315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21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21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18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13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11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9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8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8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7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6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Sapin pectiné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3178.81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20</v>
      </c>
      <c r="B116" s="179">
        <f>'Données projet'!D114</f>
        <v>0</v>
      </c>
      <c r="C116" s="189">
        <v>10</v>
      </c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25</v>
      </c>
      <c r="B117" s="179">
        <f>'Données projet'!D115</f>
        <v>40</v>
      </c>
      <c r="C117" s="189">
        <v>10</v>
      </c>
      <c r="D117" s="177">
        <f t="shared" ref="D117:D135" si="8">B117*C117</f>
        <v>400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30</v>
      </c>
      <c r="B118" s="179">
        <f>'Données projet'!D116</f>
        <v>56</v>
      </c>
      <c r="C118" s="189">
        <v>10</v>
      </c>
      <c r="D118" s="177">
        <f t="shared" si="8"/>
        <v>560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35</v>
      </c>
      <c r="B119" s="179">
        <f>'Données projet'!D117</f>
        <v>56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40</v>
      </c>
      <c r="B120" s="179">
        <f>'Données projet'!D118</f>
        <v>56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45</v>
      </c>
      <c r="B121" s="179">
        <f>'Données projet'!D119</f>
        <v>56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50</v>
      </c>
      <c r="B122" s="179">
        <f>'Données projet'!D120</f>
        <v>56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55</v>
      </c>
      <c r="B123" s="179">
        <f>'Données projet'!D121</f>
        <v>56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60</v>
      </c>
      <c r="B124" s="179">
        <f>'Données projet'!D122</f>
        <v>50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65</v>
      </c>
      <c r="B125" s="179">
        <f>'Données projet'!D123</f>
        <v>45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70</v>
      </c>
      <c r="B126" s="179">
        <f>'Données projet'!D124</f>
        <v>43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75</v>
      </c>
      <c r="B127" s="179">
        <f>'Données projet'!D125</f>
        <v>42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80</v>
      </c>
      <c r="B128" s="179">
        <f>'Données projet'!D126</f>
        <v>41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Mélèze d'Europe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3125.86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12</v>
      </c>
      <c r="B147" s="173">
        <f>'Données projet'!D140</f>
        <v>18</v>
      </c>
      <c r="C147" s="189">
        <v>10</v>
      </c>
      <c r="D147" s="180">
        <f>B147*C147</f>
        <v>180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18</v>
      </c>
      <c r="B148" s="173">
        <f>'Données projet'!D141</f>
        <v>84.3</v>
      </c>
      <c r="C148" s="189">
        <v>10</v>
      </c>
      <c r="D148" s="180">
        <f t="shared" ref="D148:D166" si="10">B148*C148</f>
        <v>843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24</v>
      </c>
      <c r="B149" s="173">
        <f>'Données projet'!D142</f>
        <v>73.7</v>
      </c>
      <c r="C149" s="189">
        <v>10</v>
      </c>
      <c r="D149" s="180">
        <f t="shared" si="10"/>
        <v>737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62.6</v>
      </c>
      <c r="C150" s="189">
        <v>10</v>
      </c>
      <c r="D150" s="180">
        <f t="shared" si="10"/>
        <v>626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36</v>
      </c>
      <c r="B151" s="173">
        <f>'Données projet'!D144</f>
        <v>58.4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42</v>
      </c>
      <c r="B152" s="173">
        <f>'Données projet'!D145</f>
        <v>54.6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48</v>
      </c>
      <c r="B153" s="173">
        <f>'Données projet'!D146</f>
        <v>48.2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54</v>
      </c>
      <c r="B154" s="173">
        <f>'Données projet'!D147</f>
        <v>46.9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Sapin de Nordmann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3443.58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20</v>
      </c>
      <c r="B178" s="179">
        <f>'Données projet'!D166</f>
        <v>0</v>
      </c>
      <c r="C178" s="191">
        <v>10</v>
      </c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25</v>
      </c>
      <c r="B179" s="179">
        <f>'Données projet'!D167</f>
        <v>40</v>
      </c>
      <c r="C179" s="191">
        <v>10</v>
      </c>
      <c r="D179" s="177">
        <f t="shared" ref="D179:D197" si="11">B179*C179</f>
        <v>400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30</v>
      </c>
      <c r="B180" s="179">
        <f>'Données projet'!D168</f>
        <v>56</v>
      </c>
      <c r="C180" s="191">
        <v>10</v>
      </c>
      <c r="D180" s="177">
        <f t="shared" si="11"/>
        <v>560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35</v>
      </c>
      <c r="B181" s="179">
        <f>'Données projet'!D169</f>
        <v>56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40</v>
      </c>
      <c r="B182" s="179">
        <f>'Données projet'!D170</f>
        <v>56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45</v>
      </c>
      <c r="B183" s="179">
        <f>'Données projet'!D171</f>
        <v>56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50</v>
      </c>
      <c r="B184" s="179">
        <f>'Données projet'!D172</f>
        <v>56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55</v>
      </c>
      <c r="B185" s="179">
        <f>'Données projet'!D173</f>
        <v>56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60</v>
      </c>
      <c r="B186" s="179">
        <f>'Données projet'!D174</f>
        <v>50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65</v>
      </c>
      <c r="B187" s="179">
        <f>'Données projet'!D175</f>
        <v>45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70</v>
      </c>
      <c r="B188" s="179">
        <f>'Données projet'!D176</f>
        <v>43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75</v>
      </c>
      <c r="B189" s="179">
        <f>'Données projet'!D177</f>
        <v>42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80</v>
      </c>
      <c r="B190" s="179">
        <f>'Données projet'!D178</f>
        <v>41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Chêne sessile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4343.79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20</v>
      </c>
      <c r="B209" s="179">
        <f>'Données projet'!D192</f>
        <v>0</v>
      </c>
      <c r="C209" s="191">
        <v>15</v>
      </c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25</v>
      </c>
      <c r="B210" s="179">
        <f>'Données projet'!D193</f>
        <v>8</v>
      </c>
      <c r="C210" s="191">
        <v>15</v>
      </c>
      <c r="D210" s="177">
        <f t="shared" ref="D210:D228" si="12">B210*C210</f>
        <v>120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30</v>
      </c>
      <c r="B211" s="179">
        <f>'Données projet'!D194</f>
        <v>21</v>
      </c>
      <c r="C211" s="191">
        <v>15</v>
      </c>
      <c r="D211" s="177">
        <f t="shared" si="12"/>
        <v>315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35</v>
      </c>
      <c r="B212" s="179">
        <f>'Données projet'!D195</f>
        <v>21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40</v>
      </c>
      <c r="B213" s="179">
        <f>'Données projet'!D196</f>
        <v>21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45</v>
      </c>
      <c r="B214" s="179">
        <f>'Données projet'!D197</f>
        <v>21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50</v>
      </c>
      <c r="B215" s="179">
        <f>'Données projet'!D198</f>
        <v>21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55</v>
      </c>
      <c r="B216" s="179">
        <f>'Données projet'!D199</f>
        <v>21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60</v>
      </c>
      <c r="B217" s="179">
        <f>'Données projet'!D200</f>
        <v>21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65</v>
      </c>
      <c r="B218" s="179">
        <f>'Données projet'!D201</f>
        <v>21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70</v>
      </c>
      <c r="B219" s="179">
        <f>'Données projet'!D202</f>
        <v>21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75</v>
      </c>
      <c r="B220" s="179">
        <f>'Données projet'!D203</f>
        <v>21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80</v>
      </c>
      <c r="B221" s="179">
        <f>'Données projet'!D204</f>
        <v>21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85</v>
      </c>
      <c r="B222" s="179">
        <f>'Données projet'!D205</f>
        <v>21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90</v>
      </c>
      <c r="B223" s="179">
        <f>'Données projet'!D206</f>
        <v>21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95</v>
      </c>
      <c r="B224" s="179">
        <f>'Données projet'!D207</f>
        <v>21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100</v>
      </c>
      <c r="B225" s="179">
        <f>'Données projet'!D208</f>
        <v>21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105</v>
      </c>
      <c r="B226" s="179">
        <f>'Données projet'!D209</f>
        <v>20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110</v>
      </c>
      <c r="B227" s="179">
        <f>'Données projet'!D210</f>
        <v>19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115</v>
      </c>
      <c r="B228" s="179">
        <f>'Données projet'!D211</f>
        <v>18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Merisier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4785.07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20</v>
      </c>
      <c r="B240" s="179">
        <f>'Données projet'!D218</f>
        <v>27</v>
      </c>
      <c r="C240" s="191">
        <v>15</v>
      </c>
      <c r="D240" s="177">
        <f>B240*C240</f>
        <v>405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25</v>
      </c>
      <c r="B241" s="179">
        <f>'Données projet'!D219</f>
        <v>16</v>
      </c>
      <c r="C241" s="191">
        <v>15</v>
      </c>
      <c r="D241" s="177">
        <f t="shared" ref="D241:D259" si="13">B241*C241</f>
        <v>240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30</v>
      </c>
      <c r="B242" s="179">
        <f>'Données projet'!D220</f>
        <v>23</v>
      </c>
      <c r="C242" s="191">
        <v>15</v>
      </c>
      <c r="D242" s="177">
        <f t="shared" si="13"/>
        <v>345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35</v>
      </c>
      <c r="B243" s="179">
        <f>'Données projet'!D221</f>
        <v>29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40</v>
      </c>
      <c r="B244" s="179">
        <f>'Données projet'!D222</f>
        <v>32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45</v>
      </c>
      <c r="B245" s="179">
        <f>'Données projet'!D223</f>
        <v>36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50</v>
      </c>
      <c r="B246" s="179">
        <f>'Données projet'!D224</f>
        <v>35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55</v>
      </c>
      <c r="B247" s="179">
        <f>'Données projet'!D225</f>
        <v>35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60</v>
      </c>
      <c r="B248" s="179">
        <f>'Données projet'!D226</f>
        <v>37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65</v>
      </c>
      <c r="B249" s="179">
        <f>'Données projet'!D227</f>
        <v>37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70</v>
      </c>
      <c r="B250" s="179">
        <f>'Données projet'!D228</f>
        <v>32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75</v>
      </c>
      <c r="B251" s="179">
        <f>'Données projet'!D229</f>
        <v>31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80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Alisier torminal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7309.19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10</v>
      </c>
      <c r="B271" s="179">
        <f>'Données projet'!D244</f>
        <v>0</v>
      </c>
      <c r="C271" s="191">
        <v>15</v>
      </c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15</v>
      </c>
      <c r="B272" s="179">
        <f>'Données projet'!D245</f>
        <v>32</v>
      </c>
      <c r="C272" s="191">
        <v>15</v>
      </c>
      <c r="D272" s="177">
        <f t="shared" ref="D272:D290" si="14">B272*C272</f>
        <v>480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20</v>
      </c>
      <c r="B273" s="179">
        <f>'Données projet'!D246</f>
        <v>35</v>
      </c>
      <c r="C273" s="191">
        <v>15</v>
      </c>
      <c r="D273" s="177">
        <f t="shared" si="14"/>
        <v>525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25</v>
      </c>
      <c r="B274" s="179">
        <f>'Données projet'!D247</f>
        <v>35</v>
      </c>
      <c r="C274" s="191">
        <v>15</v>
      </c>
      <c r="D274" s="177">
        <f t="shared" si="14"/>
        <v>525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30</v>
      </c>
      <c r="B275" s="179">
        <f>'Données projet'!D248</f>
        <v>35</v>
      </c>
      <c r="C275" s="191">
        <v>15</v>
      </c>
      <c r="D275" s="177">
        <f t="shared" si="14"/>
        <v>525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35</v>
      </c>
      <c r="B276" s="179">
        <f>'Données projet'!D249</f>
        <v>35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40</v>
      </c>
      <c r="B277" s="179">
        <f>'Données projet'!D250</f>
        <v>35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45</v>
      </c>
      <c r="B278" s="179">
        <f>'Données projet'!D251</f>
        <v>24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50</v>
      </c>
      <c r="B279" s="179">
        <f>'Données projet'!D252</f>
        <v>19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55</v>
      </c>
      <c r="B280" s="179">
        <f>'Données projet'!D253</f>
        <v>16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60</v>
      </c>
      <c r="B281" s="179">
        <f>'Données projet'!D254</f>
        <v>14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65</v>
      </c>
      <c r="B282" s="179">
        <f>'Données projet'!D255</f>
        <v>13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70</v>
      </c>
      <c r="B283" s="179">
        <f>'Données projet'!D256</f>
        <v>13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75</v>
      </c>
      <c r="B284" s="179">
        <f>'Données projet'!D257</f>
        <v>12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80</v>
      </c>
      <c r="B285" s="179">
        <f>'Données projet'!D258</f>
        <v>11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2023-11-27T14:28:07Z</dcterms:modified>
</cp:coreProperties>
</file>