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274-R-FARGEVIEILLE-ARA(03)-BESBRE-StPourçainSurBesbre-3ha/"/>
    </mc:Choice>
  </mc:AlternateContent>
  <xr:revisionPtr revIDLastSave="0" documentId="13_ncr:1_{A550214E-0AA9-6F44-820E-E17C6BE6F599}" xr6:coauthVersionLast="47" xr6:coauthVersionMax="47" xr10:uidLastSave="{00000000-0000-0000-0000-000000000000}"/>
  <bookViews>
    <workbookView xWindow="0" yWindow="76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" i="6" l="1"/>
  <c r="C57" i="6"/>
  <c r="C54" i="6"/>
  <c r="C55" i="6"/>
  <c r="C27" i="6"/>
  <c r="C28" i="6"/>
  <c r="C23" i="6"/>
  <c r="C24" i="6"/>
  <c r="C25" i="6"/>
  <c r="C26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CS77" i="2" a="1"/>
  <c r="CS77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<sst xmlns="http://schemas.openxmlformats.org/spreadsheetml/2006/main" count="1171" uniqueCount="324">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</sst>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2.0785665288510113</c:v>
                </c:pt>
                <c:pt idx="2">
                  <c:v>2.7861745951621621</c:v>
                </c:pt>
                <c:pt idx="3">
                  <c:v>3.7356814897471877</c:v>
                </c:pt>
                <c:pt idx="4">
                  <c:v>5.0101057924240964</c:v>
                </c:pt>
                <c:pt idx="5">
                  <c:v>6.7210617489754823</c:v>
                </c:pt>
                <c:pt idx="6">
                  <c:v>9.0186422692636992</c:v>
                </c:pt>
                <c:pt idx="7">
                  <c:v>12.104728190497427</c:v>
                </c:pt>
                <c:pt idx="8">
                  <c:v>16.25091499103911</c:v>
                </c:pt>
                <c:pt idx="9">
                  <c:v>21.822663333354427</c:v>
                </c:pt>
                <c:pt idx="10">
                  <c:v>29.31184006046367</c:v>
                </c:pt>
                <c:pt idx="11">
                  <c:v>39.380572349740504</c:v>
                </c:pt>
                <c:pt idx="12">
                  <c:v>52.920358233265489</c:v>
                </c:pt>
                <c:pt idx="13">
                  <c:v>71.131754285672898</c:v>
                </c:pt>
                <c:pt idx="14">
                  <c:v>95.631821146328889</c:v>
                </c:pt>
                <c:pt idx="15">
                  <c:v>128.59901883401423</c:v>
                </c:pt>
                <c:pt idx="16">
                  <c:v>103.4370302948883</c:v>
                </c:pt>
                <c:pt idx="17">
                  <c:v>128.51084709344454</c:v>
                </c:pt>
                <c:pt idx="18">
                  <c:v>153.4658312335969</c:v>
                </c:pt>
                <c:pt idx="19">
                  <c:v>178.32408817738875</c:v>
                </c:pt>
                <c:pt idx="20">
                  <c:v>203.10101990082921</c:v>
                </c:pt>
                <c:pt idx="21">
                  <c:v>227.80794951210046</c:v>
                </c:pt>
                <c:pt idx="22">
                  <c:v>252.45353767903973</c:v>
                </c:pt>
                <c:pt idx="23">
                  <c:v>277.04461358005511</c:v>
                </c:pt>
                <c:pt idx="24">
                  <c:v>218.59089083498918</c:v>
                </c:pt>
                <c:pt idx="25">
                  <c:v>250.51734883628873</c:v>
                </c:pt>
                <c:pt idx="26">
                  <c:v>282.35149082674894</c:v>
                </c:pt>
                <c:pt idx="27">
                  <c:v>314.1051850698118</c:v>
                </c:pt>
                <c:pt idx="28">
                  <c:v>345.78770166524117</c:v>
                </c:pt>
                <c:pt idx="29">
                  <c:v>377.40647261369844</c:v>
                </c:pt>
                <c:pt idx="30">
                  <c:v>408.96758307999153</c:v>
                </c:pt>
                <c:pt idx="31">
                  <c:v>440.47610276953998</c:v>
                </c:pt>
                <c:pt idx="32">
                  <c:v>471.93631740726613</c:v>
                </c:pt>
                <c:pt idx="33">
                  <c:v>503.35189522133442</c:v>
                </c:pt>
                <c:pt idx="34">
                  <c:v>336.21181764396403</c:v>
                </c:pt>
                <c:pt idx="35">
                  <c:v>366.7119914355664</c:v>
                </c:pt>
                <c:pt idx="36">
                  <c:v>397.15678987906972</c:v>
                </c:pt>
                <c:pt idx="37">
                  <c:v>427.5510495683896</c:v>
                </c:pt>
                <c:pt idx="38">
                  <c:v>457.8988637598049</c:v>
                </c:pt>
                <c:pt idx="39">
                  <c:v>488.20373931958102</c:v>
                </c:pt>
                <c:pt idx="40">
                  <c:v>518.46871265199945</c:v>
                </c:pt>
                <c:pt idx="41">
                  <c:v>362.53637886411394</c:v>
                </c:pt>
                <c:pt idx="42">
                  <c:v>376.13975612669009</c:v>
                </c:pt>
                <c:pt idx="43">
                  <c:v>389.73242199825751</c:v>
                </c:pt>
                <c:pt idx="44">
                  <c:v>403.31480268413151</c:v>
                </c:pt>
                <c:pt idx="45">
                  <c:v>416.88729334108842</c:v>
                </c:pt>
                <c:pt idx="46">
                  <c:v>430.45026129767024</c:v>
                </c:pt>
                <c:pt idx="47">
                  <c:v>444.0040488474495</c:v>
                </c:pt>
                <c:pt idx="48">
                  <c:v>457.54897568345274</c:v>
                </c:pt>
                <c:pt idx="49">
                  <c:v>471.085341029316</c:v>
                </c:pt>
                <c:pt idx="50">
                  <c:v>484.61342551275339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3.2504350561271327</c:v>
                </c:pt>
                <c:pt idx="2">
                  <c:v>4.5742301501769331</c:v>
                </c:pt>
                <c:pt idx="3">
                  <c:v>6.4394633314817504</c:v>
                </c:pt>
                <c:pt idx="4">
                  <c:v>9.0684673490830043</c:v>
                </c:pt>
                <c:pt idx="5">
                  <c:v>12.775209200143957</c:v>
                </c:pt>
                <c:pt idx="6">
                  <c:v>18.003185272261874</c:v>
                </c:pt>
                <c:pt idx="7">
                  <c:v>25.37903651543321</c:v>
                </c:pt>
                <c:pt idx="8">
                  <c:v>35.788423127300902</c:v>
                </c:pt>
                <c:pt idx="9">
                  <c:v>50.483425549693237</c:v>
                </c:pt>
                <c:pt idx="10">
                  <c:v>71.234605919319264</c:v>
                </c:pt>
                <c:pt idx="11">
                  <c:v>100.54634900080931</c:v>
                </c:pt>
                <c:pt idx="12">
                  <c:v>141.96188193773793</c:v>
                </c:pt>
                <c:pt idx="13">
                  <c:v>200.49541035510507</c:v>
                </c:pt>
                <c:pt idx="14">
                  <c:v>283.24447115022775</c:v>
                </c:pt>
                <c:pt idx="15">
                  <c:v>400.25783072357081</c:v>
                </c:pt>
                <c:pt idx="16">
                  <c:v>334.27569654819109</c:v>
                </c:pt>
                <c:pt idx="17">
                  <c:v>368.64957965965021</c:v>
                </c:pt>
                <c:pt idx="18">
                  <c:v>402.95352523018443</c:v>
                </c:pt>
                <c:pt idx="19">
                  <c:v>437.19431621239318</c:v>
                </c:pt>
                <c:pt idx="20">
                  <c:v>471.37758697768669</c:v>
                </c:pt>
                <c:pt idx="21">
                  <c:v>423.35133170920341</c:v>
                </c:pt>
                <c:pt idx="22">
                  <c:v>452.18028418105399</c:v>
                </c:pt>
                <c:pt idx="23">
                  <c:v>480.96994960119645</c:v>
                </c:pt>
                <c:pt idx="24">
                  <c:v>509.72300718239177</c:v>
                </c:pt>
                <c:pt idx="25">
                  <c:v>538.44180953565865</c:v>
                </c:pt>
                <c:pt idx="26">
                  <c:v>500.14257091604304</c:v>
                </c:pt>
                <c:pt idx="27">
                  <c:v>525.04382649327374</c:v>
                </c:pt>
                <c:pt idx="28">
                  <c:v>549.92021331550598</c:v>
                </c:pt>
                <c:pt idx="29">
                  <c:v>574.77301329675231</c:v>
                </c:pt>
                <c:pt idx="30">
                  <c:v>599.60338857466729</c:v>
                </c:pt>
                <c:pt idx="31">
                  <c:v>1.5435705246133045E-12</c:v>
                </c:pt>
                <c:pt idx="32">
                  <c:v>1.5435705246133045E-12</c:v>
                </c:pt>
                <c:pt idx="33">
                  <c:v>1.5435705246133045E-12</c:v>
                </c:pt>
                <c:pt idx="34">
                  <c:v>1.5435705246133045E-12</c:v>
                </c:pt>
                <c:pt idx="35">
                  <c:v>1.5435705246133045E-12</c:v>
                </c:pt>
                <c:pt idx="36">
                  <c:v>1.5435705246133045E-12</c:v>
                </c:pt>
                <c:pt idx="37">
                  <c:v>1.5435705246133045E-12</c:v>
                </c:pt>
                <c:pt idx="38">
                  <c:v>1.5435705246133045E-12</c:v>
                </c:pt>
                <c:pt idx="39">
                  <c:v>1.5435705246133045E-12</c:v>
                </c:pt>
                <c:pt idx="40">
                  <c:v>1.5435705246133045E-12</c:v>
                </c:pt>
                <c:pt idx="41">
                  <c:v>1.5435705246133045E-12</c:v>
                </c:pt>
                <c:pt idx="42">
                  <c:v>1.5435705246133045E-12</c:v>
                </c:pt>
                <c:pt idx="43">
                  <c:v>1.5435705246133045E-12</c:v>
                </c:pt>
                <c:pt idx="44">
                  <c:v>1.5435705246133045E-12</c:v>
                </c:pt>
                <c:pt idx="45">
                  <c:v>1.5435705246133045E-12</c:v>
                </c:pt>
                <c:pt idx="46">
                  <c:v>1.5435705246133045E-12</c:v>
                </c:pt>
                <c:pt idx="47">
                  <c:v>1.5435705246133045E-12</c:v>
                </c:pt>
                <c:pt idx="48">
                  <c:v>1.5435705246133045E-12</c:v>
                </c:pt>
                <c:pt idx="49">
                  <c:v>1.5435705246133045E-12</c:v>
                </c:pt>
                <c:pt idx="50">
                  <c:v>1.5435705246133045E-12</c:v>
                </c:pt>
                <c:pt idx="51">
                  <c:v>1.5435705246133045E-12</c:v>
                </c:pt>
                <c:pt idx="52">
                  <c:v>1.5435705246133045E-12</c:v>
                </c:pt>
                <c:pt idx="53">
                  <c:v>1.5435705246133045E-12</c:v>
                </c:pt>
                <c:pt idx="54">
                  <c:v>1.5435705246133045E-12</c:v>
                </c:pt>
                <c:pt idx="55">
                  <c:v>1.5435705246133045E-12</c:v>
                </c:pt>
                <c:pt idx="56">
                  <c:v>1.5435705246133045E-12</c:v>
                </c:pt>
                <c:pt idx="57">
                  <c:v>1.5435705246133045E-12</c:v>
                </c:pt>
                <c:pt idx="58">
                  <c:v>1.5435705246133045E-12</c:v>
                </c:pt>
                <c:pt idx="59">
                  <c:v>1.5435705246133045E-12</c:v>
                </c:pt>
                <c:pt idx="60">
                  <c:v>1.5435705246133045E-12</c:v>
                </c:pt>
                <c:pt idx="61">
                  <c:v>1.5435705246133045E-12</c:v>
                </c:pt>
                <c:pt idx="62">
                  <c:v>1.5435705246133045E-12</c:v>
                </c:pt>
                <c:pt idx="63">
                  <c:v>1.5435705246133045E-12</c:v>
                </c:pt>
                <c:pt idx="64">
                  <c:v>1.5435705246133045E-12</c:v>
                </c:pt>
                <c:pt idx="65">
                  <c:v>1.5435705246133045E-12</c:v>
                </c:pt>
                <c:pt idx="66">
                  <c:v>1.5435705246133045E-12</c:v>
                </c:pt>
                <c:pt idx="67">
                  <c:v>1.5435705246133045E-12</c:v>
                </c:pt>
                <c:pt idx="68">
                  <c:v>1.5435705246133045E-12</c:v>
                </c:pt>
                <c:pt idx="69">
                  <c:v>1.5435705246133045E-12</c:v>
                </c:pt>
                <c:pt idx="70">
                  <c:v>1.5435705246133045E-12</c:v>
                </c:pt>
                <c:pt idx="71">
                  <c:v>1.5435705246133045E-12</c:v>
                </c:pt>
                <c:pt idx="72">
                  <c:v>1.5435705246133045E-12</c:v>
                </c:pt>
                <c:pt idx="73">
                  <c:v>1.5435705246133045E-12</c:v>
                </c:pt>
                <c:pt idx="74">
                  <c:v>1.5435705246133045E-12</c:v>
                </c:pt>
                <c:pt idx="75">
                  <c:v>1.5435705246133045E-12</c:v>
                </c:pt>
                <c:pt idx="76">
                  <c:v>1.5435705246133045E-12</c:v>
                </c:pt>
                <c:pt idx="77">
                  <c:v>1.5435705246133045E-12</c:v>
                </c:pt>
                <c:pt idx="78">
                  <c:v>1.5435705246133045E-12</c:v>
                </c:pt>
                <c:pt idx="79">
                  <c:v>1.5435705246133045E-12</c:v>
                </c:pt>
                <c:pt idx="80">
                  <c:v>1.5435705246133045E-12</c:v>
                </c:pt>
                <c:pt idx="81">
                  <c:v>1.5435705246133045E-12</c:v>
                </c:pt>
                <c:pt idx="82">
                  <c:v>1.5435705246133045E-12</c:v>
                </c:pt>
                <c:pt idx="83">
                  <c:v>1.5435705246133045E-12</c:v>
                </c:pt>
                <c:pt idx="84">
                  <c:v>1.5435705246133045E-12</c:v>
                </c:pt>
                <c:pt idx="85">
                  <c:v>1.5435705246133045E-12</c:v>
                </c:pt>
                <c:pt idx="86">
                  <c:v>1.5435705246133045E-12</c:v>
                </c:pt>
                <c:pt idx="87">
                  <c:v>1.5435705246133045E-12</c:v>
                </c:pt>
                <c:pt idx="88">
                  <c:v>1.5435705246133045E-12</c:v>
                </c:pt>
                <c:pt idx="89">
                  <c:v>1.5435705246133045E-12</c:v>
                </c:pt>
                <c:pt idx="90">
                  <c:v>1.5435705246133045E-12</c:v>
                </c:pt>
                <c:pt idx="91">
                  <c:v>1.5435705246133045E-12</c:v>
                </c:pt>
                <c:pt idx="92">
                  <c:v>1.5435705246133045E-12</c:v>
                </c:pt>
                <c:pt idx="93">
                  <c:v>1.5435705246133045E-12</c:v>
                </c:pt>
                <c:pt idx="94">
                  <c:v>1.5435705246133045E-12</c:v>
                </c:pt>
                <c:pt idx="95">
                  <c:v>1.5435705246133045E-12</c:v>
                </c:pt>
                <c:pt idx="96">
                  <c:v>1.5435705246133045E-12</c:v>
                </c:pt>
                <c:pt idx="97">
                  <c:v>1.5435705246133045E-12</c:v>
                </c:pt>
                <c:pt idx="98">
                  <c:v>1.5435705246133045E-12</c:v>
                </c:pt>
                <c:pt idx="99">
                  <c:v>1.5435705246133045E-12</c:v>
                </c:pt>
                <c:pt idx="100">
                  <c:v>1.5435705246133045E-12</c:v>
                </c:pt>
                <c:pt idx="101">
                  <c:v>1.5435705246133045E-12</c:v>
                </c:pt>
                <c:pt idx="102">
                  <c:v>1.5435705246133045E-12</c:v>
                </c:pt>
                <c:pt idx="103">
                  <c:v>1.5435705246133045E-12</c:v>
                </c:pt>
                <c:pt idx="104">
                  <c:v>1.5435705246133045E-12</c:v>
                </c:pt>
                <c:pt idx="105">
                  <c:v>1.5435705246133045E-12</c:v>
                </c:pt>
                <c:pt idx="106">
                  <c:v>1.5435705246133045E-12</c:v>
                </c:pt>
                <c:pt idx="107">
                  <c:v>1.5435705246133045E-12</c:v>
                </c:pt>
                <c:pt idx="108">
                  <c:v>1.5435705246133045E-12</c:v>
                </c:pt>
                <c:pt idx="109">
                  <c:v>1.5435705246133045E-12</c:v>
                </c:pt>
                <c:pt idx="110">
                  <c:v>1.5435705246133045E-12</c:v>
                </c:pt>
                <c:pt idx="111">
                  <c:v>1.5435705246133045E-12</c:v>
                </c:pt>
                <c:pt idx="112">
                  <c:v>1.5435705246133045E-12</c:v>
                </c:pt>
                <c:pt idx="113">
                  <c:v>1.5435705246133045E-12</c:v>
                </c:pt>
                <c:pt idx="114">
                  <c:v>1.5435705246133045E-12</c:v>
                </c:pt>
                <c:pt idx="115">
                  <c:v>1.5435705246133045E-12</c:v>
                </c:pt>
                <c:pt idx="116">
                  <c:v>1.5435705246133045E-12</c:v>
                </c:pt>
                <c:pt idx="117">
                  <c:v>1.5435705246133045E-12</c:v>
                </c:pt>
                <c:pt idx="118">
                  <c:v>1.5435705246133045E-12</c:v>
                </c:pt>
                <c:pt idx="119">
                  <c:v>1.5435705246133045E-12</c:v>
                </c:pt>
                <c:pt idx="120">
                  <c:v>1.5435705246133045E-12</c:v>
                </c:pt>
                <c:pt idx="121">
                  <c:v>1.5435705246133045E-12</c:v>
                </c:pt>
                <c:pt idx="122">
                  <c:v>1.5435705246133045E-12</c:v>
                </c:pt>
                <c:pt idx="123">
                  <c:v>1.5435705246133045E-12</c:v>
                </c:pt>
                <c:pt idx="124">
                  <c:v>1.5435705246133045E-12</c:v>
                </c:pt>
                <c:pt idx="125">
                  <c:v>1.5435705246133045E-12</c:v>
                </c:pt>
                <c:pt idx="126">
                  <c:v>1.5435705246133045E-12</c:v>
                </c:pt>
                <c:pt idx="127">
                  <c:v>1.5435705246133045E-12</c:v>
                </c:pt>
                <c:pt idx="128">
                  <c:v>1.5435705246133045E-12</c:v>
                </c:pt>
                <c:pt idx="129">
                  <c:v>1.5435705246133045E-12</c:v>
                </c:pt>
                <c:pt idx="130">
                  <c:v>1.5435705246133045E-12</c:v>
                </c:pt>
                <c:pt idx="131">
                  <c:v>1.5435705246133045E-12</c:v>
                </c:pt>
                <c:pt idx="132">
                  <c:v>1.5435705246133045E-12</c:v>
                </c:pt>
                <c:pt idx="133">
                  <c:v>1.5435705246133045E-12</c:v>
                </c:pt>
                <c:pt idx="134">
                  <c:v>1.5435705246133045E-12</c:v>
                </c:pt>
                <c:pt idx="135">
                  <c:v>1.5435705246133045E-12</c:v>
                </c:pt>
                <c:pt idx="136">
                  <c:v>1.5435705246133045E-12</c:v>
                </c:pt>
                <c:pt idx="137">
                  <c:v>1.5435705246133045E-12</c:v>
                </c:pt>
                <c:pt idx="138">
                  <c:v>1.5435705246133045E-12</c:v>
                </c:pt>
                <c:pt idx="139">
                  <c:v>1.5435705246133045E-12</c:v>
                </c:pt>
                <c:pt idx="140">
                  <c:v>1.5435705246133045E-12</c:v>
                </c:pt>
                <c:pt idx="141">
                  <c:v>1.5435705246133045E-12</c:v>
                </c:pt>
                <c:pt idx="142">
                  <c:v>1.5435705246133045E-12</c:v>
                </c:pt>
                <c:pt idx="143">
                  <c:v>1.5435705246133045E-12</c:v>
                </c:pt>
                <c:pt idx="144">
                  <c:v>1.5435705246133045E-12</c:v>
                </c:pt>
                <c:pt idx="145">
                  <c:v>1.5435705246133045E-12</c:v>
                </c:pt>
                <c:pt idx="146">
                  <c:v>1.5435705246133045E-12</c:v>
                </c:pt>
                <c:pt idx="147">
                  <c:v>1.5435705246133045E-12</c:v>
                </c:pt>
                <c:pt idx="148">
                  <c:v>1.5435705246133045E-12</c:v>
                </c:pt>
                <c:pt idx="149">
                  <c:v>1.5435705246133045E-12</c:v>
                </c:pt>
                <c:pt idx="150">
                  <c:v>1.5435705246133045E-12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48" sqref="E48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3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0.66669999999999996</v>
      </c>
      <c r="D9" s="33">
        <f t="shared" ref="D9:D18" si="0">C9*$C$5</f>
        <v>2.0000999999999998</v>
      </c>
      <c r="E9" s="34">
        <v>50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44</v>
      </c>
      <c r="C10" s="32">
        <v>0.33329999999999999</v>
      </c>
      <c r="D10" s="33">
        <f t="shared" si="0"/>
        <v>0.99990000000000001</v>
      </c>
      <c r="E10" s="34">
        <v>30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3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15</v>
      </c>
      <c r="B36" s="60">
        <v>95.89</v>
      </c>
      <c r="C36" s="60">
        <v>1</v>
      </c>
      <c r="D36" s="60">
        <v>38.36</v>
      </c>
      <c r="E36" s="51">
        <v>0</v>
      </c>
      <c r="F36" s="51">
        <v>0.56000000000000005</v>
      </c>
      <c r="G36" s="51">
        <v>0.44</v>
      </c>
      <c r="H36" s="51"/>
      <c r="I36" s="49">
        <f>IFERROR(B36/A36,"")</f>
        <v>6.3926666666666669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23</v>
      </c>
      <c r="B37" s="60">
        <v>210.7</v>
      </c>
      <c r="C37" s="60">
        <v>2</v>
      </c>
      <c r="D37" s="60">
        <v>70.23</v>
      </c>
      <c r="E37" s="51">
        <v>0</v>
      </c>
      <c r="F37" s="51">
        <v>0.56000000000000005</v>
      </c>
      <c r="G37" s="51">
        <v>0.44</v>
      </c>
      <c r="H37" s="51"/>
      <c r="I37" s="53">
        <f t="shared" ref="I37:I55" si="1">IF(A37&lt;&gt;0,(B37-(B36-D36))/(A37-A36),"")</f>
        <v>19.146249999999998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33</v>
      </c>
      <c r="B38" s="60">
        <v>388.36</v>
      </c>
      <c r="C38" s="60">
        <v>3</v>
      </c>
      <c r="D38" s="60">
        <v>155.34</v>
      </c>
      <c r="E38" s="51">
        <v>0.2</v>
      </c>
      <c r="F38" s="51">
        <v>0.45</v>
      </c>
      <c r="G38" s="51">
        <v>0.35</v>
      </c>
      <c r="H38" s="51"/>
      <c r="I38" s="53">
        <f t="shared" si="1"/>
        <v>24.789000000000005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40</v>
      </c>
      <c r="B39" s="60">
        <v>400.3</v>
      </c>
      <c r="C39" s="60">
        <v>4</v>
      </c>
      <c r="D39" s="60">
        <v>133.43</v>
      </c>
      <c r="E39" s="51">
        <v>0.4</v>
      </c>
      <c r="F39" s="51">
        <v>0.34</v>
      </c>
      <c r="G39" s="51">
        <v>0.26</v>
      </c>
      <c r="H39" s="51"/>
      <c r="I39" s="49">
        <f t="shared" si="1"/>
        <v>23.897142857142857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50</v>
      </c>
      <c r="B40" s="60">
        <v>373.57</v>
      </c>
      <c r="C40" s="60">
        <v>5</v>
      </c>
      <c r="D40" s="60">
        <v>374.57</v>
      </c>
      <c r="E40" s="51">
        <v>0.6</v>
      </c>
      <c r="F40" s="51">
        <v>0.22</v>
      </c>
      <c r="G40" s="51">
        <v>0.18</v>
      </c>
      <c r="H40" s="51"/>
      <c r="I40" s="49">
        <f t="shared" si="1"/>
        <v>10.669999999999998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Robinier faux-acacia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15</v>
      </c>
      <c r="B62" s="60">
        <v>203</v>
      </c>
      <c r="C62" s="60">
        <v>1</v>
      </c>
      <c r="D62" s="60">
        <v>52</v>
      </c>
      <c r="E62" s="51">
        <v>0</v>
      </c>
      <c r="F62" s="51"/>
      <c r="G62" s="51"/>
      <c r="H62" s="51">
        <v>1</v>
      </c>
      <c r="I62" s="53">
        <f>IFERROR(B62/A62,"")</f>
        <v>13.533333333333333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20</v>
      </c>
      <c r="B63" s="60">
        <v>240</v>
      </c>
      <c r="C63" s="60">
        <v>2</v>
      </c>
      <c r="D63" s="60">
        <v>40</v>
      </c>
      <c r="E63" s="51">
        <v>0.2</v>
      </c>
      <c r="F63" s="51"/>
      <c r="G63" s="51"/>
      <c r="H63" s="51">
        <v>0.8</v>
      </c>
      <c r="I63" s="49">
        <f>IF(A63&lt;&gt;0,(B63-(B62-D62))/(A63-A62),"")</f>
        <v>17.8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25</v>
      </c>
      <c r="B64" s="60">
        <v>275</v>
      </c>
      <c r="C64" s="60">
        <v>3</v>
      </c>
      <c r="D64" s="60">
        <v>33</v>
      </c>
      <c r="E64" s="51">
        <v>0.5</v>
      </c>
      <c r="F64" s="51"/>
      <c r="G64" s="51"/>
      <c r="H64" s="51">
        <v>0.5</v>
      </c>
      <c r="I64" s="49">
        <f>IF(A64&lt;&gt;0,(B64-(B63-D63))/(A64-A63),"")</f>
        <v>15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30</v>
      </c>
      <c r="B65" s="60">
        <v>307</v>
      </c>
      <c r="C65" s="60">
        <v>4</v>
      </c>
      <c r="D65" s="60">
        <v>307</v>
      </c>
      <c r="E65" s="51">
        <v>0.8</v>
      </c>
      <c r="F65" s="51"/>
      <c r="G65" s="51"/>
      <c r="H65" s="51">
        <v>0.2</v>
      </c>
      <c r="I65" s="49">
        <f>IF(A65&lt;&gt;0,(B65-(B64-D64))/(A65-A64),"")</f>
        <v>13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maritime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Robinier faux-acacia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201.32564399503951</v>
      </c>
      <c r="T3" s="59">
        <f>IF('Données projet'!E9&gt;30,$R$33-$H$33,LOOKUP('Données projet'!$E$9,$A$3:$A$203,R3:R203)-LOOKUP('Données projet'!$E$9,$A$3:$A$203,$H$3:$H$203))</f>
        <v>347.89731545007157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244.25841067424</v>
      </c>
      <c r="AO3" s="59">
        <f>IF('Données projet'!E10&gt;30,$AM$33-$H$33,LOOKUP('Données projet'!$E$10,$A$3:$A$203,AM3:AM203)-LOOKUP('Données projet'!$E$10,$A$3:$A$203,$H$3:$H$203))</f>
        <v>538.53312094474745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6.3926666666666669</v>
      </c>
      <c r="N4" s="13">
        <f>IF('Données projet'!$A$36&gt;35,N3+M4-V3,IF(A4&lt;'Données projet'!$A$36,$K$205^A4,IF(A4='Données projet'!$A$36,'Données projet'!$B$36,N3+M4-V3)))</f>
        <v>1.3555583647323386</v>
      </c>
      <c r="O4" s="13">
        <f>N4*VLOOKUP('Données projet'!$B$9,Paramètres!$A$1:$I$89,3,0)*VLOOKUP('Données projet'!$B$9,Paramètres!$A$1:$I$89,5,0)</f>
        <v>0.81062390210993862</v>
      </c>
      <c r="P4" s="13">
        <f>EXP(-1.0587+0.8836*LN(O4)+0.284)</f>
        <v>0.38281142546002012</v>
      </c>
      <c r="Q4" s="20">
        <f t="shared" ref="Q4:Q34" si="2">(O4+P4)*0.475*44/12</f>
        <v>2.0785665288510113</v>
      </c>
      <c r="R4" s="59">
        <f t="shared" si="0"/>
        <v>295.41189986218433</v>
      </c>
      <c r="S4" s="59">
        <f ca="1">AVERAGE(OFFSET($R$3,0,0,'Données projet'!$E$9+1,1))-AVERAGE(OFFSET($H$3,0,0,'Données projet'!$E$9+1,1))</f>
        <v>201.32564399503951</v>
      </c>
      <c r="T4" s="59">
        <f>$T$3</f>
        <v>347.89731545007157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13.533333333333333</v>
      </c>
      <c r="AI4" s="13">
        <f>IF('Données projet'!$A$62&gt;35,AI3+AH4-AQ3,IF(A4&lt;'Données projet'!$A$62,$AF$205^A4,IF(A4='Données projet'!$A$62,'Données projet'!$B$62,AI3+AH4-AQ3)))</f>
        <v>1.4250597347090725</v>
      </c>
      <c r="AJ4" s="13">
        <f>AI4*VLOOKUP('Données projet'!$B$10,Paramètres!$A$1:$I$89,3,0)*VLOOKUP('Données projet'!$B$10,Paramètres!$A$1:$I$89,5,0)</f>
        <v>1.2893940479647688</v>
      </c>
      <c r="AK4" s="13">
        <f>EXP(-1.0587+0.8836*LN(AJ4)+0.284)</f>
        <v>0.57688445316085768</v>
      </c>
      <c r="AL4" s="20">
        <f t="shared" ref="AL4:AL67" si="4">(AJ4+AK4)*0.475*44/12</f>
        <v>3.2504350561271327</v>
      </c>
      <c r="AM4" s="59">
        <f t="shared" ref="AM4:AM67" si="5">AL4+(AD4+AE4)*44/12</f>
        <v>296.58376838946043</v>
      </c>
      <c r="AN4" s="59">
        <f ca="1">AVERAGE(OFFSET($AM$3,0,0,'Données projet'!$E$10+1,1))-AVERAGE(OFFSET($H$3,0,0,'Données projet'!$E$10+1,1))</f>
        <v>244.25841067424</v>
      </c>
      <c r="AO4" s="59">
        <f>$AO$3</f>
        <v>538.53312094474745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6.3926666666666669</v>
      </c>
      <c r="N5" s="13">
        <f>IF('Données projet'!$A$36&gt;35,N4+M5-V4,IF(A5&lt;'Données projet'!$A$36,$K$205^A5,IF(A5='Données projet'!$A$36,'Données projet'!$B$36,N4+M5-V4)))</f>
        <v>1.8375384801958119</v>
      </c>
      <c r="O5" s="13">
        <f>N5*VLOOKUP('Données projet'!$B$9,Paramètres!$A$1:$I$89,3,0)*VLOOKUP('Données projet'!$B$9,Paramètres!$A$1:$I$89,5,0)</f>
        <v>1.0988480111570955</v>
      </c>
      <c r="P5" s="13">
        <f t="shared" ref="P5:P68" si="33">EXP(-1.0587+0.8836*LN(O5)+0.284)</f>
        <v>0.50086945974940922</v>
      </c>
      <c r="Q5" s="20">
        <f t="shared" si="2"/>
        <v>2.7861745951621621</v>
      </c>
      <c r="R5" s="59">
        <f t="shared" si="0"/>
        <v>296.11950792849547</v>
      </c>
      <c r="S5" s="59">
        <f ca="1">AVERAGE(OFFSET($R$3,0,0,'Données projet'!$E$9+1,1))-AVERAGE(OFFSET($H$3,0,0,'Données projet'!$E$9+1,1))</f>
        <v>201.32564399503951</v>
      </c>
      <c r="T5" s="59">
        <f t="shared" ref="T5:T68" si="34">$T$3</f>
        <v>347.89731545007157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13.533333333333333</v>
      </c>
      <c r="AI5" s="13">
        <f>IF('Données projet'!$A$62&gt;35,AI4+AH5-AQ4,IF(A5&lt;'Données projet'!$A$62,$AF$205^A5,IF(A5='Données projet'!$A$62,'Données projet'!$B$62,AI4+AH5-AQ4)))</f>
        <v>2.0307952474890922</v>
      </c>
      <c r="AJ5" s="13">
        <f>AI5*VLOOKUP('Données projet'!$B$10,Paramètres!$A$1:$I$89,3,0)*VLOOKUP('Données projet'!$B$10,Paramètres!$A$1:$I$89,5,0)</f>
        <v>1.8374635399281307</v>
      </c>
      <c r="AK5" s="13">
        <f t="shared" ref="AK5:AK68" si="35">EXP(-1.0587+0.8836*LN(AJ5)+0.284)</f>
        <v>0.78888869940790729</v>
      </c>
      <c r="AL5" s="20">
        <f t="shared" si="4"/>
        <v>4.5742301501769331</v>
      </c>
      <c r="AM5" s="59">
        <f t="shared" si="5"/>
        <v>297.90756348351027</v>
      </c>
      <c r="AN5" s="59">
        <f ca="1">AVERAGE(OFFSET($AM$3,0,0,'Données projet'!$E$10+1,1))-AVERAGE(OFFSET($H$3,0,0,'Données projet'!$E$10+1,1))</f>
        <v>244.25841067424</v>
      </c>
      <c r="AO5" s="59">
        <f t="shared" ref="AO5:AO68" si="36">$AO$3</f>
        <v>538.53312094474745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6.3926666666666669</v>
      </c>
      <c r="N6" s="13">
        <f>IF('Données projet'!$A$36&gt;35,N5+M6-V5,IF(A6&lt;'Données projet'!$A$36,$K$205^A6,IF(A6='Données projet'!$A$36,'Données projet'!$B$36,N5+M6-V5)))</f>
        <v>2.4908906573469816</v>
      </c>
      <c r="O6" s="13">
        <f>N6*VLOOKUP('Données projet'!$B$9,Paramètres!$A$1:$I$89,3,0)*VLOOKUP('Données projet'!$B$9,Paramètres!$A$1:$I$89,5,0)</f>
        <v>1.4895526130934953</v>
      </c>
      <c r="P6" s="13">
        <f t="shared" si="33"/>
        <v>0.65533628054125403</v>
      </c>
      <c r="Q6" s="20">
        <f t="shared" si="2"/>
        <v>3.7356814897471877</v>
      </c>
      <c r="R6" s="59">
        <f t="shared" si="0"/>
        <v>297.06901482308052</v>
      </c>
      <c r="S6" s="59">
        <f ca="1">AVERAGE(OFFSET($R$3,0,0,'Données projet'!$E$9+1,1))-AVERAGE(OFFSET($H$3,0,0,'Données projet'!$E$9+1,1))</f>
        <v>201.32564399503951</v>
      </c>
      <c r="T6" s="59">
        <f t="shared" si="34"/>
        <v>347.89731545007157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13.533333333333333</v>
      </c>
      <c r="AI6" s="13">
        <f>IF('Données projet'!$A$62&gt;35,AI5+AH6-AQ5,IF(A6&lt;'Données projet'!$A$62,$AF$205^A6,IF(A6='Données projet'!$A$62,'Données projet'!$B$62,AI5+AH6-AQ5)))</f>
        <v>2.8940045366352511</v>
      </c>
      <c r="AJ6" s="13">
        <f>AI6*VLOOKUP('Données projet'!$B$10,Paramètres!$A$1:$I$89,3,0)*VLOOKUP('Données projet'!$B$10,Paramètres!$A$1:$I$89,5,0)</f>
        <v>2.6184953047475754</v>
      </c>
      <c r="AK6" s="13">
        <f t="shared" si="35"/>
        <v>1.0788042157204154</v>
      </c>
      <c r="AL6" s="20">
        <f t="shared" si="4"/>
        <v>6.4394633314817504</v>
      </c>
      <c r="AM6" s="59">
        <f t="shared" si="5"/>
        <v>299.77279666481508</v>
      </c>
      <c r="AN6" s="59">
        <f ca="1">AVERAGE(OFFSET($AM$3,0,0,'Données projet'!$E$10+1,1))-AVERAGE(OFFSET($H$3,0,0,'Données projet'!$E$10+1,1))</f>
        <v>244.25841067424</v>
      </c>
      <c r="AO6" s="59">
        <f t="shared" si="36"/>
        <v>538.53312094474745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6.3926666666666669</v>
      </c>
      <c r="N7" s="13">
        <f>IF('Données projet'!$A$36&gt;35,N6+M7-V6,IF(A7&lt;'Données projet'!$A$36,$K$205^A7,IF(A7='Données projet'!$A$36,'Données projet'!$B$36,N6+M7-V6)))</f>
        <v>3.376547666200334</v>
      </c>
      <c r="O7" s="13">
        <f>N7*VLOOKUP('Données projet'!$B$9,Paramètres!$A$1:$I$89,3,0)*VLOOKUP('Données projet'!$B$9,Paramètres!$A$1:$I$89,5,0)</f>
        <v>2.0191755043878001</v>
      </c>
      <c r="P7" s="13">
        <f t="shared" si="33"/>
        <v>0.85744026159732678</v>
      </c>
      <c r="Q7" s="20">
        <f t="shared" si="2"/>
        <v>5.0101057924240964</v>
      </c>
      <c r="R7" s="59">
        <f t="shared" si="0"/>
        <v>298.34343912575741</v>
      </c>
      <c r="S7" s="59">
        <f ca="1">AVERAGE(OFFSET($R$3,0,0,'Données projet'!$E$9+1,1))-AVERAGE(OFFSET($H$3,0,0,'Données projet'!$E$9+1,1))</f>
        <v>201.32564399503951</v>
      </c>
      <c r="T7" s="59">
        <f t="shared" si="34"/>
        <v>347.89731545007157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13.533333333333333</v>
      </c>
      <c r="AI7" s="13">
        <f>IF('Données projet'!$A$62&gt;35,AI6+AH7-AQ6,IF(A7&lt;'Données projet'!$A$62,$AF$205^A7,IF(A7='Données projet'!$A$62,'Données projet'!$B$62,AI6+AH7-AQ6)))</f>
        <v>4.1241293372242831</v>
      </c>
      <c r="AJ7" s="13">
        <f>AI7*VLOOKUP('Données projet'!$B$10,Paramètres!$A$1:$I$89,3,0)*VLOOKUP('Données projet'!$B$10,Paramètres!$A$1:$I$89,5,0)</f>
        <v>3.731512224320531</v>
      </c>
      <c r="AK7" s="13">
        <f t="shared" si="35"/>
        <v>1.4752632871146873</v>
      </c>
      <c r="AL7" s="20">
        <f t="shared" si="4"/>
        <v>9.0684673490830043</v>
      </c>
      <c r="AM7" s="59">
        <f t="shared" si="5"/>
        <v>302.40180068241631</v>
      </c>
      <c r="AN7" s="59">
        <f ca="1">AVERAGE(OFFSET($AM$3,0,0,'Données projet'!$E$10+1,1))-AVERAGE(OFFSET($H$3,0,0,'Données projet'!$E$10+1,1))</f>
        <v>244.25841067424</v>
      </c>
      <c r="AO7" s="59">
        <f t="shared" si="36"/>
        <v>538.53312094474745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6.3926666666666669</v>
      </c>
      <c r="N8" s="13">
        <f>IF('Données projet'!$A$36&gt;35,N7+M8-V7,IF(A8&lt;'Données projet'!$A$36,$K$205^A8,IF(A8='Données projet'!$A$36,'Données projet'!$B$36,N7+M8-V7)))</f>
        <v>4.5771074328353194</v>
      </c>
      <c r="O8" s="13">
        <f>N8*VLOOKUP('Données projet'!$B$9,Paramètres!$A$1:$I$89,3,0)*VLOOKUP('Données projet'!$B$9,Paramètres!$A$1:$I$89,5,0)</f>
        <v>2.7371102448355216</v>
      </c>
      <c r="P8" s="13">
        <f t="shared" si="33"/>
        <v>1.1218725775427452</v>
      </c>
      <c r="Q8" s="20">
        <f t="shared" si="2"/>
        <v>6.7210617489754823</v>
      </c>
      <c r="R8" s="59">
        <f t="shared" si="0"/>
        <v>300.05439508230882</v>
      </c>
      <c r="S8" s="59">
        <f ca="1">AVERAGE(OFFSET($R$3,0,0,'Données projet'!$E$9+1,1))-AVERAGE(OFFSET($H$3,0,0,'Données projet'!$E$9+1,1))</f>
        <v>201.32564399503951</v>
      </c>
      <c r="T8" s="59">
        <f t="shared" si="34"/>
        <v>347.89731545007157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13.533333333333333</v>
      </c>
      <c r="AI8" s="13">
        <f>IF('Données projet'!$A$62&gt;35,AI7+AH8-AQ7,IF(A8&lt;'Données projet'!$A$62,$AF$205^A8,IF(A8='Données projet'!$A$62,'Données projet'!$B$62,AI7+AH8-AQ7)))</f>
        <v>5.8771306592107404</v>
      </c>
      <c r="AJ8" s="13">
        <f>AI8*VLOOKUP('Données projet'!$B$10,Paramètres!$A$1:$I$89,3,0)*VLOOKUP('Données projet'!$B$10,Paramètres!$A$1:$I$89,5,0)</f>
        <v>5.3176278204538781</v>
      </c>
      <c r="AK8" s="13">
        <f t="shared" si="35"/>
        <v>2.0174205241263845</v>
      </c>
      <c r="AL8" s="20">
        <f t="shared" si="4"/>
        <v>12.775209200143957</v>
      </c>
      <c r="AM8" s="59">
        <f t="shared" si="5"/>
        <v>306.10854253347725</v>
      </c>
      <c r="AN8" s="59">
        <f ca="1">AVERAGE(OFFSET($AM$3,0,0,'Données projet'!$E$10+1,1))-AVERAGE(OFFSET($H$3,0,0,'Données projet'!$E$10+1,1))</f>
        <v>244.25841067424</v>
      </c>
      <c r="AO8" s="59">
        <f t="shared" si="36"/>
        <v>538.53312094474745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6.3926666666666669</v>
      </c>
      <c r="N9" s="13">
        <f>IF('Données projet'!$A$36&gt;35,N8+M9-V8,IF(A9&lt;'Données projet'!$A$36,$K$205^A9,IF(A9='Données projet'!$A$36,'Données projet'!$B$36,N8+M9-V8)))</f>
        <v>6.2045362668584776</v>
      </c>
      <c r="O9" s="13">
        <f>N9*VLOOKUP('Données projet'!$B$9,Paramètres!$A$1:$I$89,3,0)*VLOOKUP('Données projet'!$B$9,Paramètres!$A$1:$I$89,5,0)</f>
        <v>3.7103126875813701</v>
      </c>
      <c r="P9" s="13">
        <f t="shared" si="33"/>
        <v>1.4678551225221896</v>
      </c>
      <c r="Q9" s="20">
        <f t="shared" si="2"/>
        <v>9.0186422692636992</v>
      </c>
      <c r="R9" s="59">
        <f t="shared" si="0"/>
        <v>302.35197560259701</v>
      </c>
      <c r="S9" s="59">
        <f ca="1">AVERAGE(OFFSET($R$3,0,0,'Données projet'!$E$9+1,1))-AVERAGE(OFFSET($H$3,0,0,'Données projet'!$E$9+1,1))</f>
        <v>201.32564399503951</v>
      </c>
      <c r="T9" s="59">
        <f t="shared" si="34"/>
        <v>347.89731545007157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13.533333333333333</v>
      </c>
      <c r="AI9" s="13">
        <f>IF('Données projet'!$A$62&gt;35,AI8+AH9-AQ8,IF(A9&lt;'Données projet'!$A$62,$AF$205^A9,IF(A9='Données projet'!$A$62,'Données projet'!$B$62,AI8+AH9-AQ8)))</f>
        <v>8.3752622580654137</v>
      </c>
      <c r="AJ9" s="13">
        <f>AI9*VLOOKUP('Données projet'!$B$10,Paramètres!$A$1:$I$89,3,0)*VLOOKUP('Données projet'!$B$10,Paramètres!$A$1:$I$89,5,0)</f>
        <v>7.5779372910975855</v>
      </c>
      <c r="AK9" s="13">
        <f t="shared" si="35"/>
        <v>2.7588198030240645</v>
      </c>
      <c r="AL9" s="20">
        <f t="shared" si="4"/>
        <v>18.003185272261874</v>
      </c>
      <c r="AM9" s="59">
        <f t="shared" si="5"/>
        <v>311.33651860559519</v>
      </c>
      <c r="AN9" s="59">
        <f ca="1">AVERAGE(OFFSET($AM$3,0,0,'Données projet'!$E$10+1,1))-AVERAGE(OFFSET($H$3,0,0,'Données projet'!$E$10+1,1))</f>
        <v>244.25841067424</v>
      </c>
      <c r="AO9" s="59">
        <f t="shared" si="36"/>
        <v>538.53312094474745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6.3926666666666669</v>
      </c>
      <c r="N10" s="13">
        <f>IF('Données projet'!$A$36&gt;35,N9+M10-V9,IF(A10&lt;'Données projet'!$A$36,$K$205^A10,IF(A10='Données projet'!$A$36,'Données projet'!$B$36,N9+M10-V9)))</f>
        <v>8.4106110358251662</v>
      </c>
      <c r="O10" s="13">
        <f>N10*VLOOKUP('Données projet'!$B$9,Paramètres!$A$1:$I$89,3,0)*VLOOKUP('Données projet'!$B$9,Paramètres!$A$1:$I$89,5,0)</f>
        <v>5.0295453994234496</v>
      </c>
      <c r="P10" s="13">
        <f t="shared" si="33"/>
        <v>1.9205377721540209</v>
      </c>
      <c r="Q10" s="20">
        <f t="shared" si="2"/>
        <v>12.104728190497427</v>
      </c>
      <c r="R10" s="59">
        <f t="shared" si="0"/>
        <v>305.43806152383075</v>
      </c>
      <c r="S10" s="59">
        <f ca="1">AVERAGE(OFFSET($R$3,0,0,'Données projet'!$E$9+1,1))-AVERAGE(OFFSET($H$3,0,0,'Données projet'!$E$9+1,1))</f>
        <v>201.32564399503951</v>
      </c>
      <c r="T10" s="59">
        <f t="shared" si="34"/>
        <v>347.89731545007157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13.533333333333333</v>
      </c>
      <c r="AI10" s="13">
        <f>IF('Données projet'!$A$62&gt;35,AI9+AH10-AQ9,IF(A10&lt;'Données projet'!$A$62,$AF$205^A10,IF(A10='Données projet'!$A$62,'Données projet'!$B$62,AI9+AH10-AQ9)))</f>
        <v>11.935249011597607</v>
      </c>
      <c r="AJ10" s="13">
        <f>AI10*VLOOKUP('Données projet'!$B$10,Paramètres!$A$1:$I$89,3,0)*VLOOKUP('Données projet'!$B$10,Paramètres!$A$1:$I$89,5,0)</f>
        <v>10.799013305693515</v>
      </c>
      <c r="AK10" s="13">
        <f t="shared" si="35"/>
        <v>3.7726823012537811</v>
      </c>
      <c r="AL10" s="20">
        <f t="shared" si="4"/>
        <v>25.37903651543321</v>
      </c>
      <c r="AM10" s="59">
        <f t="shared" si="5"/>
        <v>318.71236984876651</v>
      </c>
      <c r="AN10" s="59">
        <f ca="1">AVERAGE(OFFSET($AM$3,0,0,'Données projet'!$E$10+1,1))-AVERAGE(OFFSET($H$3,0,0,'Données projet'!$E$10+1,1))</f>
        <v>244.25841067424</v>
      </c>
      <c r="AO10" s="59">
        <f t="shared" si="36"/>
        <v>538.53312094474745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6.3926666666666669</v>
      </c>
      <c r="N11" s="13">
        <f>IF('Données projet'!$A$36&gt;35,N10+M11-V10,IF(A11&lt;'Données projet'!$A$36,$K$205^A11,IF(A11='Données projet'!$A$36,'Données projet'!$B$36,N10+M11-V10)))</f>
        <v>11.401074142122923</v>
      </c>
      <c r="O11" s="13">
        <f>N11*VLOOKUP('Données projet'!$B$9,Paramètres!$A$1:$I$89,3,0)*VLOOKUP('Données projet'!$B$9,Paramètres!$A$1:$I$89,5,0)</f>
        <v>6.817842336989508</v>
      </c>
      <c r="P11" s="13">
        <f t="shared" si="33"/>
        <v>2.5128265573870161</v>
      </c>
      <c r="Q11" s="20">
        <f t="shared" si="2"/>
        <v>16.25091499103911</v>
      </c>
      <c r="R11" s="59">
        <f t="shared" si="0"/>
        <v>309.58424832437242</v>
      </c>
      <c r="S11" s="59">
        <f ca="1">AVERAGE(OFFSET($R$3,0,0,'Données projet'!$E$9+1,1))-AVERAGE(OFFSET($H$3,0,0,'Données projet'!$E$9+1,1))</f>
        <v>201.32564399503951</v>
      </c>
      <c r="T11" s="59">
        <f t="shared" si="34"/>
        <v>347.89731545007157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13.533333333333333</v>
      </c>
      <c r="AI11" s="13">
        <f>IF('Données projet'!$A$62&gt;35,AI10+AH11-AQ10,IF(A11&lt;'Données projet'!$A$62,$AF$205^A11,IF(A11='Données projet'!$A$62,'Données projet'!$B$62,AI10+AH11-AQ10)))</f>
        <v>17.008442790154003</v>
      </c>
      <c r="AJ11" s="13">
        <f>AI11*VLOOKUP('Données projet'!$B$10,Paramètres!$A$1:$I$89,3,0)*VLOOKUP('Données projet'!$B$10,Paramètres!$A$1:$I$89,5,0)</f>
        <v>15.389239036531341</v>
      </c>
      <c r="AK11" s="13">
        <f t="shared" si="35"/>
        <v>5.1591378786653479</v>
      </c>
      <c r="AL11" s="20">
        <f t="shared" si="4"/>
        <v>35.788423127300902</v>
      </c>
      <c r="AM11" s="59">
        <f t="shared" si="5"/>
        <v>329.12175646063423</v>
      </c>
      <c r="AN11" s="59">
        <f ca="1">AVERAGE(OFFSET($AM$3,0,0,'Données projet'!$E$10+1,1))-AVERAGE(OFFSET($H$3,0,0,'Données projet'!$E$10+1,1))</f>
        <v>244.25841067424</v>
      </c>
      <c r="AO11" s="59">
        <f t="shared" si="36"/>
        <v>538.53312094474745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6.3926666666666669</v>
      </c>
      <c r="N12" s="13">
        <f>IF('Données projet'!$A$36&gt;35,N11+M12-V11,IF(A12&lt;'Données projet'!$A$36,$K$205^A12,IF(A12='Données projet'!$A$36,'Données projet'!$B$36,N11+M12-V11)))</f>
        <v>15.454821420288299</v>
      </c>
      <c r="O12" s="13">
        <f>N12*VLOOKUP('Données projet'!$B$9,Paramètres!$A$1:$I$89,3,0)*VLOOKUP('Données projet'!$B$9,Paramètres!$A$1:$I$89,5,0)</f>
        <v>9.2419832093324032</v>
      </c>
      <c r="P12" s="13">
        <f t="shared" si="33"/>
        <v>3.2877756423543505</v>
      </c>
      <c r="Q12" s="20">
        <f t="shared" si="2"/>
        <v>21.822663333354427</v>
      </c>
      <c r="R12" s="59">
        <f t="shared" si="0"/>
        <v>315.15599666668777</v>
      </c>
      <c r="S12" s="59">
        <f ca="1">AVERAGE(OFFSET($R$3,0,0,'Données projet'!$E$9+1,1))-AVERAGE(OFFSET($H$3,0,0,'Données projet'!$E$9+1,1))</f>
        <v>201.32564399503951</v>
      </c>
      <c r="T12" s="59">
        <f t="shared" si="34"/>
        <v>347.89731545007157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13.533333333333333</v>
      </c>
      <c r="AI12" s="13">
        <f>IF('Données projet'!$A$62&gt;35,AI11+AH12-AQ11,IF(A12&lt;'Données projet'!$A$62,$AF$205^A12,IF(A12='Données projet'!$A$62,'Données projet'!$B$62,AI11+AH12-AQ11)))</f>
        <v>24.238046970351302</v>
      </c>
      <c r="AJ12" s="13">
        <f>AI12*VLOOKUP('Données projet'!$B$10,Paramètres!$A$1:$I$89,3,0)*VLOOKUP('Données projet'!$B$10,Paramètres!$A$1:$I$89,5,0)</f>
        <v>21.930584898773855</v>
      </c>
      <c r="AK12" s="13">
        <f t="shared" si="35"/>
        <v>7.0551139814327906</v>
      </c>
      <c r="AL12" s="20">
        <f t="shared" si="4"/>
        <v>50.483425549693237</v>
      </c>
      <c r="AM12" s="59">
        <f t="shared" si="5"/>
        <v>343.81675888302652</v>
      </c>
      <c r="AN12" s="59">
        <f ca="1">AVERAGE(OFFSET($AM$3,0,0,'Données projet'!$E$10+1,1))-AVERAGE(OFFSET($H$3,0,0,'Données projet'!$E$10+1,1))</f>
        <v>244.25841067424</v>
      </c>
      <c r="AO12" s="59">
        <f t="shared" si="36"/>
        <v>538.53312094474745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6.3926666666666669</v>
      </c>
      <c r="N13" s="13">
        <f>IF('Données projet'!$A$36&gt;35,N12+M13-V12,IF(A13&lt;'Données projet'!$A$36,$K$205^A13,IF(A13='Données projet'!$A$36,'Données projet'!$B$36,N12+M13-V12)))</f>
        <v>20.949912451716326</v>
      </c>
      <c r="O13" s="13">
        <f>N13*VLOOKUP('Données projet'!$B$9,Paramètres!$A$1:$I$89,3,0)*VLOOKUP('Données projet'!$B$9,Paramètres!$A$1:$I$89,5,0)</f>
        <v>12.528047646126362</v>
      </c>
      <c r="P13" s="13">
        <f t="shared" si="33"/>
        <v>4.3017169818910563</v>
      </c>
      <c r="Q13" s="20">
        <f t="shared" si="2"/>
        <v>29.31184006046367</v>
      </c>
      <c r="R13" s="59">
        <f t="shared" si="0"/>
        <v>322.64517339379699</v>
      </c>
      <c r="S13" s="59">
        <f ca="1">AVERAGE(OFFSET($R$3,0,0,'Données projet'!$E$9+1,1))-AVERAGE(OFFSET($H$3,0,0,'Données projet'!$E$9+1,1))</f>
        <v>201.32564399503951</v>
      </c>
      <c r="T13" s="59">
        <f t="shared" si="34"/>
        <v>347.89731545007157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13.533333333333333</v>
      </c>
      <c r="AI13" s="13">
        <f>IF('Données projet'!$A$62&gt;35,AI12+AH13-AQ12,IF(A13&lt;'Données projet'!$A$62,$AF$205^A13,IF(A13='Données projet'!$A$62,'Données projet'!$B$62,AI12+AH13-AQ12)))</f>
        <v>34.540664785434863</v>
      </c>
      <c r="AJ13" s="13">
        <f>AI13*VLOOKUP('Données projet'!$B$10,Paramètres!$A$1:$I$89,3,0)*VLOOKUP('Données projet'!$B$10,Paramètres!$A$1:$I$89,5,0)</f>
        <v>31.252393497861465</v>
      </c>
      <c r="AK13" s="13">
        <f t="shared" si="35"/>
        <v>9.6478587046184874</v>
      </c>
      <c r="AL13" s="20">
        <f t="shared" si="4"/>
        <v>71.234605919319264</v>
      </c>
      <c r="AM13" s="59">
        <f t="shared" si="5"/>
        <v>364.56793925265259</v>
      </c>
      <c r="AN13" s="59">
        <f ca="1">AVERAGE(OFFSET($AM$3,0,0,'Données projet'!$E$10+1,1))-AVERAGE(OFFSET($H$3,0,0,'Données projet'!$E$10+1,1))</f>
        <v>244.25841067424</v>
      </c>
      <c r="AO13" s="59">
        <f t="shared" si="36"/>
        <v>538.53312094474745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6.3926666666666669</v>
      </c>
      <c r="N14" s="13">
        <f>IF('Données projet'!$A$36&gt;35,N13+M14-V13,IF(A14&lt;'Données projet'!$A$36,$K$205^A14,IF(A14='Données projet'!$A$36,'Données projet'!$B$36,N13+M14-V13)))</f>
        <v>28.39882906433424</v>
      </c>
      <c r="O14" s="13">
        <f>N14*VLOOKUP('Données projet'!$B$9,Paramètres!$A$1:$I$89,3,0)*VLOOKUP('Données projet'!$B$9,Paramètres!$A$1:$I$89,5,0)</f>
        <v>16.982499780471876</v>
      </c>
      <c r="P14" s="13">
        <f t="shared" si="33"/>
        <v>5.6283551571781754</v>
      </c>
      <c r="Q14" s="20">
        <f t="shared" si="2"/>
        <v>39.380572349740504</v>
      </c>
      <c r="R14" s="59">
        <f t="shared" si="0"/>
        <v>332.71390568307379</v>
      </c>
      <c r="S14" s="59">
        <f ca="1">AVERAGE(OFFSET($R$3,0,0,'Données projet'!$E$9+1,1))-AVERAGE(OFFSET($H$3,0,0,'Données projet'!$E$9+1,1))</f>
        <v>201.32564399503951</v>
      </c>
      <c r="T14" s="59">
        <f t="shared" si="34"/>
        <v>347.89731545007157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13.533333333333333</v>
      </c>
      <c r="AI14" s="13">
        <f>IF('Données projet'!$A$62&gt;35,AI13+AH14-AQ13,IF(A14&lt;'Données projet'!$A$62,$AF$205^A14,IF(A14='Données projet'!$A$62,'Données projet'!$B$62,AI13+AH14-AQ13)))</f>
        <v>49.222510595806817</v>
      </c>
      <c r="AJ14" s="13">
        <f>AI14*VLOOKUP('Données projet'!$B$10,Paramètres!$A$1:$I$89,3,0)*VLOOKUP('Données projet'!$B$10,Paramètres!$A$1:$I$89,5,0)</f>
        <v>44.536527587086006</v>
      </c>
      <c r="AK14" s="13">
        <f t="shared" si="35"/>
        <v>13.193433561704031</v>
      </c>
      <c r="AL14" s="20">
        <f t="shared" si="4"/>
        <v>100.54634900080931</v>
      </c>
      <c r="AM14" s="59">
        <f t="shared" si="5"/>
        <v>393.87968233414261</v>
      </c>
      <c r="AN14" s="59">
        <f ca="1">AVERAGE(OFFSET($AM$3,0,0,'Données projet'!$E$10+1,1))-AVERAGE(OFFSET($H$3,0,0,'Données projet'!$E$10+1,1))</f>
        <v>244.25841067424</v>
      </c>
      <c r="AO14" s="59">
        <f t="shared" si="36"/>
        <v>538.53312094474745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6.3926666666666669</v>
      </c>
      <c r="N15" s="13">
        <f>IF('Données projet'!$A$36&gt;35,N14+M15-V14,IF(A15&lt;'Données projet'!$A$36,$K$205^A15,IF(A15='Données projet'!$A$36,'Données projet'!$B$36,N14+M15-V14)))</f>
        <v>38.496270286762126</v>
      </c>
      <c r="O15" s="13">
        <f>N15*VLOOKUP('Données projet'!$B$9,Paramètres!$A$1:$I$89,3,0)*VLOOKUP('Données projet'!$B$9,Paramètres!$A$1:$I$89,5,0)</f>
        <v>23.020769631483756</v>
      </c>
      <c r="P15" s="13">
        <f t="shared" si="33"/>
        <v>7.3641250479031264</v>
      </c>
      <c r="Q15" s="20">
        <f t="shared" si="2"/>
        <v>52.920358233265489</v>
      </c>
      <c r="R15" s="59">
        <f t="shared" si="0"/>
        <v>346.25369156659883</v>
      </c>
      <c r="S15" s="59">
        <f ca="1">AVERAGE(OFFSET($R$3,0,0,'Données projet'!$E$9+1,1))-AVERAGE(OFFSET($H$3,0,0,'Données projet'!$E$9+1,1))</f>
        <v>201.32564399503951</v>
      </c>
      <c r="T15" s="59">
        <f t="shared" si="34"/>
        <v>347.89731545007157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13.533333333333333</v>
      </c>
      <c r="AI15" s="13">
        <f>IF('Données projet'!$A$62&gt;35,AI14+AH15-AQ14,IF(A15&lt;'Données projet'!$A$62,$AF$205^A15,IF(A15='Données projet'!$A$62,'Données projet'!$B$62,AI14+AH15-AQ14)))</f>
        <v>70.145017891374962</v>
      </c>
      <c r="AJ15" s="13">
        <f>AI15*VLOOKUP('Données projet'!$B$10,Paramètres!$A$1:$I$89,3,0)*VLOOKUP('Données projet'!$B$10,Paramètres!$A$1:$I$89,5,0)</f>
        <v>63.467212188116058</v>
      </c>
      <c r="AK15" s="13">
        <f t="shared" si="35"/>
        <v>18.042002321589926</v>
      </c>
      <c r="AL15" s="20">
        <f t="shared" si="4"/>
        <v>141.96188193773793</v>
      </c>
      <c r="AM15" s="59">
        <f t="shared" si="5"/>
        <v>435.29521527107124</v>
      </c>
      <c r="AN15" s="59">
        <f ca="1">AVERAGE(OFFSET($AM$3,0,0,'Données projet'!$E$10+1,1))-AVERAGE(OFFSET($H$3,0,0,'Données projet'!$E$10+1,1))</f>
        <v>244.25841067424</v>
      </c>
      <c r="AO15" s="59">
        <f t="shared" si="36"/>
        <v>538.53312094474745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6.3926666666666669</v>
      </c>
      <c r="N16" s="13">
        <f>IF('Données projet'!$A$36&gt;35,N15+M16-V15,IF(A16&lt;'Données projet'!$A$36,$K$205^A16,IF(A16='Données projet'!$A$36,'Données projet'!$B$36,N15+M16-V15)))</f>
        <v>52.18394119821739</v>
      </c>
      <c r="O16" s="13">
        <f>N16*VLOOKUP('Données projet'!$B$9,Paramètres!$A$1:$I$89,3,0)*VLOOKUP('Données projet'!$B$9,Paramètres!$A$1:$I$89,5,0)</f>
        <v>31.205996836534002</v>
      </c>
      <c r="P16" s="13">
        <f t="shared" si="33"/>
        <v>9.635201796388241</v>
      </c>
      <c r="Q16" s="20">
        <f t="shared" si="2"/>
        <v>71.131754285672898</v>
      </c>
      <c r="R16" s="59">
        <f t="shared" si="0"/>
        <v>364.46508761900623</v>
      </c>
      <c r="S16" s="59">
        <f ca="1">AVERAGE(OFFSET($R$3,0,0,'Données projet'!$E$9+1,1))-AVERAGE(OFFSET($H$3,0,0,'Données projet'!$E$9+1,1))</f>
        <v>201.32564399503951</v>
      </c>
      <c r="T16" s="59">
        <f t="shared" si="34"/>
        <v>347.89731545007157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13.533333333333333</v>
      </c>
      <c r="AI16" s="13">
        <f>IF('Données projet'!$A$62&gt;35,AI15+AH16-AQ15,IF(A16&lt;'Données projet'!$A$62,$AF$205^A16,IF(A16='Données projet'!$A$62,'Données projet'!$B$62,AI15+AH16-AQ15)))</f>
        <v>99.960840587445958</v>
      </c>
      <c r="AJ16" s="13">
        <f>AI16*VLOOKUP('Données projet'!$B$10,Paramètres!$A$1:$I$89,3,0)*VLOOKUP('Données projet'!$B$10,Paramètres!$A$1:$I$89,5,0)</f>
        <v>90.444568563521102</v>
      </c>
      <c r="AK16" s="13">
        <f t="shared" si="35"/>
        <v>24.672413458548821</v>
      </c>
      <c r="AL16" s="20">
        <f t="shared" si="4"/>
        <v>200.49541035510507</v>
      </c>
      <c r="AM16" s="59">
        <f t="shared" si="5"/>
        <v>493.82874368843841</v>
      </c>
      <c r="AN16" s="59">
        <f ca="1">AVERAGE(OFFSET($AM$3,0,0,'Données projet'!$E$10+1,1))-AVERAGE(OFFSET($H$3,0,0,'Données projet'!$E$10+1,1))</f>
        <v>244.25841067424</v>
      </c>
      <c r="AO16" s="59">
        <f t="shared" si="36"/>
        <v>538.53312094474745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6.3926666666666669</v>
      </c>
      <c r="N17" s="13">
        <f>IF('Données projet'!$A$36&gt;35,N16+M17-V16,IF(A17&lt;'Données projet'!$A$36,$K$205^A17,IF(A17='Données projet'!$A$36,'Données projet'!$B$36,N16+M17-V16)))</f>
        <v>70.738377995944077</v>
      </c>
      <c r="O17" s="13">
        <f>N17*VLOOKUP('Données projet'!$B$9,Paramètres!$A$1:$I$89,3,0)*VLOOKUP('Données projet'!$B$9,Paramètres!$A$1:$I$89,5,0)</f>
        <v>42.301550041574558</v>
      </c>
      <c r="P17" s="13">
        <f t="shared" si="33"/>
        <v>12.606672626174085</v>
      </c>
      <c r="Q17" s="20">
        <f t="shared" si="2"/>
        <v>95.631821146328889</v>
      </c>
      <c r="R17" s="59">
        <f t="shared" si="0"/>
        <v>388.9651544796622</v>
      </c>
      <c r="S17" s="59">
        <f ca="1">AVERAGE(OFFSET($R$3,0,0,'Données projet'!$E$9+1,1))-AVERAGE(OFFSET($H$3,0,0,'Données projet'!$E$9+1,1))</f>
        <v>201.32564399503951</v>
      </c>
      <c r="T17" s="59">
        <f t="shared" si="34"/>
        <v>347.89731545007157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13.533333333333333</v>
      </c>
      <c r="AI17" s="13">
        <f>IF('Données projet'!$A$62&gt;35,AI16+AH17-AQ16,IF(A17&lt;'Données projet'!$A$62,$AF$205^A17,IF(A17='Données projet'!$A$62,'Données projet'!$B$62,AI16+AH17-AQ16)))</f>
        <v>142.45016896884161</v>
      </c>
      <c r="AJ17" s="13">
        <f>AI17*VLOOKUP('Données projet'!$B$10,Paramètres!$A$1:$I$89,3,0)*VLOOKUP('Données projet'!$B$10,Paramètres!$A$1:$I$89,5,0)</f>
        <v>128.88891288300789</v>
      </c>
      <c r="AK17" s="13">
        <f t="shared" si="35"/>
        <v>33.739491605161156</v>
      </c>
      <c r="AL17" s="20">
        <f t="shared" si="4"/>
        <v>283.24447115022775</v>
      </c>
      <c r="AM17" s="59">
        <f t="shared" si="5"/>
        <v>576.57780448356107</v>
      </c>
      <c r="AN17" s="59">
        <f ca="1">AVERAGE(OFFSET($AM$3,0,0,'Données projet'!$E$10+1,1))-AVERAGE(OFFSET($H$3,0,0,'Données projet'!$E$10+1,1))</f>
        <v>244.25841067424</v>
      </c>
      <c r="AO17" s="59">
        <f t="shared" si="36"/>
        <v>538.53312094474745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95.89</v>
      </c>
      <c r="L18" s="12">
        <f>VLOOKUP(A18,'Données projet'!$A$35:$I$55,9,0)</f>
        <v>6.3926666666666669</v>
      </c>
      <c r="M18" s="12">
        <f t="array" ref="M18">INDEX(L:L,MIN(IF(ISNUMBER(L18:L214),ROW(L18:L214),"")))</f>
        <v>6.3926666666666669</v>
      </c>
      <c r="N18" s="13">
        <f>IF('Données projet'!$A$36&gt;35,N17+M18-V17,IF(A18&lt;'Données projet'!$A$36,$K$205^A18,IF(A18='Données projet'!$A$36,'Données projet'!$B$36,N17+M18-V17)))</f>
        <v>95.89</v>
      </c>
      <c r="O18" s="13">
        <f>N18*VLOOKUP('Données projet'!$B$9,Paramètres!$A$1:$I$89,3,0)*VLOOKUP('Données projet'!$B$9,Paramètres!$A$1:$I$89,5,0)</f>
        <v>57.342220000000005</v>
      </c>
      <c r="P18" s="13">
        <f t="shared" si="33"/>
        <v>16.494537225271326</v>
      </c>
      <c r="Q18" s="20">
        <f t="shared" si="2"/>
        <v>128.59901883401423</v>
      </c>
      <c r="R18" s="59">
        <f t="shared" si="0"/>
        <v>421.93235216734752</v>
      </c>
      <c r="S18" s="59">
        <f ca="1">AVERAGE(OFFSET($R$3,0,0,'Données projet'!$E$9+1,1))-AVERAGE(OFFSET($H$3,0,0,'Données projet'!$E$9+1,1))</f>
        <v>201.32564399503951</v>
      </c>
      <c r="T18" s="59">
        <f t="shared" si="34"/>
        <v>347.89731545007157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38.36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7.6382755520034067</v>
      </c>
      <c r="AB18" s="21">
        <f>EXP(-LN(2)/2)*AB17+(1-EXP(-LN(2)/2))/(LN(2)/2)*V18*Y18*VLOOKUP('Données projet'!$B$9,Paramètres!$A$1:$I$89,3,0)*0.475*44/12</f>
        <v>11.427941227121279</v>
      </c>
      <c r="AC18" s="22">
        <f t="shared" si="3"/>
        <v>19.066216779124687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203</v>
      </c>
      <c r="AG18" s="12">
        <f>VLOOKUP(A18,'Données projet'!$A$61:$I$81,9,0)</f>
        <v>13.533333333333333</v>
      </c>
      <c r="AH18" s="12">
        <f t="array" ref="AH18">INDEX(AG:AG,MIN(IF(ISNUMBER(AG18:AG214),ROW(AG18:AG214),"")))</f>
        <v>13.533333333333333</v>
      </c>
      <c r="AI18" s="13">
        <f>IF('Données projet'!$A$62&gt;35,AI17+AH18-AQ17,IF(A18&lt;'Données projet'!$A$62,$AF$205^A18,IF(A18='Données projet'!$A$62,'Données projet'!$B$62,AI17+AH18-AQ17)))</f>
        <v>203</v>
      </c>
      <c r="AJ18" s="13">
        <f>AI18*VLOOKUP('Données projet'!$B$10,Paramètres!$A$1:$I$89,3,0)*VLOOKUP('Données projet'!$B$10,Paramètres!$A$1:$I$89,5,0)</f>
        <v>183.67439999999999</v>
      </c>
      <c r="AK18" s="13">
        <f t="shared" si="35"/>
        <v>46.138708549418673</v>
      </c>
      <c r="AL18" s="20">
        <f t="shared" si="4"/>
        <v>400.25783072357081</v>
      </c>
      <c r="AM18" s="59">
        <f t="shared" si="5"/>
        <v>693.59116405690406</v>
      </c>
      <c r="AN18" s="59">
        <f ca="1">AVERAGE(OFFSET($AM$3,0,0,'Données projet'!$E$10+1,1))-AVERAGE(OFFSET($H$3,0,0,'Données projet'!$E$10+1,1))</f>
        <v>244.25841067424</v>
      </c>
      <c r="AO18" s="59">
        <f t="shared" si="36"/>
        <v>538.53312094474745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52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19.146249999999998</v>
      </c>
      <c r="N19" s="13">
        <f>IF('Données projet'!$A$36&gt;35,N18+M19-V18,IF(A19&lt;'Données projet'!$A$36,$K$205^A19,IF(A19='Données projet'!$A$36,'Données projet'!$B$36,N18+M19-V18)))</f>
        <v>76.676249999999996</v>
      </c>
      <c r="O19" s="13">
        <f>N19*VLOOKUP('Données projet'!$B$9,Paramètres!$A$1:$I$89,3,0)*VLOOKUP('Données projet'!$B$9,Paramètres!$A$1:$I$89,5,0)</f>
        <v>45.852397499999995</v>
      </c>
      <c r="P19" s="13">
        <f t="shared" si="33"/>
        <v>13.537284965964579</v>
      </c>
      <c r="Q19" s="20">
        <f t="shared" si="2"/>
        <v>103.4370302948883</v>
      </c>
      <c r="R19" s="59">
        <f t="shared" si="0"/>
        <v>396.77036362822162</v>
      </c>
      <c r="S19" s="59">
        <f ca="1">AVERAGE(OFFSET($R$3,0,0,'Données projet'!$E$9+1,1))-AVERAGE(OFFSET($H$3,0,0,'Données projet'!$E$9+1,1))</f>
        <v>201.32564399503951</v>
      </c>
      <c r="T19" s="59">
        <f t="shared" si="34"/>
        <v>347.89731545007157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7.4294065053544198</v>
      </c>
      <c r="AB19" s="21">
        <f>EXP(-LN(2)/2)*AB18+(1-EXP(-LN(2)/2))/(LN(2)/2)*V19*Y19*VLOOKUP('Données projet'!$B$9,Paramètres!$A$1:$I$89,3,0)*0.475*44/12</f>
        <v>8.0807747366987712</v>
      </c>
      <c r="AC19" s="22">
        <f t="shared" si="3"/>
        <v>15.510181242053191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17.8</v>
      </c>
      <c r="AI19" s="13">
        <f>IF('Données projet'!$A$62&gt;35,AI18+AH19-AQ18,IF(A19&lt;'Données projet'!$A$62,$AF$205^A19,IF(A19='Données projet'!$A$62,'Données projet'!$B$62,AI18+AH19-AQ18)))</f>
        <v>168.8</v>
      </c>
      <c r="AJ19" s="13">
        <f>AI19*VLOOKUP('Données projet'!$B$10,Paramètres!$A$1:$I$89,3,0)*VLOOKUP('Données projet'!$B$10,Paramètres!$A$1:$I$89,5,0)</f>
        <v>152.73024000000001</v>
      </c>
      <c r="AK19" s="13">
        <f t="shared" si="35"/>
        <v>39.198389597047516</v>
      </c>
      <c r="AL19" s="20">
        <f t="shared" si="4"/>
        <v>334.27569654819109</v>
      </c>
      <c r="AM19" s="59">
        <f t="shared" si="5"/>
        <v>627.60902988152441</v>
      </c>
      <c r="AN19" s="59">
        <f ca="1">AVERAGE(OFFSET($AM$3,0,0,'Données projet'!$E$10+1,1))-AVERAGE(OFFSET($H$3,0,0,'Données projet'!$E$10+1,1))</f>
        <v>244.25841067424</v>
      </c>
      <c r="AO19" s="59">
        <f t="shared" si="36"/>
        <v>538.53312094474745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19.146249999999998</v>
      </c>
      <c r="N20" s="13">
        <f>IF('Données projet'!$A$36&gt;35,N19+M20-V19,IF(A20&lt;'Données projet'!$A$36,$K$205^A20,IF(A20='Données projet'!$A$36,'Données projet'!$B$36,N19+M20-V19)))</f>
        <v>95.822499999999991</v>
      </c>
      <c r="O20" s="13">
        <f>N20*VLOOKUP('Données projet'!$B$9,Paramètres!$A$1:$I$89,3,0)*VLOOKUP('Données projet'!$B$9,Paramètres!$A$1:$I$89,5,0)</f>
        <v>57.301855000000003</v>
      </c>
      <c r="P20" s="13">
        <f t="shared" si="33"/>
        <v>16.484277302456192</v>
      </c>
      <c r="Q20" s="20">
        <f t="shared" si="2"/>
        <v>128.51084709344454</v>
      </c>
      <c r="R20" s="59">
        <f t="shared" si="0"/>
        <v>421.84418042677783</v>
      </c>
      <c r="S20" s="59">
        <f ca="1">AVERAGE(OFFSET($R$3,0,0,'Données projet'!$E$9+1,1))-AVERAGE(OFFSET($H$3,0,0,'Données projet'!$E$9+1,1))</f>
        <v>201.32564399503951</v>
      </c>
      <c r="T20" s="59">
        <f t="shared" si="34"/>
        <v>347.89731545007157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7.2262489937699952</v>
      </c>
      <c r="AB20" s="21">
        <f>EXP(-LN(2)/2)*AB19+(1-EXP(-LN(2)/2))/(LN(2)/2)*V20*Y20*VLOOKUP('Données projet'!$B$9,Paramètres!$A$1:$I$89,3,0)*0.475*44/12</f>
        <v>5.7139706135606394</v>
      </c>
      <c r="AC20" s="22">
        <f t="shared" si="3"/>
        <v>12.940219607330635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17.8</v>
      </c>
      <c r="AI20" s="13">
        <f>IF('Données projet'!$A$62&gt;35,AI19+AH20-AQ19,IF(A20&lt;'Données projet'!$A$62,$AF$205^A20,IF(A20='Données projet'!$A$62,'Données projet'!$B$62,AI19+AH20-AQ19)))</f>
        <v>186.60000000000002</v>
      </c>
      <c r="AJ20" s="13">
        <f>AI20*VLOOKUP('Données projet'!$B$10,Paramètres!$A$1:$I$89,3,0)*VLOOKUP('Données projet'!$B$10,Paramètres!$A$1:$I$89,5,0)</f>
        <v>168.83568000000002</v>
      </c>
      <c r="AK20" s="13">
        <f t="shared" si="35"/>
        <v>42.829150426593394</v>
      </c>
      <c r="AL20" s="20">
        <f t="shared" si="4"/>
        <v>368.64957965965021</v>
      </c>
      <c r="AM20" s="59">
        <f t="shared" si="5"/>
        <v>661.98291299298353</v>
      </c>
      <c r="AN20" s="59">
        <f ca="1">AVERAGE(OFFSET($AM$3,0,0,'Données projet'!$E$10+1,1))-AVERAGE(OFFSET($H$3,0,0,'Données projet'!$E$10+1,1))</f>
        <v>244.25841067424</v>
      </c>
      <c r="AO20" s="59">
        <f t="shared" si="36"/>
        <v>538.53312094474745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19.146249999999998</v>
      </c>
      <c r="N21" s="13">
        <f>IF('Données projet'!$A$36&gt;35,N20+M21-V20,IF(A21&lt;'Données projet'!$A$36,$K$205^A21,IF(A21='Données projet'!$A$36,'Données projet'!$B$36,N20+M21-V20)))</f>
        <v>114.96874999999999</v>
      </c>
      <c r="O21" s="13">
        <f>N21*VLOOKUP('Données projet'!$B$9,Paramètres!$A$1:$I$89,3,0)*VLOOKUP('Données projet'!$B$9,Paramètres!$A$1:$I$89,5,0)</f>
        <v>68.751312499999997</v>
      </c>
      <c r="P21" s="13">
        <f t="shared" si="33"/>
        <v>19.363040361395363</v>
      </c>
      <c r="Q21" s="20">
        <f t="shared" si="2"/>
        <v>153.4658312335969</v>
      </c>
      <c r="R21" s="59">
        <f t="shared" si="0"/>
        <v>446.79916456693024</v>
      </c>
      <c r="S21" s="59">
        <f ca="1">AVERAGE(OFFSET($R$3,0,0,'Données projet'!$E$9+1,1))-AVERAGE(OFFSET($H$3,0,0,'Données projet'!$E$9+1,1))</f>
        <v>201.32564399503951</v>
      </c>
      <c r="T21" s="59">
        <f t="shared" si="34"/>
        <v>347.89731545007157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7.0286468350234363</v>
      </c>
      <c r="AB21" s="21">
        <f>EXP(-LN(2)/2)*AB20+(1-EXP(-LN(2)/2))/(LN(2)/2)*V21*Y21*VLOOKUP('Données projet'!$B$9,Paramètres!$A$1:$I$89,3,0)*0.475*44/12</f>
        <v>4.0403873683493856</v>
      </c>
      <c r="AC21" s="22">
        <f t="shared" si="3"/>
        <v>11.069034203372823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17.8</v>
      </c>
      <c r="AI21" s="13">
        <f>IF('Données projet'!$A$62&gt;35,AI20+AH21-AQ20,IF(A21&lt;'Données projet'!$A$62,$AF$205^A21,IF(A21='Données projet'!$A$62,'Données projet'!$B$62,AI20+AH21-AQ20)))</f>
        <v>204.40000000000003</v>
      </c>
      <c r="AJ21" s="13">
        <f>AI21*VLOOKUP('Données projet'!$B$10,Paramètres!$A$1:$I$89,3,0)*VLOOKUP('Données projet'!$B$10,Paramètres!$A$1:$I$89,5,0)</f>
        <v>184.94112000000001</v>
      </c>
      <c r="AK21" s="13">
        <f t="shared" si="35"/>
        <v>46.419755730249435</v>
      </c>
      <c r="AL21" s="20">
        <f t="shared" si="4"/>
        <v>402.95352523018443</v>
      </c>
      <c r="AM21" s="59">
        <f t="shared" si="5"/>
        <v>696.28685856351774</v>
      </c>
      <c r="AN21" s="59">
        <f ca="1">AVERAGE(OFFSET($AM$3,0,0,'Données projet'!$E$10+1,1))-AVERAGE(OFFSET($H$3,0,0,'Données projet'!$E$10+1,1))</f>
        <v>244.25841067424</v>
      </c>
      <c r="AO21" s="59">
        <f t="shared" si="36"/>
        <v>538.53312094474745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19.146249999999998</v>
      </c>
      <c r="N22" s="13">
        <f>IF('Données projet'!$A$36&gt;35,N21+M22-V21,IF(A22&lt;'Données projet'!$A$36,$K$205^A22,IF(A22='Données projet'!$A$36,'Données projet'!$B$36,N21+M22-V21)))</f>
        <v>134.11499999999998</v>
      </c>
      <c r="O22" s="13">
        <f>N22*VLOOKUP('Données projet'!$B$9,Paramètres!$A$1:$I$89,3,0)*VLOOKUP('Données projet'!$B$9,Paramètres!$A$1:$I$89,5,0)</f>
        <v>80.200769999999991</v>
      </c>
      <c r="P22" s="13">
        <f t="shared" si="33"/>
        <v>22.18626627409882</v>
      </c>
      <c r="Q22" s="20">
        <f t="shared" si="2"/>
        <v>178.32408817738875</v>
      </c>
      <c r="R22" s="59">
        <f t="shared" si="0"/>
        <v>471.65742151072209</v>
      </c>
      <c r="S22" s="59">
        <f ca="1">AVERAGE(OFFSET($R$3,0,0,'Données projet'!$E$9+1,1))-AVERAGE(OFFSET($H$3,0,0,'Données projet'!$E$9+1,1))</f>
        <v>201.32564399503951</v>
      </c>
      <c r="T22" s="59">
        <f t="shared" si="34"/>
        <v>347.89731545007157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6.8364481176992475</v>
      </c>
      <c r="AB22" s="21">
        <f>EXP(-LN(2)/2)*AB21+(1-EXP(-LN(2)/2))/(LN(2)/2)*V22*Y22*VLOOKUP('Données projet'!$B$9,Paramètres!$A$1:$I$89,3,0)*0.475*44/12</f>
        <v>2.8569853067803197</v>
      </c>
      <c r="AC22" s="22">
        <f t="shared" si="3"/>
        <v>9.6934334244795668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17.8</v>
      </c>
      <c r="AI22" s="13">
        <f>IF('Données projet'!$A$62&gt;35,AI21+AH22-AQ21,IF(A22&lt;'Données projet'!$A$62,$AF$205^A22,IF(A22='Données projet'!$A$62,'Données projet'!$B$62,AI21+AH22-AQ21)))</f>
        <v>222.20000000000005</v>
      </c>
      <c r="AJ22" s="13">
        <f>AI22*VLOOKUP('Données projet'!$B$10,Paramètres!$A$1:$I$89,3,0)*VLOOKUP('Données projet'!$B$10,Paramètres!$A$1:$I$89,5,0)</f>
        <v>201.04656000000003</v>
      </c>
      <c r="AK22" s="13">
        <f t="shared" si="35"/>
        <v>49.974100026254405</v>
      </c>
      <c r="AL22" s="20">
        <f t="shared" si="4"/>
        <v>437.19431621239318</v>
      </c>
      <c r="AM22" s="59">
        <f t="shared" si="5"/>
        <v>730.52764954572649</v>
      </c>
      <c r="AN22" s="59">
        <f ca="1">AVERAGE(OFFSET($AM$3,0,0,'Données projet'!$E$10+1,1))-AVERAGE(OFFSET($H$3,0,0,'Données projet'!$E$10+1,1))</f>
        <v>244.25841067424</v>
      </c>
      <c r="AO22" s="59">
        <f t="shared" si="36"/>
        <v>538.53312094474745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19.146249999999998</v>
      </c>
      <c r="N23" s="13">
        <f>IF('Données projet'!$A$36&gt;35,N22+M23-V22,IF(A23&lt;'Données projet'!$A$36,$K$205^A23,IF(A23='Données projet'!$A$36,'Données projet'!$B$36,N22+M23-V22)))</f>
        <v>153.26124999999999</v>
      </c>
      <c r="O23" s="13">
        <f>N23*VLOOKUP('Données projet'!$B$9,Paramètres!$A$1:$I$89,3,0)*VLOOKUP('Données projet'!$B$9,Paramètres!$A$1:$I$89,5,0)</f>
        <v>91.6502275</v>
      </c>
      <c r="P23" s="13">
        <f t="shared" si="33"/>
        <v>24.962798280380415</v>
      </c>
      <c r="Q23" s="20">
        <f t="shared" si="2"/>
        <v>203.10101990082921</v>
      </c>
      <c r="R23" s="59">
        <f t="shared" si="0"/>
        <v>496.43435323416253</v>
      </c>
      <c r="S23" s="59">
        <f ca="1">AVERAGE(OFFSET($R$3,0,0,'Données projet'!$E$9+1,1))-AVERAGE(OFFSET($H$3,0,0,'Données projet'!$E$9+1,1))</f>
        <v>201.32564399503951</v>
      </c>
      <c r="T23" s="59">
        <f t="shared" si="34"/>
        <v>347.89731545007157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6.64950508440758</v>
      </c>
      <c r="AB23" s="21">
        <f>EXP(-LN(2)/2)*AB22+(1-EXP(-LN(2)/2))/(LN(2)/2)*V23*Y23*VLOOKUP('Données projet'!$B$9,Paramètres!$A$1:$I$89,3,0)*0.475*44/12</f>
        <v>2.0201936841746928</v>
      </c>
      <c r="AC23" s="22">
        <f t="shared" si="3"/>
        <v>8.669698768582272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240</v>
      </c>
      <c r="AG23" s="12">
        <f>VLOOKUP(A23,'Données projet'!$A$61:$I$81,9,0)</f>
        <v>17.8</v>
      </c>
      <c r="AH23" s="12">
        <f t="array" ref="AH23">INDEX(AG:AG,MIN(IF(ISNUMBER(AG23:AG219),ROW(AG23:AG219),"")))</f>
        <v>17.8</v>
      </c>
      <c r="AI23" s="13">
        <f>IF('Données projet'!$A$62&gt;35,AI22+AH23-AQ22,IF(A23&lt;'Données projet'!$A$62,$AF$205^A23,IF(A23='Données projet'!$A$62,'Données projet'!$B$62,AI22+AH23-AQ22)))</f>
        <v>240.00000000000006</v>
      </c>
      <c r="AJ23" s="13">
        <f>AI23*VLOOKUP('Données projet'!$B$10,Paramètres!$A$1:$I$89,3,0)*VLOOKUP('Données projet'!$B$10,Paramètres!$A$1:$I$89,5,0)</f>
        <v>217.15200000000004</v>
      </c>
      <c r="AK23" s="13">
        <f t="shared" si="35"/>
        <v>53.495418360394275</v>
      </c>
      <c r="AL23" s="20">
        <f t="shared" si="4"/>
        <v>471.37758697768669</v>
      </c>
      <c r="AM23" s="59">
        <f t="shared" si="5"/>
        <v>764.71092031102</v>
      </c>
      <c r="AN23" s="59">
        <f ca="1">AVERAGE(OFFSET($AM$3,0,0,'Données projet'!$E$10+1,1))-AVERAGE(OFFSET($H$3,0,0,'Données projet'!$E$10+1,1))</f>
        <v>244.25841067424</v>
      </c>
      <c r="AO23" s="59">
        <f t="shared" si="36"/>
        <v>538.53312094474745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40</v>
      </c>
      <c r="AR23" s="16">
        <f>IF(ISNA(VLOOKUP(A23,'Données projet'!$A$61:$I$81,5,0)),0%,VLOOKUP(A23,'Données projet'!$A$61:$I$81,5,0)*VLOOKUP('Données projet'!$B$10,Paramètres!$A$1:$I$89,7,0))</f>
        <v>0.06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2.4005510385633917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2.4005510385633917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19.146249999999998</v>
      </c>
      <c r="N24" s="13">
        <f>IF('Données projet'!$A$36&gt;35,N23+M24-V23,IF(A24&lt;'Données projet'!$A$36,$K$205^A24,IF(A24='Données projet'!$A$36,'Données projet'!$B$36,N23+M24-V23)))</f>
        <v>172.4075</v>
      </c>
      <c r="O24" s="13">
        <f>N24*VLOOKUP('Données projet'!$B$9,Paramètres!$A$1:$I$89,3,0)*VLOOKUP('Données projet'!$B$9,Paramètres!$A$1:$I$89,5,0)</f>
        <v>103.09968500000001</v>
      </c>
      <c r="P24" s="13">
        <f t="shared" si="33"/>
        <v>27.699137686373479</v>
      </c>
      <c r="Q24" s="20">
        <f t="shared" si="2"/>
        <v>227.80794951210046</v>
      </c>
      <c r="R24" s="59">
        <f t="shared" si="0"/>
        <v>521.14128284543381</v>
      </c>
      <c r="S24" s="59">
        <f ca="1">AVERAGE(OFFSET($R$3,0,0,'Données projet'!$E$9+1,1))-AVERAGE(OFFSET($H$3,0,0,'Données projet'!$E$9+1,1))</f>
        <v>201.32564399503951</v>
      </c>
      <c r="T24" s="59">
        <f t="shared" si="34"/>
        <v>347.89731545007157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6.4676740181921799</v>
      </c>
      <c r="AB24" s="21">
        <f>EXP(-LN(2)/2)*AB23+(1-EXP(-LN(2)/2))/(LN(2)/2)*V24*Y24*VLOOKUP('Données projet'!$B$9,Paramètres!$A$1:$I$89,3,0)*0.475*44/12</f>
        <v>1.4284926533901598</v>
      </c>
      <c r="AC24" s="22">
        <f t="shared" si="3"/>
        <v>7.89616667158234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</v>
      </c>
      <c r="AI24" s="13">
        <f>IF('Données projet'!$A$62&gt;35,AI23+AH24-AQ23,IF(A24&lt;'Données projet'!$A$62,$AF$205^A24,IF(A24='Données projet'!$A$62,'Données projet'!$B$62,AI23+AH24-AQ23)))</f>
        <v>215.00000000000006</v>
      </c>
      <c r="AJ24" s="13">
        <f>AI24*VLOOKUP('Données projet'!$B$10,Paramètres!$A$1:$I$89,3,0)*VLOOKUP('Données projet'!$B$10,Paramètres!$A$1:$I$89,5,0)</f>
        <v>194.53200000000007</v>
      </c>
      <c r="AK24" s="13">
        <f t="shared" si="35"/>
        <v>48.540534952652621</v>
      </c>
      <c r="AL24" s="20">
        <f t="shared" si="4"/>
        <v>423.35133170920341</v>
      </c>
      <c r="AM24" s="59">
        <f t="shared" si="5"/>
        <v>716.68466504253672</v>
      </c>
      <c r="AN24" s="59">
        <f ca="1">AVERAGE(OFFSET($AM$3,0,0,'Données projet'!$E$10+1,1))-AVERAGE(OFFSET($H$3,0,0,'Données projet'!$E$10+1,1))</f>
        <v>244.25841067424</v>
      </c>
      <c r="AO24" s="59">
        <f t="shared" si="36"/>
        <v>538.53312094474745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2.3534776968887203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2.3534776968887203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19.146249999999998</v>
      </c>
      <c r="N25" s="13">
        <f>IF('Données projet'!$A$36&gt;35,N24+M25-V24,IF(A25&lt;'Données projet'!$A$36,$K$205^A25,IF(A25='Données projet'!$A$36,'Données projet'!$B$36,N24+M25-V24)))</f>
        <v>191.55375000000001</v>
      </c>
      <c r="O25" s="13">
        <f>N25*VLOOKUP('Données projet'!$B$9,Paramètres!$A$1:$I$89,3,0)*VLOOKUP('Données projet'!$B$9,Paramètres!$A$1:$I$89,5,0)</f>
        <v>114.54914250000002</v>
      </c>
      <c r="P25" s="13">
        <f t="shared" si="33"/>
        <v>30.400257124329009</v>
      </c>
      <c r="Q25" s="20">
        <f t="shared" si="2"/>
        <v>252.45353767903973</v>
      </c>
      <c r="R25" s="59">
        <f t="shared" si="0"/>
        <v>545.78687101237301</v>
      </c>
      <c r="S25" s="59">
        <f ca="1">AVERAGE(OFFSET($R$3,0,0,'Données projet'!$E$9+1,1))-AVERAGE(OFFSET($H$3,0,0,'Données projet'!$E$9+1,1))</f>
        <v>201.32564399503951</v>
      </c>
      <c r="T25" s="59">
        <f t="shared" si="34"/>
        <v>347.89731545007157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6.2908151320445205</v>
      </c>
      <c r="AB25" s="21">
        <f>EXP(-LN(2)/2)*AB24+(1-EXP(-LN(2)/2))/(LN(2)/2)*V25*Y25*VLOOKUP('Données projet'!$B$9,Paramètres!$A$1:$I$89,3,0)*0.475*44/12</f>
        <v>1.0100968420873464</v>
      </c>
      <c r="AC25" s="22">
        <f t="shared" si="3"/>
        <v>7.3009119741318669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</v>
      </c>
      <c r="AI25" s="13">
        <f>IF('Données projet'!$A$62&gt;35,AI24+AH25-AQ24,IF(A25&lt;'Données projet'!$A$62,$AF$205^A25,IF(A25='Données projet'!$A$62,'Données projet'!$B$62,AI24+AH25-AQ24)))</f>
        <v>230.00000000000006</v>
      </c>
      <c r="AJ25" s="13">
        <f>AI25*VLOOKUP('Données projet'!$B$10,Paramètres!$A$1:$I$89,3,0)*VLOOKUP('Données projet'!$B$10,Paramètres!$A$1:$I$89,5,0)</f>
        <v>208.10400000000007</v>
      </c>
      <c r="AK25" s="13">
        <f t="shared" si="35"/>
        <v>51.52104354893045</v>
      </c>
      <c r="AL25" s="20">
        <f t="shared" si="4"/>
        <v>452.18028418105399</v>
      </c>
      <c r="AM25" s="59">
        <f t="shared" si="5"/>
        <v>745.51361751438731</v>
      </c>
      <c r="AN25" s="59">
        <f ca="1">AVERAGE(OFFSET($AM$3,0,0,'Données projet'!$E$10+1,1))-AVERAGE(OFFSET($H$3,0,0,'Données projet'!$E$10+1,1))</f>
        <v>244.25841067424</v>
      </c>
      <c r="AO25" s="59">
        <f t="shared" si="36"/>
        <v>538.53312094474745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2.307327434732386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2.307327434732386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210.7</v>
      </c>
      <c r="L26" s="12">
        <f>VLOOKUP(A26,'Données projet'!$A$35:$I$55,9,0)</f>
        <v>19.146249999999998</v>
      </c>
      <c r="M26" s="12">
        <f t="array" ref="M26">INDEX(L:L,MIN(IF(ISNUMBER(L26:L222),ROW(L26:L222),"")))</f>
        <v>19.146249999999998</v>
      </c>
      <c r="N26" s="13">
        <f>IF('Données projet'!$A$36&gt;35,N25+M26-V25,IF(A26&lt;'Données projet'!$A$36,$K$205^A26,IF(A26='Données projet'!$A$36,'Données projet'!$B$36,N25+M26-V25)))</f>
        <v>210.70000000000002</v>
      </c>
      <c r="O26" s="13">
        <f>N26*VLOOKUP('Données projet'!$B$9,Paramètres!$A$1:$I$89,3,0)*VLOOKUP('Données projet'!$B$9,Paramètres!$A$1:$I$89,5,0)</f>
        <v>125.99860000000002</v>
      </c>
      <c r="P26" s="13">
        <f t="shared" si="33"/>
        <v>33.070077653620132</v>
      </c>
      <c r="Q26" s="20">
        <f t="shared" si="2"/>
        <v>277.04461358005511</v>
      </c>
      <c r="R26" s="59">
        <f t="shared" si="0"/>
        <v>570.37794691338843</v>
      </c>
      <c r="S26" s="59">
        <f ca="1">AVERAGE(OFFSET($R$3,0,0,'Données projet'!$E$9+1,1))-AVERAGE(OFFSET($H$3,0,0,'Données projet'!$E$9+1,1))</f>
        <v>201.32564399503951</v>
      </c>
      <c r="T26" s="59">
        <f t="shared" si="34"/>
        <v>347.89731545007157</v>
      </c>
      <c r="U26" s="15">
        <f>IF(ISNA(VLOOKUP(A26,'Données projet'!$A$35:$I$55,3,0)),0,VLOOKUP(A26,'Données projet'!$A$35:$I$55,3,0))</f>
        <v>2</v>
      </c>
      <c r="V26" s="15">
        <f>IF(ISNA(VLOOKUP(A26,'Données projet'!$A$35:$I$55,4,0)),0,VLOOKUP(A26,'Données projet'!$A$35:$I$55,4,0))</f>
        <v>70.23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0.25200000000000006</v>
      </c>
      <c r="Y26" s="16">
        <f>IF(ISNA(VLOOKUP(A26,'Données projet'!$A$35:$I$55,7,0)),0%,VLOOKUP(A26,'Données projet'!$A$35:$I$55,7,0))</f>
        <v>0.44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20.103049291918818</v>
      </c>
      <c r="AB26" s="21">
        <f>EXP(-LN(2)/2)*AB25+(1-EXP(-LN(2)/2))/(LN(2)/2)*V26*Y26*VLOOKUP('Données projet'!$B$9,Paramètres!$A$1:$I$89,3,0)*0.475*44/12</f>
        <v>21.636673656745327</v>
      </c>
      <c r="AC26" s="22">
        <f t="shared" si="3"/>
        <v>41.739722948664145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</v>
      </c>
      <c r="AI26" s="13">
        <f>IF('Données projet'!$A$62&gt;35,AI25+AH26-AQ25,IF(A26&lt;'Données projet'!$A$62,$AF$205^A26,IF(A26='Données projet'!$A$62,'Données projet'!$B$62,AI25+AH26-AQ25)))</f>
        <v>245.00000000000006</v>
      </c>
      <c r="AJ26" s="13">
        <f>AI26*VLOOKUP('Données projet'!$B$10,Paramètres!$A$1:$I$89,3,0)*VLOOKUP('Données projet'!$B$10,Paramètres!$A$1:$I$89,5,0)</f>
        <v>221.67600000000004</v>
      </c>
      <c r="AK26" s="13">
        <f t="shared" si="35"/>
        <v>54.478994986332864</v>
      </c>
      <c r="AL26" s="20">
        <f t="shared" si="4"/>
        <v>480.96994960119645</v>
      </c>
      <c r="AM26" s="59">
        <f t="shared" si="5"/>
        <v>774.30328293452976</v>
      </c>
      <c r="AN26" s="59">
        <f ca="1">AVERAGE(OFFSET($AM$3,0,0,'Données projet'!$E$10+1,1))-AVERAGE(OFFSET($H$3,0,0,'Données projet'!$E$10+1,1))</f>
        <v>244.25841067424</v>
      </c>
      <c r="AO26" s="59">
        <f t="shared" si="36"/>
        <v>538.53312094474745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2.2620821510680567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2.2620821510680567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24.789000000000005</v>
      </c>
      <c r="N27" s="13">
        <f>IF('Données projet'!$A$36&gt;35,N26+M27-V26,IF(A27&lt;'Données projet'!$A$36,$K$205^A27,IF(A27='Données projet'!$A$36,'Données projet'!$B$36,N26+M27-V26)))</f>
        <v>165.25900000000001</v>
      </c>
      <c r="O27" s="13">
        <f>N27*VLOOKUP('Données projet'!$B$9,Paramètres!$A$1:$I$89,3,0)*VLOOKUP('Données projet'!$B$9,Paramètres!$A$1:$I$89,5,0)</f>
        <v>98.824882000000017</v>
      </c>
      <c r="P27" s="13">
        <f t="shared" si="33"/>
        <v>26.681849579898081</v>
      </c>
      <c r="Q27" s="20">
        <f t="shared" si="2"/>
        <v>218.59089083498918</v>
      </c>
      <c r="R27" s="59">
        <f t="shared" si="0"/>
        <v>511.9242241683225</v>
      </c>
      <c r="S27" s="59">
        <f ca="1">AVERAGE(OFFSET($R$3,0,0,'Données projet'!$E$9+1,1))-AVERAGE(OFFSET($H$3,0,0,'Données projet'!$E$9+1,1))</f>
        <v>201.32564399503951</v>
      </c>
      <c r="T27" s="59">
        <f t="shared" si="34"/>
        <v>347.89731545007157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19.55333035185788</v>
      </c>
      <c r="AB27" s="21">
        <f>EXP(-LN(2)/2)*AB26+(1-EXP(-LN(2)/2))/(LN(2)/2)*V27*Y27*VLOOKUP('Données projet'!$B$9,Paramètres!$A$1:$I$89,3,0)*0.475*44/12</f>
        <v>15.299438665004956</v>
      </c>
      <c r="AC27" s="22">
        <f t="shared" si="3"/>
        <v>34.852769016862837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</v>
      </c>
      <c r="AI27" s="13">
        <f>IF('Données projet'!$A$62&gt;35,AI26+AH27-AQ26,IF(A27&lt;'Données projet'!$A$62,$AF$205^A27,IF(A27='Données projet'!$A$62,'Données projet'!$B$62,AI26+AH27-AQ26)))</f>
        <v>260.00000000000006</v>
      </c>
      <c r="AJ27" s="13">
        <f>AI27*VLOOKUP('Données projet'!$B$10,Paramètres!$A$1:$I$89,3,0)*VLOOKUP('Données projet'!$B$10,Paramètres!$A$1:$I$89,5,0)</f>
        <v>235.24800000000002</v>
      </c>
      <c r="AK27" s="13">
        <f t="shared" si="35"/>
        <v>57.41592756883739</v>
      </c>
      <c r="AL27" s="20">
        <f t="shared" si="4"/>
        <v>509.72300718239177</v>
      </c>
      <c r="AM27" s="59">
        <f t="shared" si="5"/>
        <v>803.05634051572508</v>
      </c>
      <c r="AN27" s="59">
        <f ca="1">AVERAGE(OFFSET($AM$3,0,0,'Données projet'!$E$10+1,1))-AVERAGE(OFFSET($H$3,0,0,'Données projet'!$E$10+1,1))</f>
        <v>244.25841067424</v>
      </c>
      <c r="AO27" s="59">
        <f t="shared" si="36"/>
        <v>538.53312094474745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2.2177240998194869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2.2177240998194869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24.789000000000005</v>
      </c>
      <c r="N28" s="13">
        <f>IF('Données projet'!$A$36&gt;35,N27+M28-V27,IF(A28&lt;'Données projet'!$A$36,$K$205^A28,IF(A28='Données projet'!$A$36,'Données projet'!$B$36,N27+M28-V27)))</f>
        <v>190.04800000000003</v>
      </c>
      <c r="O28" s="13">
        <f>N28*VLOOKUP('Données projet'!$B$9,Paramètres!$A$1:$I$89,3,0)*VLOOKUP('Données projet'!$B$9,Paramètres!$A$1:$I$89,5,0)</f>
        <v>113.64870400000004</v>
      </c>
      <c r="P28" s="13">
        <f t="shared" si="33"/>
        <v>30.189008250500645</v>
      </c>
      <c r="Q28" s="20">
        <f t="shared" si="2"/>
        <v>250.51734883628873</v>
      </c>
      <c r="R28" s="59">
        <f t="shared" si="0"/>
        <v>543.85068216962202</v>
      </c>
      <c r="S28" s="59">
        <f ca="1">AVERAGE(OFFSET($R$3,0,0,'Données projet'!$E$9+1,1))-AVERAGE(OFFSET($H$3,0,0,'Données projet'!$E$9+1,1))</f>
        <v>201.32564399503951</v>
      </c>
      <c r="T28" s="59">
        <f t="shared" si="34"/>
        <v>347.89731545007157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19.018643505121375</v>
      </c>
      <c r="AB28" s="21">
        <f>EXP(-LN(2)/2)*AB27+(1-EXP(-LN(2)/2))/(LN(2)/2)*V28*Y28*VLOOKUP('Données projet'!$B$9,Paramètres!$A$1:$I$89,3,0)*0.475*44/12</f>
        <v>10.818336828372665</v>
      </c>
      <c r="AC28" s="22">
        <f t="shared" si="3"/>
        <v>29.83698033349404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275</v>
      </c>
      <c r="AG28" s="12">
        <f>VLOOKUP(A28,'Données projet'!$A$61:$I$81,9,0)</f>
        <v>15</v>
      </c>
      <c r="AH28" s="12">
        <f t="array" ref="AH28">INDEX(AG:AG,MIN(IF(ISNUMBER(AG28:AG224),ROW(AG28:AG224),"")))</f>
        <v>15</v>
      </c>
      <c r="AI28" s="13">
        <f>IF('Données projet'!$A$62&gt;35,AI27+AH28-AQ27,IF(A28&lt;'Données projet'!$A$62,$AF$205^A28,IF(A28='Données projet'!$A$62,'Données projet'!$B$62,AI27+AH28-AQ27)))</f>
        <v>275.00000000000006</v>
      </c>
      <c r="AJ28" s="13">
        <f>AI28*VLOOKUP('Données projet'!$B$10,Paramètres!$A$1:$I$89,3,0)*VLOOKUP('Données projet'!$B$10,Paramètres!$A$1:$I$89,5,0)</f>
        <v>248.82000000000005</v>
      </c>
      <c r="AK28" s="13">
        <f t="shared" si="35"/>
        <v>60.333192077890068</v>
      </c>
      <c r="AL28" s="20">
        <f t="shared" si="4"/>
        <v>538.44180953565865</v>
      </c>
      <c r="AM28" s="59">
        <f t="shared" si="5"/>
        <v>831.77514286899191</v>
      </c>
      <c r="AN28" s="59">
        <f ca="1">AVERAGE(OFFSET($AM$3,0,0,'Données projet'!$E$10+1,1))-AVERAGE(OFFSET($H$3,0,0,'Données projet'!$E$10+1,1))</f>
        <v>244.25841067424</v>
      </c>
      <c r="AO28" s="59">
        <f t="shared" si="36"/>
        <v>538.53312094474745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33</v>
      </c>
      <c r="AR28" s="16">
        <f>IF(ISNA(VLOOKUP(A28,'Données projet'!$A$61:$I$81,5,0)),0%,VLOOKUP(A28,'Données projet'!$A$61:$I$81,5,0)*VLOOKUP('Données projet'!$B$10,Paramètres!$A$1:$I$89,7,0))</f>
        <v>0.15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7.1253723999371577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7.1253723999371577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24.789000000000005</v>
      </c>
      <c r="N29" s="13">
        <f>IF('Données projet'!$A$36&gt;35,N28+M29-V28,IF(A29&lt;'Données projet'!$A$36,$K$205^A29,IF(A29='Données projet'!$A$36,'Données projet'!$B$36,N28+M29-V28)))</f>
        <v>214.83700000000005</v>
      </c>
      <c r="O29" s="13">
        <f>N29*VLOOKUP('Données projet'!$B$9,Paramètres!$A$1:$I$89,3,0)*VLOOKUP('Données projet'!$B$9,Paramètres!$A$1:$I$89,5,0)</f>
        <v>128.47252600000004</v>
      </c>
      <c r="P29" s="13">
        <f t="shared" si="33"/>
        <v>33.643162512965866</v>
      </c>
      <c r="Q29" s="20">
        <f t="shared" si="2"/>
        <v>282.35149082674894</v>
      </c>
      <c r="R29" s="59">
        <f t="shared" si="0"/>
        <v>575.68482416008226</v>
      </c>
      <c r="S29" s="59">
        <f ca="1">AVERAGE(OFFSET($R$3,0,0,'Données projet'!$E$9+1,1))-AVERAGE(OFFSET($H$3,0,0,'Données projet'!$E$9+1,1))</f>
        <v>201.32564399503951</v>
      </c>
      <c r="T29" s="59">
        <f t="shared" si="34"/>
        <v>347.89731545007157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18.498577698326837</v>
      </c>
      <c r="AB29" s="21">
        <f>EXP(-LN(2)/2)*AB28+(1-EXP(-LN(2)/2))/(LN(2)/2)*V29*Y29*VLOOKUP('Données projet'!$B$9,Paramètres!$A$1:$I$89,3,0)*0.475*44/12</f>
        <v>7.649719332502479</v>
      </c>
      <c r="AC29" s="22">
        <f t="shared" si="3"/>
        <v>26.148297030829315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</v>
      </c>
      <c r="AI29" s="13">
        <f>IF('Données projet'!$A$62&gt;35,AI28+AH29-AQ28,IF(A29&lt;'Données projet'!$A$62,$AF$205^A29,IF(A29='Données projet'!$A$62,'Données projet'!$B$62,AI28+AH29-AQ28)))</f>
        <v>255.00000000000006</v>
      </c>
      <c r="AJ29" s="13">
        <f>AI29*VLOOKUP('Données projet'!$B$10,Paramètres!$A$1:$I$89,3,0)*VLOOKUP('Données projet'!$B$10,Paramètres!$A$1:$I$89,5,0)</f>
        <v>230.72400000000007</v>
      </c>
      <c r="AK29" s="13">
        <f t="shared" si="35"/>
        <v>56.439198612082095</v>
      </c>
      <c r="AL29" s="20">
        <f t="shared" si="4"/>
        <v>500.14257091604304</v>
      </c>
      <c r="AM29" s="59">
        <f t="shared" si="5"/>
        <v>793.4759042493763</v>
      </c>
      <c r="AN29" s="59">
        <f ca="1">AVERAGE(OFFSET($AM$3,0,0,'Données projet'!$E$10+1,1))-AVERAGE(OFFSET($H$3,0,0,'Données projet'!$E$10+1,1))</f>
        <v>244.25841067424</v>
      </c>
      <c r="AO29" s="59">
        <f t="shared" si="36"/>
        <v>538.53312094474745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6.985648193222417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6.985648193222417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24.789000000000005</v>
      </c>
      <c r="N30" s="13">
        <f>IF('Données projet'!$A$36&gt;35,N29+M30-V29,IF(A30&lt;'Données projet'!$A$36,$K$205^A30,IF(A30='Données projet'!$A$36,'Données projet'!$B$36,N29+M30-V29)))</f>
        <v>239.62600000000006</v>
      </c>
      <c r="O30" s="13">
        <f>N30*VLOOKUP('Données projet'!$B$9,Paramètres!$A$1:$I$89,3,0)*VLOOKUP('Données projet'!$B$9,Paramètres!$A$1:$I$89,5,0)</f>
        <v>143.29634800000005</v>
      </c>
      <c r="P30" s="13">
        <f t="shared" si="33"/>
        <v>37.051126681231615</v>
      </c>
      <c r="Q30" s="20">
        <f t="shared" si="2"/>
        <v>314.1051850698118</v>
      </c>
      <c r="R30" s="59">
        <f t="shared" si="0"/>
        <v>607.43851840314505</v>
      </c>
      <c r="S30" s="59">
        <f ca="1">AVERAGE(OFFSET($R$3,0,0,'Données projet'!$E$9+1,1))-AVERAGE(OFFSET($H$3,0,0,'Données projet'!$E$9+1,1))</f>
        <v>201.32564399503951</v>
      </c>
      <c r="T30" s="59">
        <f t="shared" si="34"/>
        <v>347.89731545007157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17.992733118368168</v>
      </c>
      <c r="AB30" s="21">
        <f>EXP(-LN(2)/2)*AB29+(1-EXP(-LN(2)/2))/(LN(2)/2)*V30*Y30*VLOOKUP('Données projet'!$B$9,Paramètres!$A$1:$I$89,3,0)*0.475*44/12</f>
        <v>5.4091684141863334</v>
      </c>
      <c r="AC30" s="22">
        <f t="shared" si="3"/>
        <v>23.401901532554501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</v>
      </c>
      <c r="AI30" s="13">
        <f>IF('Données projet'!$A$62&gt;35,AI29+AH30-AQ29,IF(A30&lt;'Données projet'!$A$62,$AF$205^A30,IF(A30='Données projet'!$A$62,'Données projet'!$B$62,AI29+AH30-AQ29)))</f>
        <v>268.00000000000006</v>
      </c>
      <c r="AJ30" s="13">
        <f>AI30*VLOOKUP('Données projet'!$B$10,Paramètres!$A$1:$I$89,3,0)*VLOOKUP('Données projet'!$B$10,Paramètres!$A$1:$I$89,5,0)</f>
        <v>242.48640000000006</v>
      </c>
      <c r="AK30" s="13">
        <f t="shared" si="35"/>
        <v>58.974170235372476</v>
      </c>
      <c r="AL30" s="20">
        <f t="shared" si="4"/>
        <v>525.04382649327374</v>
      </c>
      <c r="AM30" s="59">
        <f t="shared" si="5"/>
        <v>818.37715982660711</v>
      </c>
      <c r="AN30" s="59">
        <f ca="1">AVERAGE(OFFSET($AM$3,0,0,'Données projet'!$E$10+1,1))-AVERAGE(OFFSET($H$3,0,0,'Données projet'!$E$10+1,1))</f>
        <v>244.25841067424</v>
      </c>
      <c r="AO30" s="59">
        <f t="shared" si="36"/>
        <v>538.53312094474745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6.8486638929780019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6.8486638929780019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24.789000000000005</v>
      </c>
      <c r="N31" s="13">
        <f>IF('Données projet'!$A$36&gt;35,N30+M31-V30,IF(A31&lt;'Données projet'!$A$36,$K$205^A31,IF(A31='Données projet'!$A$36,'Données projet'!$B$36,N30+M31-V30)))</f>
        <v>264.41500000000008</v>
      </c>
      <c r="O31" s="13">
        <f>N31*VLOOKUP('Données projet'!$B$9,Paramètres!$A$1:$I$89,3,0)*VLOOKUP('Données projet'!$B$9,Paramètres!$A$1:$I$89,5,0)</f>
        <v>158.12017000000006</v>
      </c>
      <c r="P31" s="13">
        <f t="shared" si="33"/>
        <v>40.418223300616845</v>
      </c>
      <c r="Q31" s="20">
        <f t="shared" si="2"/>
        <v>345.78770166524117</v>
      </c>
      <c r="R31" s="59">
        <f t="shared" si="0"/>
        <v>639.12103499857449</v>
      </c>
      <c r="S31" s="59">
        <f ca="1">AVERAGE(OFFSET($R$3,0,0,'Données projet'!$E$9+1,1))-AVERAGE(OFFSET($H$3,0,0,'Données projet'!$E$9+1,1))</f>
        <v>201.32564399503951</v>
      </c>
      <c r="T31" s="59">
        <f t="shared" si="34"/>
        <v>347.89731545007157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17.500720885049677</v>
      </c>
      <c r="AB31" s="21">
        <f>EXP(-LN(2)/2)*AB30+(1-EXP(-LN(2)/2))/(LN(2)/2)*V31*Y31*VLOOKUP('Données projet'!$B$9,Paramètres!$A$1:$I$89,3,0)*0.475*44/12</f>
        <v>3.8248596662512404</v>
      </c>
      <c r="AC31" s="22">
        <f t="shared" si="3"/>
        <v>21.325580551300916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</v>
      </c>
      <c r="AI31" s="13">
        <f>IF('Données projet'!$A$62&gt;35,AI30+AH31-AQ30,IF(A31&lt;'Données projet'!$A$62,$AF$205^A31,IF(A31='Données projet'!$A$62,'Données projet'!$B$62,AI30+AH31-AQ30)))</f>
        <v>281.00000000000006</v>
      </c>
      <c r="AJ31" s="13">
        <f>AI31*VLOOKUP('Données projet'!$B$10,Paramètres!$A$1:$I$89,3,0)*VLOOKUP('Données projet'!$B$10,Paramètres!$A$1:$I$89,5,0)</f>
        <v>254.24880000000005</v>
      </c>
      <c r="AK31" s="13">
        <f t="shared" si="35"/>
        <v>61.494863147658911</v>
      </c>
      <c r="AL31" s="20">
        <f t="shared" si="4"/>
        <v>549.92021331550598</v>
      </c>
      <c r="AM31" s="59">
        <f t="shared" si="5"/>
        <v>843.25354664883935</v>
      </c>
      <c r="AN31" s="59">
        <f ca="1">AVERAGE(OFFSET($AM$3,0,0,'Données projet'!$E$10+1,1))-AVERAGE(OFFSET($H$3,0,0,'Données projet'!$E$10+1,1))</f>
        <v>244.25841067424</v>
      </c>
      <c r="AO31" s="59">
        <f t="shared" si="36"/>
        <v>538.53312094474745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6.7143657713092066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6.7143657713092066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24.789000000000005</v>
      </c>
      <c r="N32" s="13">
        <f>IF('Données projet'!$A$36&gt;35,N31+M32-V31,IF(A32&lt;'Données projet'!$A$36,$K$205^A32,IF(A32='Données projet'!$A$36,'Données projet'!$B$36,N31+M32-V31)))</f>
        <v>289.20400000000006</v>
      </c>
      <c r="O32" s="13">
        <f>N32*VLOOKUP('Données projet'!$B$9,Paramètres!$A$1:$I$89,3,0)*VLOOKUP('Données projet'!$B$9,Paramètres!$A$1:$I$89,5,0)</f>
        <v>172.94399200000004</v>
      </c>
      <c r="P32" s="13">
        <f t="shared" si="33"/>
        <v>43.748719548534936</v>
      </c>
      <c r="Q32" s="20">
        <f t="shared" si="2"/>
        <v>377.40647261369844</v>
      </c>
      <c r="R32" s="59">
        <f t="shared" si="0"/>
        <v>670.73980594703175</v>
      </c>
      <c r="S32" s="59">
        <f ca="1">AVERAGE(OFFSET($R$3,0,0,'Données projet'!$E$9+1,1))-AVERAGE(OFFSET($H$3,0,0,'Données projet'!$E$9+1,1))</f>
        <v>201.32564399503951</v>
      </c>
      <c r="T32" s="59">
        <f t="shared" si="34"/>
        <v>347.89731545007157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17.02216275212508</v>
      </c>
      <c r="AB32" s="21">
        <f>EXP(-LN(2)/2)*AB31+(1-EXP(-LN(2)/2))/(LN(2)/2)*V32*Y32*VLOOKUP('Données projet'!$B$9,Paramètres!$A$1:$I$89,3,0)*0.475*44/12</f>
        <v>2.7045842070931672</v>
      </c>
      <c r="AC32" s="22">
        <f t="shared" si="3"/>
        <v>19.726746959218247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</v>
      </c>
      <c r="AI32" s="13">
        <f>IF('Données projet'!$A$62&gt;35,AI31+AH32-AQ31,IF(A32&lt;'Données projet'!$A$62,$AF$205^A32,IF(A32='Données projet'!$A$62,'Données projet'!$B$62,AI31+AH32-AQ31)))</f>
        <v>294.00000000000006</v>
      </c>
      <c r="AJ32" s="13">
        <f>AI32*VLOOKUP('Données projet'!$B$10,Paramètres!$A$1:$I$89,3,0)*VLOOKUP('Données projet'!$B$10,Paramètres!$A$1:$I$89,5,0)</f>
        <v>266.01120000000003</v>
      </c>
      <c r="AK32" s="13">
        <f t="shared" si="35"/>
        <v>64.002013376125717</v>
      </c>
      <c r="AL32" s="20">
        <f t="shared" si="4"/>
        <v>574.77301329675231</v>
      </c>
      <c r="AM32" s="59">
        <f t="shared" si="5"/>
        <v>868.10634663008568</v>
      </c>
      <c r="AN32" s="59">
        <f ca="1">AVERAGE(OFFSET($AM$3,0,0,'Données projet'!$E$10+1,1))-AVERAGE(OFFSET($H$3,0,0,'Données projet'!$E$10+1,1))</f>
        <v>244.25841067424</v>
      </c>
      <c r="AO32" s="59">
        <f t="shared" si="36"/>
        <v>538.53312094474745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6.5827011538925708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6.5827011538925708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24.789000000000005</v>
      </c>
      <c r="N33" s="13">
        <f>IF('Données projet'!$A$36&gt;35,N32+M33-V32,IF(A33&lt;'Données projet'!$A$36,$K$205^A33,IF(A33='Données projet'!$A$36,'Données projet'!$B$36,N32+M33-V32)))</f>
        <v>313.99300000000005</v>
      </c>
      <c r="O33" s="13">
        <f>N33*VLOOKUP('Données projet'!$B$9,Paramètres!$A$1:$I$89,3,0)*VLOOKUP('Données projet'!$B$9,Paramètres!$A$1:$I$89,5,0)</f>
        <v>187.76781400000004</v>
      </c>
      <c r="P33" s="13">
        <f t="shared" si="33"/>
        <v>47.046109299516644</v>
      </c>
      <c r="Q33" s="20">
        <f t="shared" si="2"/>
        <v>408.96758307999153</v>
      </c>
      <c r="R33" s="59">
        <f t="shared" si="0"/>
        <v>702.30091641332479</v>
      </c>
      <c r="S33" s="59">
        <f ca="1">AVERAGE(OFFSET($R$3,0,0,'Données projet'!$E$9+1,1))-AVERAGE(OFFSET($H$3,0,0,'Données projet'!$E$9+1,1))</f>
        <v>201.32564399503951</v>
      </c>
      <c r="T33" s="59">
        <f t="shared" si="34"/>
        <v>347.89731545007157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16.556690816511587</v>
      </c>
      <c r="AB33" s="21">
        <f>EXP(-LN(2)/2)*AB32+(1-EXP(-LN(2)/2))/(LN(2)/2)*V33*Y33*VLOOKUP('Données projet'!$B$9,Paramètres!$A$1:$I$89,3,0)*0.475*44/12</f>
        <v>1.9124298331256204</v>
      </c>
      <c r="AC33" s="22">
        <f t="shared" si="3"/>
        <v>18.469120649637208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307</v>
      </c>
      <c r="AG33" s="12">
        <f>VLOOKUP(A33,'Données projet'!$A$61:$I$81,9,0)</f>
        <v>13</v>
      </c>
      <c r="AH33" s="12">
        <f t="array" ref="AH33">INDEX(AG:AG,MIN(IF(ISNUMBER(AG33:AG229),ROW(AG33:AG229),"")))</f>
        <v>13</v>
      </c>
      <c r="AI33" s="13">
        <f>IF('Données projet'!$A$62&gt;35,AI32+AH33-AQ32,IF(A33&lt;'Données projet'!$A$62,$AF$205^A33,IF(A33='Données projet'!$A$62,'Données projet'!$B$62,AI32+AH33-AQ32)))</f>
        <v>307.00000000000006</v>
      </c>
      <c r="AJ33" s="13">
        <f>AI33*VLOOKUP('Données projet'!$B$10,Paramètres!$A$1:$I$89,3,0)*VLOOKUP('Données projet'!$B$10,Paramètres!$A$1:$I$89,5,0)</f>
        <v>277.77360000000004</v>
      </c>
      <c r="AK33" s="13">
        <f t="shared" si="35"/>
        <v>66.496288176842413</v>
      </c>
      <c r="AL33" s="20">
        <f t="shared" si="4"/>
        <v>599.60338857466729</v>
      </c>
      <c r="AM33" s="59">
        <f t="shared" si="5"/>
        <v>892.93672190800066</v>
      </c>
      <c r="AN33" s="59">
        <f ca="1">AVERAGE(OFFSET($AM$3,0,0,'Données projet'!$E$10+1,1))-AVERAGE(OFFSET($H$3,0,0,'Données projet'!$E$10+1,1))</f>
        <v>244.25841067424</v>
      </c>
      <c r="AO33" s="59">
        <f t="shared" si="36"/>
        <v>538.53312094474745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307</v>
      </c>
      <c r="AR33" s="16">
        <f>IF(ISNA(VLOOKUP(A33,'Données projet'!$A$61:$I$81,5,0)),0%,VLOOKUP(A33,'Données projet'!$A$61:$I$81,5,0)*VLOOKUP('Données projet'!$B$10,Paramètres!$A$1:$I$89,7,0))</f>
        <v>0.24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80.150535283212108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80.150535283212108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24.789000000000005</v>
      </c>
      <c r="N34" s="13">
        <f>IF('Données projet'!$A$36&gt;35,N33+M34-V33,IF(A34&lt;'Données projet'!$A$36,$K$205^A34,IF(A34='Données projet'!$A$36,'Données projet'!$B$36,N33+M34-V33)))</f>
        <v>338.78200000000004</v>
      </c>
      <c r="O34" s="13">
        <f>N34*VLOOKUP('Données projet'!$B$9,Paramètres!$A$1:$I$89,3,0)*VLOOKUP('Données projet'!$B$9,Paramètres!$A$1:$I$89,5,0)</f>
        <v>202.59163600000005</v>
      </c>
      <c r="P34" s="13">
        <f t="shared" si="33"/>
        <v>50.313303389209537</v>
      </c>
      <c r="Q34" s="20">
        <f t="shared" si="2"/>
        <v>440.47610276953998</v>
      </c>
      <c r="R34" s="59">
        <f t="shared" si="0"/>
        <v>733.80943610287329</v>
      </c>
      <c r="S34" s="59">
        <f ca="1">AVERAGE(OFFSET($R$3,0,0,'Données projet'!$E$9+1,1))-AVERAGE(OFFSET($H$3,0,0,'Données projet'!$E$9+1,1))</f>
        <v>201.32564399503951</v>
      </c>
      <c r="T34" s="59">
        <f t="shared" si="34"/>
        <v>347.89731545007157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16.10394723545555</v>
      </c>
      <c r="AB34" s="21">
        <f>EXP(-LN(2)/2)*AB33+(1-EXP(-LN(2)/2))/(LN(2)/2)*V34*Y34*VLOOKUP('Données projet'!$B$9,Paramètres!$A$1:$I$89,3,0)*0.475*44/12</f>
        <v>1.3522921035465838</v>
      </c>
      <c r="AC34" s="22">
        <f t="shared" si="3"/>
        <v>17.456239339002135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5.6843418860808015E-14</v>
      </c>
      <c r="AJ34" s="13">
        <f>AI34*VLOOKUP('Données projet'!$B$10,Paramètres!$A$1:$I$89,3,0)*VLOOKUP('Données projet'!$B$10,Paramètres!$A$1:$I$89,5,0)</f>
        <v>5.1431925385259088E-14</v>
      </c>
      <c r="AK34" s="13">
        <f t="shared" si="35"/>
        <v>8.3482866290946129E-13</v>
      </c>
      <c r="AL34" s="20">
        <f t="shared" si="4"/>
        <v>1.5435705246133045E-12</v>
      </c>
      <c r="AM34" s="59">
        <f t="shared" si="5"/>
        <v>293.33333333333485</v>
      </c>
      <c r="AN34" s="59">
        <f ca="1">AVERAGE(OFFSET($AM$3,0,0,'Données projet'!$E$10+1,1))-AVERAGE(OFFSET($H$3,0,0,'Données projet'!$E$10+1,1))</f>
        <v>244.25841067424</v>
      </c>
      <c r="AO34" s="59">
        <f t="shared" si="36"/>
        <v>538.53312094474745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78.578832173307646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78.578832173307646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24.789000000000005</v>
      </c>
      <c r="N35" s="13">
        <f>IF('Données projet'!$A$36&gt;35,N34+M35-V34,IF(A35&lt;'Données projet'!$A$36,$K$205^A35,IF(A35='Données projet'!$A$36,'Données projet'!$B$36,N34+M35-V34)))</f>
        <v>363.57100000000003</v>
      </c>
      <c r="O35" s="13">
        <f>N35*VLOOKUP('Données projet'!$B$9,Paramètres!$A$1:$I$89,3,0)*VLOOKUP('Données projet'!$B$9,Paramètres!$A$1:$I$89,5,0)</f>
        <v>217.41545800000006</v>
      </c>
      <c r="P35" s="13">
        <f t="shared" si="33"/>
        <v>53.552762520918307</v>
      </c>
      <c r="Q35" s="20">
        <f t="shared" ref="Q35:Q66" si="53">(O35+P35)*0.475*44/12</f>
        <v>471.93631740726613</v>
      </c>
      <c r="R35" s="59">
        <f t="shared" si="0"/>
        <v>765.26965074059945</v>
      </c>
      <c r="S35" s="59">
        <f ca="1">AVERAGE(OFFSET($R$3,0,0,'Données projet'!$E$9+1,1))-AVERAGE(OFFSET($H$3,0,0,'Données projet'!$E$9+1,1))</f>
        <v>201.32564399503951</v>
      </c>
      <c r="T35" s="59">
        <f t="shared" si="34"/>
        <v>347.89731545007157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15.663583951432239</v>
      </c>
      <c r="AB35" s="21">
        <f>EXP(-LN(2)/2)*AB34+(1-EXP(-LN(2)/2))/(LN(2)/2)*V35*Y35*VLOOKUP('Données projet'!$B$9,Paramètres!$A$1:$I$89,3,0)*0.475*44/12</f>
        <v>0.95621491656281032</v>
      </c>
      <c r="AC35" s="22">
        <f t="shared" si="3"/>
        <v>16.619798867995048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5.6843418860808015E-14</v>
      </c>
      <c r="AJ35" s="13">
        <f>AI35*VLOOKUP('Données projet'!$B$10,Paramètres!$A$1:$I$89,3,0)*VLOOKUP('Données projet'!$B$10,Paramètres!$A$1:$I$89,5,0)</f>
        <v>5.1431925385259088E-14</v>
      </c>
      <c r="AK35" s="13">
        <f t="shared" si="35"/>
        <v>8.3482866290946129E-13</v>
      </c>
      <c r="AL35" s="20">
        <f t="shared" si="4"/>
        <v>1.5435705246133045E-12</v>
      </c>
      <c r="AM35" s="59">
        <f t="shared" si="5"/>
        <v>293.33333333333485</v>
      </c>
      <c r="AN35" s="59">
        <f ca="1">AVERAGE(OFFSET($AM$3,0,0,'Données projet'!$E$10+1,1))-AVERAGE(OFFSET($H$3,0,0,'Données projet'!$E$10+1,1))</f>
        <v>244.25841067424</v>
      </c>
      <c r="AO35" s="59">
        <f t="shared" si="36"/>
        <v>538.53312094474745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77.037949202744173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77.037949202744173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>
        <f>VLOOKUP(A36,'Données projet'!$A$35:$I$55,2,0)</f>
        <v>388.36</v>
      </c>
      <c r="L36" s="12">
        <f>VLOOKUP(A36,'Données projet'!$A$35:$I$55,9,0)</f>
        <v>24.789000000000005</v>
      </c>
      <c r="M36" s="12">
        <f t="array" ref="M36">INDEX(L:L,MIN(IF(ISNUMBER(L36:L232),ROW(L36:L232),"")))</f>
        <v>24.789000000000005</v>
      </c>
      <c r="N36" s="13">
        <f>IF('Données projet'!$A$36&gt;35,N35+M36-V35,IF(A36&lt;'Données projet'!$A$36,$K$205^A36,IF(A36='Données projet'!$A$36,'Données projet'!$B$36,N35+M36-V35)))</f>
        <v>388.36</v>
      </c>
      <c r="O36" s="13">
        <f>N36*VLOOKUP('Données projet'!$B$9,Paramètres!$A$1:$I$89,3,0)*VLOOKUP('Données projet'!$B$9,Paramètres!$A$1:$I$89,5,0)</f>
        <v>232.23928000000001</v>
      </c>
      <c r="P36" s="13">
        <f t="shared" si="33"/>
        <v>56.766592854354663</v>
      </c>
      <c r="Q36" s="20">
        <f t="shared" si="53"/>
        <v>503.35189522133442</v>
      </c>
      <c r="R36" s="59">
        <f t="shared" si="0"/>
        <v>796.68522855466767</v>
      </c>
      <c r="S36" s="59">
        <f ca="1">AVERAGE(OFFSET($R$3,0,0,'Données projet'!$E$9+1,1))-AVERAGE(OFFSET($H$3,0,0,'Données projet'!$E$9+1,1))</f>
        <v>201.32564399503951</v>
      </c>
      <c r="T36" s="59">
        <f t="shared" si="34"/>
        <v>347.89731545007157</v>
      </c>
      <c r="U36" s="15">
        <f>IF(ISNA(VLOOKUP(A36,'Données projet'!$A$35:$I$55,3,0)),0,VLOOKUP(A36,'Données projet'!$A$35:$I$55,3,0))</f>
        <v>3</v>
      </c>
      <c r="V36" s="15">
        <f>IF(ISNA(VLOOKUP(A36,'Données projet'!$A$35:$I$55,4,0)),0,VLOOKUP(A36,'Données projet'!$A$35:$I$55,4,0))</f>
        <v>155.34</v>
      </c>
      <c r="W36" s="16">
        <f>IF(ISNA(VLOOKUP(A36,'Données projet'!$A$35:$I$55,5,0)),0%,VLOOKUP(A36,'Données projet'!$A$35:$I$55,5,0)*VLOOKUP('Données projet'!$B$9,Paramètres!$A$1:$I$89,7,0))</f>
        <v>9.0000000000000011E-2</v>
      </c>
      <c r="X36" s="16">
        <f>IF(ISNA(VLOOKUP(A36,'Données projet'!$A$35:$I$55,6,0)),0%,VLOOKUP(A36,'Données projet'!$A$35:$I$55,6,0)*VLOOKUP('Données projet'!$B$9,Paramètres!$A$1:$I$89,7,0))</f>
        <v>0.20250000000000001</v>
      </c>
      <c r="Y36" s="16">
        <f>IF(ISNA(VLOOKUP(A36,'Données projet'!$A$35:$I$55,7,0)),0%,VLOOKUP(A36,'Données projet'!$A$35:$I$55,7,0))</f>
        <v>0.35</v>
      </c>
      <c r="Z36" s="21">
        <f>EXP(-LN(2)/35)*Z35+(1-EXP(-LN(2)/35))/(LN(2)/35)*V36*W36*VLOOKUP('Données projet'!$B$9,Paramètres!$A$1:$I$89,3,0)*0.475*44/12</f>
        <v>11.090607881379389</v>
      </c>
      <c r="AA36" s="21">
        <f>EXP(-LN(2)/25)*AA35+(1-EXP(-LN(2)/25))/(LN(2)/25)*Calculateur!V36*Calculateur!X36*VLOOKUP('Données projet'!$B$9,Paramètres!$A$1:$I$89,3,0)*0.475*44/12</f>
        <v>40.090877272237599</v>
      </c>
      <c r="AB36" s="21">
        <f>EXP(-LN(2)/2)*AB35+(1-EXP(-LN(2)/2))/(LN(2)/2)*V36*Y36*VLOOKUP('Données projet'!$B$9,Paramètres!$A$1:$I$89,3,0)*0.475*44/12</f>
        <v>37.488032046734716</v>
      </c>
      <c r="AC36" s="22">
        <f t="shared" si="3"/>
        <v>88.669517200351706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5.6843418860808015E-14</v>
      </c>
      <c r="AJ36" s="13">
        <f>AI36*VLOOKUP('Données projet'!$B$10,Paramètres!$A$1:$I$89,3,0)*VLOOKUP('Données projet'!$B$10,Paramètres!$A$1:$I$89,5,0)</f>
        <v>5.1431925385259088E-14</v>
      </c>
      <c r="AK36" s="13">
        <f t="shared" si="35"/>
        <v>8.3482866290946129E-13</v>
      </c>
      <c r="AL36" s="20">
        <f t="shared" si="4"/>
        <v>1.5435705246133045E-12</v>
      </c>
      <c r="AM36" s="59">
        <f t="shared" si="5"/>
        <v>293.33333333333485</v>
      </c>
      <c r="AN36" s="59">
        <f ca="1">AVERAGE(OFFSET($AM$3,0,0,'Données projet'!$E$10+1,1))-AVERAGE(OFFSET($H$3,0,0,'Données projet'!$E$10+1,1))</f>
        <v>244.25841067424</v>
      </c>
      <c r="AO36" s="59">
        <f t="shared" si="36"/>
        <v>538.53312094474745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75.52728200738764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75.52728200738764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23.897142857142857</v>
      </c>
      <c r="N37" s="13">
        <f>IF('Données projet'!$A$36&gt;35,N36+M37-V36,IF(A37&lt;'Données projet'!$A$36,$K$205^A37,IF(A37='Données projet'!$A$36,'Données projet'!$B$36,N36+M37-V36)))</f>
        <v>256.91714285714284</v>
      </c>
      <c r="O37" s="13">
        <f>N37*VLOOKUP('Données projet'!$B$9,Paramètres!$A$1:$I$89,3,0)*VLOOKUP('Données projet'!$B$9,Paramètres!$A$1:$I$89,5,0)</f>
        <v>153.63645142857143</v>
      </c>
      <c r="P37" s="13">
        <f t="shared" si="33"/>
        <v>39.403826644517963</v>
      </c>
      <c r="Q37" s="20">
        <f t="shared" si="53"/>
        <v>336.21181764396403</v>
      </c>
      <c r="R37" s="59">
        <f t="shared" si="0"/>
        <v>629.54515097729734</v>
      </c>
      <c r="S37" s="59">
        <f ca="1">AVERAGE(OFFSET($R$3,0,0,'Données projet'!$E$9+1,1))-AVERAGE(OFFSET($H$3,0,0,'Données projet'!$E$9+1,1))</f>
        <v>201.32564399503951</v>
      </c>
      <c r="T37" s="59">
        <f t="shared" si="34"/>
        <v>347.89731545007157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10.873127825428398</v>
      </c>
      <c r="AA37" s="21">
        <f>EXP(-LN(2)/25)*AA36+(1-EXP(-LN(2)/25))/(LN(2)/25)*Calculateur!V37*Calculateur!X37*VLOOKUP('Données projet'!$B$9,Paramètres!$A$1:$I$89,3,0)*0.475*44/12</f>
        <v>38.994590124940657</v>
      </c>
      <c r="AB37" s="21">
        <f>EXP(-LN(2)/2)*AB36+(1-EXP(-LN(2)/2))/(LN(2)/2)*V37*Y37*VLOOKUP('Données projet'!$B$9,Paramètres!$A$1:$I$89,3,0)*0.475*44/12</f>
        <v>26.508041673584728</v>
      </c>
      <c r="AC37" s="22">
        <f t="shared" si="3"/>
        <v>76.375759623953783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5.6843418860808015E-14</v>
      </c>
      <c r="AJ37" s="13">
        <f>AI37*VLOOKUP('Données projet'!$B$10,Paramètres!$A$1:$I$89,3,0)*VLOOKUP('Données projet'!$B$10,Paramètres!$A$1:$I$89,5,0)</f>
        <v>5.1431925385259088E-14</v>
      </c>
      <c r="AK37" s="13">
        <f t="shared" si="35"/>
        <v>8.3482866290946129E-13</v>
      </c>
      <c r="AL37" s="20">
        <f t="shared" si="4"/>
        <v>1.5435705246133045E-12</v>
      </c>
      <c r="AM37" s="59">
        <f t="shared" si="5"/>
        <v>293.33333333333485</v>
      </c>
      <c r="AN37" s="59">
        <f ca="1">AVERAGE(OFFSET($AM$3,0,0,'Données projet'!$E$10+1,1))-AVERAGE(OFFSET($H$3,0,0,'Données projet'!$E$10+1,1))</f>
        <v>244.25841067424</v>
      </c>
      <c r="AO37" s="59">
        <f t="shared" si="36"/>
        <v>538.53312094474745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74.046238074316051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74.046238074316051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23.897142857142857</v>
      </c>
      <c r="N38" s="13">
        <f>IF('Données projet'!$A$36&gt;35,N37+M38-V37,IF(A38&lt;'Données projet'!$A$36,$K$205^A38,IF(A38='Données projet'!$A$36,'Données projet'!$B$36,N37+M38-V37)))</f>
        <v>280.81428571428569</v>
      </c>
      <c r="O38" s="13">
        <f>N38*VLOOKUP('Données projet'!$B$9,Paramètres!$A$1:$I$89,3,0)*VLOOKUP('Données projet'!$B$9,Paramètres!$A$1:$I$89,5,0)</f>
        <v>167.92694285714285</v>
      </c>
      <c r="P38" s="13">
        <f t="shared" si="33"/>
        <v>42.625396723086688</v>
      </c>
      <c r="Q38" s="20">
        <f t="shared" si="53"/>
        <v>366.7119914355664</v>
      </c>
      <c r="R38" s="59">
        <f t="shared" si="0"/>
        <v>660.04532476889972</v>
      </c>
      <c r="S38" s="59">
        <f ca="1">AVERAGE(OFFSET($R$3,0,0,'Données projet'!$E$9+1,1))-AVERAGE(OFFSET($H$3,0,0,'Données projet'!$E$9+1,1))</f>
        <v>201.32564399503951</v>
      </c>
      <c r="T38" s="59">
        <f t="shared" si="34"/>
        <v>347.89731545007157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10.65991242072487</v>
      </c>
      <c r="AA38" s="21">
        <f>EXP(-LN(2)/25)*AA37+(1-EXP(-LN(2)/25))/(LN(2)/25)*Calculateur!V38*Calculateur!X38*VLOOKUP('Données projet'!$B$9,Paramètres!$A$1:$I$89,3,0)*0.475*44/12</f>
        <v>37.928281007337787</v>
      </c>
      <c r="AB38" s="21">
        <f>EXP(-LN(2)/2)*AB37+(1-EXP(-LN(2)/2))/(LN(2)/2)*V38*Y38*VLOOKUP('Données projet'!$B$9,Paramètres!$A$1:$I$89,3,0)*0.475*44/12</f>
        <v>18.744016023367362</v>
      </c>
      <c r="AC38" s="22">
        <f t="shared" si="3"/>
        <v>67.332209451430018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5.6843418860808015E-14</v>
      </c>
      <c r="AJ38" s="13">
        <f>AI38*VLOOKUP('Données projet'!$B$10,Paramètres!$A$1:$I$89,3,0)*VLOOKUP('Données projet'!$B$10,Paramètres!$A$1:$I$89,5,0)</f>
        <v>5.1431925385259088E-14</v>
      </c>
      <c r="AK38" s="13">
        <f t="shared" si="35"/>
        <v>8.3482866290946129E-13</v>
      </c>
      <c r="AL38" s="20">
        <f t="shared" si="4"/>
        <v>1.5435705246133045E-12</v>
      </c>
      <c r="AM38" s="59">
        <f t="shared" si="5"/>
        <v>293.33333333333485</v>
      </c>
      <c r="AN38" s="59">
        <f ca="1">AVERAGE(OFFSET($AM$3,0,0,'Données projet'!$E$10+1,1))-AVERAGE(OFFSET($H$3,0,0,'Données projet'!$E$10+1,1))</f>
        <v>244.25841067424</v>
      </c>
      <c r="AO38" s="59">
        <f t="shared" si="36"/>
        <v>538.53312094474745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72.594236509424391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72.594236509424391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23.897142857142857</v>
      </c>
      <c r="N39" s="13">
        <f>IF('Données projet'!$A$36&gt;35,N38+M39-V38,IF(A39&lt;'Données projet'!$A$36,$K$205^A39,IF(A39='Données projet'!$A$36,'Données projet'!$B$36,N38+M39-V38)))</f>
        <v>304.71142857142854</v>
      </c>
      <c r="O39" s="13">
        <f>N39*VLOOKUP('Données projet'!$B$9,Paramètres!$A$1:$I$89,3,0)*VLOOKUP('Données projet'!$B$9,Paramètres!$A$1:$I$89,5,0)</f>
        <v>182.21743428571426</v>
      </c>
      <c r="P39" s="13">
        <f t="shared" si="33"/>
        <v>45.81517234341667</v>
      </c>
      <c r="Q39" s="20">
        <f t="shared" si="53"/>
        <v>397.15678987906972</v>
      </c>
      <c r="R39" s="59">
        <f t="shared" si="0"/>
        <v>690.49012321240298</v>
      </c>
      <c r="S39" s="59">
        <f ca="1">AVERAGE(OFFSET($R$3,0,0,'Données projet'!$E$9+1,1))-AVERAGE(OFFSET($H$3,0,0,'Données projet'!$E$9+1,1))</f>
        <v>201.32564399503951</v>
      </c>
      <c r="T39" s="59">
        <f t="shared" si="34"/>
        <v>347.89731545007157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10.450878040059022</v>
      </c>
      <c r="AA39" s="21">
        <f>EXP(-LN(2)/25)*AA38+(1-EXP(-LN(2)/25))/(LN(2)/25)*Calculateur!V39*Calculateur!X39*VLOOKUP('Données projet'!$B$9,Paramètres!$A$1:$I$89,3,0)*0.475*44/12</f>
        <v>36.891130168630525</v>
      </c>
      <c r="AB39" s="21">
        <f>EXP(-LN(2)/2)*AB38+(1-EXP(-LN(2)/2))/(LN(2)/2)*V39*Y39*VLOOKUP('Données projet'!$B$9,Paramètres!$A$1:$I$89,3,0)*0.475*44/12</f>
        <v>13.254020836792366</v>
      </c>
      <c r="AC39" s="22">
        <f t="shared" si="3"/>
        <v>60.596029045481913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5.6843418860808015E-14</v>
      </c>
      <c r="AJ39" s="13">
        <f>AI39*VLOOKUP('Données projet'!$B$10,Paramètres!$A$1:$I$89,3,0)*VLOOKUP('Données projet'!$B$10,Paramètres!$A$1:$I$89,5,0)</f>
        <v>5.1431925385259088E-14</v>
      </c>
      <c r="AK39" s="13">
        <f t="shared" si="35"/>
        <v>8.3482866290946129E-13</v>
      </c>
      <c r="AL39" s="20">
        <f t="shared" si="4"/>
        <v>1.5435705246133045E-12</v>
      </c>
      <c r="AM39" s="59">
        <f t="shared" si="5"/>
        <v>293.33333333333485</v>
      </c>
      <c r="AN39" s="59">
        <f ca="1">AVERAGE(OFFSET($AM$3,0,0,'Données projet'!$E$10+1,1))-AVERAGE(OFFSET($H$3,0,0,'Données projet'!$E$10+1,1))</f>
        <v>244.25841067424</v>
      </c>
      <c r="AO39" s="59">
        <f t="shared" si="36"/>
        <v>538.53312094474745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71.170707809586744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71.170707809586744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23.897142857142857</v>
      </c>
      <c r="N40" s="13">
        <f>IF('Données projet'!$A$36&gt;35,N39+M40-V39,IF(A40&lt;'Données projet'!$A$36,$K$205^A40,IF(A40='Données projet'!$A$36,'Données projet'!$B$36,N39+M40-V39)))</f>
        <v>328.60857142857139</v>
      </c>
      <c r="O40" s="13">
        <f>N40*VLOOKUP('Données projet'!$B$9,Paramètres!$A$1:$I$89,3,0)*VLOOKUP('Données projet'!$B$9,Paramètres!$A$1:$I$89,5,0)</f>
        <v>196.5079257142857</v>
      </c>
      <c r="P40" s="13">
        <f t="shared" si="33"/>
        <v>48.975930497229882</v>
      </c>
      <c r="Q40" s="20">
        <f t="shared" si="53"/>
        <v>427.5510495683896</v>
      </c>
      <c r="R40" s="59">
        <f t="shared" si="0"/>
        <v>720.88438290172292</v>
      </c>
      <c r="S40" s="59">
        <f ca="1">AVERAGE(OFFSET($R$3,0,0,'Données projet'!$E$9+1,1))-AVERAGE(OFFSET($H$3,0,0,'Données projet'!$E$9+1,1))</f>
        <v>201.32564399503951</v>
      </c>
      <c r="T40" s="59">
        <f t="shared" si="34"/>
        <v>347.89731545007157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10.245942696099648</v>
      </c>
      <c r="AA40" s="21">
        <f>EXP(-LN(2)/25)*AA39+(1-EXP(-LN(2)/25))/(LN(2)/25)*Calculateur!V40*Calculateur!X40*VLOOKUP('Données projet'!$B$9,Paramètres!$A$1:$I$89,3,0)*0.475*44/12</f>
        <v>35.882340274149101</v>
      </c>
      <c r="AB40" s="21">
        <f>EXP(-LN(2)/2)*AB39+(1-EXP(-LN(2)/2))/(LN(2)/2)*V40*Y40*VLOOKUP('Données projet'!$B$9,Paramètres!$A$1:$I$89,3,0)*0.475*44/12</f>
        <v>9.3720080116836808</v>
      </c>
      <c r="AC40" s="22">
        <f t="shared" si="3"/>
        <v>55.50029098193243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5.6843418860808015E-14</v>
      </c>
      <c r="AJ40" s="13">
        <f>AI40*VLOOKUP('Données projet'!$B$10,Paramètres!$A$1:$I$89,3,0)*VLOOKUP('Données projet'!$B$10,Paramètres!$A$1:$I$89,5,0)</f>
        <v>5.1431925385259088E-14</v>
      </c>
      <c r="AK40" s="13">
        <f t="shared" si="35"/>
        <v>8.3482866290946129E-13</v>
      </c>
      <c r="AL40" s="20">
        <f t="shared" si="4"/>
        <v>1.5435705246133045E-12</v>
      </c>
      <c r="AM40" s="59">
        <f t="shared" si="5"/>
        <v>293.33333333333485</v>
      </c>
      <c r="AN40" s="59">
        <f ca="1">AVERAGE(OFFSET($AM$3,0,0,'Données projet'!$E$10+1,1))-AVERAGE(OFFSET($H$3,0,0,'Données projet'!$E$10+1,1))</f>
        <v>244.25841067424</v>
      </c>
      <c r="AO40" s="59">
        <f t="shared" si="36"/>
        <v>538.53312094474745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69.775093639286141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69.775093639286141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23.897142857142857</v>
      </c>
      <c r="N41" s="13">
        <f>IF('Données projet'!$A$36&gt;35,N40+M41-V40,IF(A41&lt;'Données projet'!$A$36,$K$205^A41,IF(A41='Données projet'!$A$36,'Données projet'!$B$36,N40+M41-V40)))</f>
        <v>352.50571428571425</v>
      </c>
      <c r="O41" s="13">
        <f>N41*VLOOKUP('Données projet'!$B$9,Paramètres!$A$1:$I$89,3,0)*VLOOKUP('Données projet'!$B$9,Paramètres!$A$1:$I$89,5,0)</f>
        <v>210.79841714285712</v>
      </c>
      <c r="P41" s="13">
        <f t="shared" si="33"/>
        <v>52.110021379518884</v>
      </c>
      <c r="Q41" s="20">
        <f t="shared" si="53"/>
        <v>457.8988637598049</v>
      </c>
      <c r="R41" s="59">
        <f t="shared" si="0"/>
        <v>751.23219709313821</v>
      </c>
      <c r="S41" s="59">
        <f ca="1">AVERAGE(OFFSET($R$3,0,0,'Données projet'!$E$9+1,1))-AVERAGE(OFFSET($H$3,0,0,'Données projet'!$E$9+1,1))</f>
        <v>201.32564399503951</v>
      </c>
      <c r="T41" s="59">
        <f t="shared" si="34"/>
        <v>347.89731545007157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10.045026009237102</v>
      </c>
      <c r="AA41" s="21">
        <f>EXP(-LN(2)/25)*AA40+(1-EXP(-LN(2)/25))/(LN(2)/25)*Calculateur!V41*Calculateur!X41*VLOOKUP('Données projet'!$B$9,Paramètres!$A$1:$I$89,3,0)*0.475*44/12</f>
        <v>34.901135792382227</v>
      </c>
      <c r="AB41" s="21">
        <f>EXP(-LN(2)/2)*AB40+(1-EXP(-LN(2)/2))/(LN(2)/2)*V41*Y41*VLOOKUP('Données projet'!$B$9,Paramètres!$A$1:$I$89,3,0)*0.475*44/12</f>
        <v>6.6270104183961829</v>
      </c>
      <c r="AC41" s="22">
        <f t="shared" si="3"/>
        <v>51.573172220015508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5.6843418860808015E-14</v>
      </c>
      <c r="AJ41" s="13">
        <f>AI41*VLOOKUP('Données projet'!$B$10,Paramètres!$A$1:$I$89,3,0)*VLOOKUP('Données projet'!$B$10,Paramètres!$A$1:$I$89,5,0)</f>
        <v>5.1431925385259088E-14</v>
      </c>
      <c r="AK41" s="13">
        <f t="shared" si="35"/>
        <v>8.3482866290946129E-13</v>
      </c>
      <c r="AL41" s="20">
        <f t="shared" si="4"/>
        <v>1.5435705246133045E-12</v>
      </c>
      <c r="AM41" s="59">
        <f t="shared" si="5"/>
        <v>293.33333333333485</v>
      </c>
      <c r="AN41" s="59">
        <f ca="1">AVERAGE(OFFSET($AM$3,0,0,'Données projet'!$E$10+1,1))-AVERAGE(OFFSET($H$3,0,0,'Données projet'!$E$10+1,1))</f>
        <v>244.25841067424</v>
      </c>
      <c r="AO41" s="59">
        <f t="shared" si="36"/>
        <v>538.53312094474745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68.406846611624545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68.406846611624545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23.897142857142857</v>
      </c>
      <c r="N42" s="13">
        <f>IF('Données projet'!$A$36&gt;35,N41+M42-V41,IF(A42&lt;'Données projet'!$A$36,$K$205^A42,IF(A42='Données projet'!$A$36,'Données projet'!$B$36,N41+M42-V41)))</f>
        <v>376.4028571428571</v>
      </c>
      <c r="O42" s="13">
        <f>N42*VLOOKUP('Données projet'!$B$9,Paramètres!$A$1:$I$89,3,0)*VLOOKUP('Données projet'!$B$9,Paramètres!$A$1:$I$89,5,0)</f>
        <v>225.08890857142856</v>
      </c>
      <c r="P42" s="13">
        <f t="shared" si="33"/>
        <v>55.21945850201508</v>
      </c>
      <c r="Q42" s="20">
        <f t="shared" si="53"/>
        <v>488.20373931958102</v>
      </c>
      <c r="R42" s="59">
        <f t="shared" si="0"/>
        <v>781.53707265291428</v>
      </c>
      <c r="S42" s="59">
        <f ca="1">AVERAGE(OFFSET($R$3,0,0,'Données projet'!$E$9+1,1))-AVERAGE(OFFSET($H$3,0,0,'Données projet'!$E$9+1,1))</f>
        <v>201.32564399503951</v>
      </c>
      <c r="T42" s="59">
        <f t="shared" si="34"/>
        <v>347.89731545007157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9.8480491760568505</v>
      </c>
      <c r="AA42" s="21">
        <f>EXP(-LN(2)/25)*AA41+(1-EXP(-LN(2)/25))/(LN(2)/25)*Calculateur!V42*Calculateur!X42*VLOOKUP('Données projet'!$B$9,Paramètres!$A$1:$I$89,3,0)*0.475*44/12</f>
        <v>33.94676239876857</v>
      </c>
      <c r="AB42" s="21">
        <f>EXP(-LN(2)/2)*AB41+(1-EXP(-LN(2)/2))/(LN(2)/2)*V42*Y42*VLOOKUP('Données projet'!$B$9,Paramètres!$A$1:$I$89,3,0)*0.475*44/12</f>
        <v>4.6860040058418404</v>
      </c>
      <c r="AC42" s="22">
        <f t="shared" si="3"/>
        <v>48.480815580667254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5.6843418860808015E-14</v>
      </c>
      <c r="AJ42" s="13">
        <f>AI42*VLOOKUP('Données projet'!$B$10,Paramètres!$A$1:$I$89,3,0)*VLOOKUP('Données projet'!$B$10,Paramètres!$A$1:$I$89,5,0)</f>
        <v>5.1431925385259088E-14</v>
      </c>
      <c r="AK42" s="13">
        <f t="shared" si="35"/>
        <v>8.3482866290946129E-13</v>
      </c>
      <c r="AL42" s="20">
        <f t="shared" si="4"/>
        <v>1.5435705246133045E-12</v>
      </c>
      <c r="AM42" s="59">
        <f t="shared" si="5"/>
        <v>293.33333333333485</v>
      </c>
      <c r="AN42" s="59">
        <f ca="1">AVERAGE(OFFSET($AM$3,0,0,'Données projet'!$E$10+1,1))-AVERAGE(OFFSET($H$3,0,0,'Données projet'!$E$10+1,1))</f>
        <v>244.25841067424</v>
      </c>
      <c r="AO42" s="59">
        <f t="shared" si="36"/>
        <v>538.53312094474745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67.065430073627113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67.065430073627113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400.3</v>
      </c>
      <c r="L43" s="12">
        <f>VLOOKUP(A43,'Données projet'!$A$35:$I$55,9,0)</f>
        <v>23.897142857142857</v>
      </c>
      <c r="M43" s="12">
        <f t="array" ref="M43">INDEX(L:L,MIN(IF(ISNUMBER(L43:L239),ROW(L43:L239),"")))</f>
        <v>23.897142857142857</v>
      </c>
      <c r="N43" s="13">
        <f>IF('Données projet'!$A$36&gt;35,N42+M43-V42,IF(A43&lt;'Données projet'!$A$36,$K$205^A43,IF(A43='Données projet'!$A$36,'Données projet'!$B$36,N42+M43-V42)))</f>
        <v>400.29999999999995</v>
      </c>
      <c r="O43" s="13">
        <f>N43*VLOOKUP('Données projet'!$B$9,Paramètres!$A$1:$I$89,3,0)*VLOOKUP('Données projet'!$B$9,Paramètres!$A$1:$I$89,5,0)</f>
        <v>239.37939999999998</v>
      </c>
      <c r="P43" s="13">
        <f t="shared" si="33"/>
        <v>58.305985254736605</v>
      </c>
      <c r="Q43" s="20">
        <f t="shared" si="53"/>
        <v>518.46871265199945</v>
      </c>
      <c r="R43" s="59">
        <f t="shared" si="0"/>
        <v>811.80204598533282</v>
      </c>
      <c r="S43" s="59">
        <f ca="1">AVERAGE(OFFSET($R$3,0,0,'Données projet'!$E$9+1,1))-AVERAGE(OFFSET($H$3,0,0,'Données projet'!$E$9+1,1))</f>
        <v>201.32564399503951</v>
      </c>
      <c r="T43" s="59">
        <f t="shared" si="34"/>
        <v>347.89731545007157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133.43</v>
      </c>
      <c r="W43" s="16">
        <f>IF(ISNA(VLOOKUP(A43,'Données projet'!$A$35:$I$55,5,0)),0%,VLOOKUP(A43,'Données projet'!$A$35:$I$55,5,0)*VLOOKUP('Données projet'!$B$9,Paramètres!$A$1:$I$89,7,0))</f>
        <v>0.18000000000000002</v>
      </c>
      <c r="X43" s="16">
        <f>IF(ISNA(VLOOKUP(A43,'Données projet'!$A$35:$I$55,6,0)),0%,VLOOKUP(A43,'Données projet'!$A$35:$I$55,6,0)*VLOOKUP('Données projet'!$B$9,Paramètres!$A$1:$I$89,7,0))</f>
        <v>0.15300000000000002</v>
      </c>
      <c r="Y43" s="16">
        <f>IF(ISNA(VLOOKUP(A43,'Données projet'!$A$35:$I$55,7,0)),0%,VLOOKUP(A43,'Données projet'!$A$35:$I$55,7,0))</f>
        <v>0.26</v>
      </c>
      <c r="Z43" s="21">
        <f>EXP(-LN(2)/35)*Z42+(1-EXP(-LN(2)/35))/(LN(2)/35)*V43*W43*VLOOKUP('Données projet'!$B$9,Paramètres!$A$1:$I$89,3,0)*0.475*44/12</f>
        <v>28.707591171371284</v>
      </c>
      <c r="AA43" s="21">
        <f>EXP(-LN(2)/25)*AA42+(1-EXP(-LN(2)/25))/(LN(2)/25)*Calculateur!V43*Calculateur!X43*VLOOKUP('Données projet'!$B$9,Paramètres!$A$1:$I$89,3,0)*0.475*44/12</f>
        <v>49.149479261653397</v>
      </c>
      <c r="AB43" s="21">
        <f>EXP(-LN(2)/2)*AB42+(1-EXP(-LN(2)/2))/(LN(2)/2)*V43*Y43*VLOOKUP('Données projet'!$B$9,Paramètres!$A$1:$I$89,3,0)*0.475*44/12</f>
        <v>26.802452707956625</v>
      </c>
      <c r="AC43" s="22">
        <f t="shared" si="3"/>
        <v>104.65952314098132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5.6843418860808015E-14</v>
      </c>
      <c r="AJ43" s="13">
        <f>AI43*VLOOKUP('Données projet'!$B$10,Paramètres!$A$1:$I$89,3,0)*VLOOKUP('Données projet'!$B$10,Paramètres!$A$1:$I$89,5,0)</f>
        <v>5.1431925385259088E-14</v>
      </c>
      <c r="AK43" s="13">
        <f t="shared" si="35"/>
        <v>8.3482866290946129E-13</v>
      </c>
      <c r="AL43" s="20">
        <f t="shared" si="4"/>
        <v>1.5435705246133045E-12</v>
      </c>
      <c r="AM43" s="59">
        <f t="shared" si="5"/>
        <v>293.33333333333485</v>
      </c>
      <c r="AN43" s="59">
        <f ca="1">AVERAGE(OFFSET($AM$3,0,0,'Données projet'!$E$10+1,1))-AVERAGE(OFFSET($H$3,0,0,'Données projet'!$E$10+1,1))</f>
        <v>244.25841067424</v>
      </c>
      <c r="AO43" s="59">
        <f t="shared" si="36"/>
        <v>538.53312094474745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65.75031789575651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65.75031789575651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10.669999999999998</v>
      </c>
      <c r="N44" s="13">
        <f>IF('Données projet'!$A$36&gt;35,N43+M44-V43,IF(A44&lt;'Données projet'!$A$36,$K$205^A44,IF(A44='Données projet'!$A$36,'Données projet'!$B$36,N43+M44-V43)))</f>
        <v>277.53999999999996</v>
      </c>
      <c r="O44" s="13">
        <f>N44*VLOOKUP('Données projet'!$B$9,Paramètres!$A$1:$I$89,3,0)*VLOOKUP('Données projet'!$B$9,Paramètres!$A$1:$I$89,5,0)</f>
        <v>165.96892</v>
      </c>
      <c r="P44" s="13">
        <f t="shared" si="33"/>
        <v>42.185938677960188</v>
      </c>
      <c r="Q44" s="20">
        <f t="shared" si="53"/>
        <v>362.53637886411394</v>
      </c>
      <c r="R44" s="59">
        <f t="shared" si="0"/>
        <v>655.86971219744726</v>
      </c>
      <c r="S44" s="59">
        <f ca="1">AVERAGE(OFFSET($R$3,0,0,'Données projet'!$E$9+1,1))-AVERAGE(OFFSET($H$3,0,0,'Données projet'!$E$9+1,1))</f>
        <v>201.32564399503951</v>
      </c>
      <c r="T44" s="59">
        <f t="shared" si="34"/>
        <v>347.89731545007157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28.144652818402349</v>
      </c>
      <c r="AA44" s="21">
        <f>EXP(-LN(2)/25)*AA43+(1-EXP(-LN(2)/25))/(LN(2)/25)*Calculateur!V44*Calculateur!X44*VLOOKUP('Données projet'!$B$9,Paramètres!$A$1:$I$89,3,0)*0.475*44/12</f>
        <v>47.805484166584705</v>
      </c>
      <c r="AB44" s="21">
        <f>EXP(-LN(2)/2)*AB43+(1-EXP(-LN(2)/2))/(LN(2)/2)*V44*Y44*VLOOKUP('Données projet'!$B$9,Paramètres!$A$1:$I$89,3,0)*0.475*44/12</f>
        <v>18.952196062227873</v>
      </c>
      <c r="AC44" s="22">
        <f t="shared" si="3"/>
        <v>94.902333047214924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5.6843418860808015E-14</v>
      </c>
      <c r="AJ44" s="13">
        <f>AI44*VLOOKUP('Données projet'!$B$10,Paramètres!$A$1:$I$89,3,0)*VLOOKUP('Données projet'!$B$10,Paramètres!$A$1:$I$89,5,0)</f>
        <v>5.1431925385259088E-14</v>
      </c>
      <c r="AK44" s="13">
        <f t="shared" si="35"/>
        <v>8.3482866290946129E-13</v>
      </c>
      <c r="AL44" s="20">
        <f t="shared" si="4"/>
        <v>1.5435705246133045E-12</v>
      </c>
      <c r="AM44" s="59">
        <f t="shared" si="5"/>
        <v>293.33333333333485</v>
      </c>
      <c r="AN44" s="59">
        <f ca="1">AVERAGE(OFFSET($AM$3,0,0,'Données projet'!$E$10+1,1))-AVERAGE(OFFSET($H$3,0,0,'Données projet'!$E$10+1,1))</f>
        <v>244.25841067424</v>
      </c>
      <c r="AO44" s="59">
        <f t="shared" si="36"/>
        <v>538.53312094474745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64.460994265554731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64.460994265554731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10.669999999999998</v>
      </c>
      <c r="N45" s="13">
        <f>IF('Données projet'!$A$36&gt;35,N44+M45-V44,IF(A45&lt;'Données projet'!$A$36,$K$205^A45,IF(A45='Données projet'!$A$36,'Données projet'!$B$36,N44+M45-V44)))</f>
        <v>288.20999999999998</v>
      </c>
      <c r="O45" s="13">
        <f>N45*VLOOKUP('Données projet'!$B$9,Paramètres!$A$1:$I$89,3,0)*VLOOKUP('Données projet'!$B$9,Paramètres!$A$1:$I$89,5,0)</f>
        <v>172.34957999999997</v>
      </c>
      <c r="P45" s="13">
        <f t="shared" si="33"/>
        <v>43.615830216281417</v>
      </c>
      <c r="Q45" s="20">
        <f t="shared" si="53"/>
        <v>376.13975612669009</v>
      </c>
      <c r="R45" s="59">
        <f t="shared" si="0"/>
        <v>669.4730894600234</v>
      </c>
      <c r="S45" s="59">
        <f ca="1">AVERAGE(OFFSET($R$3,0,0,'Données projet'!$E$9+1,1))-AVERAGE(OFFSET($H$3,0,0,'Données projet'!$E$9+1,1))</f>
        <v>201.32564399503951</v>
      </c>
      <c r="T45" s="59">
        <f t="shared" si="34"/>
        <v>347.89731545007157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27.592753343176643</v>
      </c>
      <c r="AA45" s="21">
        <f>EXP(-LN(2)/25)*AA44+(1-EXP(-LN(2)/25))/(LN(2)/25)*Calculateur!V45*Calculateur!X45*VLOOKUP('Données projet'!$B$9,Paramètres!$A$1:$I$89,3,0)*0.475*44/12</f>
        <v>46.498240688068293</v>
      </c>
      <c r="AB45" s="21">
        <f>EXP(-LN(2)/2)*AB44+(1-EXP(-LN(2)/2))/(LN(2)/2)*V45*Y45*VLOOKUP('Données projet'!$B$9,Paramètres!$A$1:$I$89,3,0)*0.475*44/12</f>
        <v>13.401226353978313</v>
      </c>
      <c r="AC45" s="22">
        <f t="shared" si="3"/>
        <v>87.492220385223249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5.6843418860808015E-14</v>
      </c>
      <c r="AJ45" s="13">
        <f>AI45*VLOOKUP('Données projet'!$B$10,Paramètres!$A$1:$I$89,3,0)*VLOOKUP('Données projet'!$B$10,Paramètres!$A$1:$I$89,5,0)</f>
        <v>5.1431925385259088E-14</v>
      </c>
      <c r="AK45" s="13">
        <f t="shared" si="35"/>
        <v>8.3482866290946129E-13</v>
      </c>
      <c r="AL45" s="20">
        <f t="shared" si="4"/>
        <v>1.5435705246133045E-12</v>
      </c>
      <c r="AM45" s="59">
        <f t="shared" si="5"/>
        <v>293.33333333333485</v>
      </c>
      <c r="AN45" s="59">
        <f ca="1">AVERAGE(OFFSET($AM$3,0,0,'Données projet'!$E$10+1,1))-AVERAGE(OFFSET($H$3,0,0,'Données projet'!$E$10+1,1))</f>
        <v>244.25841067424</v>
      </c>
      <c r="AO45" s="59">
        <f t="shared" si="36"/>
        <v>538.53312094474745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63.196953485331441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63.196953485331441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10.669999999999998</v>
      </c>
      <c r="N46" s="13">
        <f>IF('Données projet'!$A$36&gt;35,N45+M46-V45,IF(A46&lt;'Données projet'!$A$36,$K$205^A46,IF(A46='Données projet'!$A$36,'Données projet'!$B$36,N45+M46-V45)))</f>
        <v>298.88</v>
      </c>
      <c r="O46" s="13">
        <f>N46*VLOOKUP('Données projet'!$B$9,Paramètres!$A$1:$I$89,3,0)*VLOOKUP('Données projet'!$B$9,Paramètres!$A$1:$I$89,5,0)</f>
        <v>178.73024000000001</v>
      </c>
      <c r="P46" s="13">
        <f t="shared" si="33"/>
        <v>45.039571673640665</v>
      </c>
      <c r="Q46" s="20">
        <f t="shared" si="53"/>
        <v>389.73242199825751</v>
      </c>
      <c r="R46" s="59">
        <f t="shared" si="0"/>
        <v>683.06575533159082</v>
      </c>
      <c r="S46" s="59">
        <f ca="1">AVERAGE(OFFSET($R$3,0,0,'Données projet'!$E$9+1,1))-AVERAGE(OFFSET($H$3,0,0,'Données projet'!$E$9+1,1))</f>
        <v>201.32564399503951</v>
      </c>
      <c r="T46" s="59">
        <f t="shared" si="34"/>
        <v>347.89731545007157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27.051676280034673</v>
      </c>
      <c r="AA46" s="21">
        <f>EXP(-LN(2)/25)*AA45+(1-EXP(-LN(2)/25))/(LN(2)/25)*Calculateur!V46*Calculateur!X46*VLOOKUP('Données projet'!$B$9,Paramètres!$A$1:$I$89,3,0)*0.475*44/12</f>
        <v>45.22674385121686</v>
      </c>
      <c r="AB46" s="21">
        <f>EXP(-LN(2)/2)*AB45+(1-EXP(-LN(2)/2))/(LN(2)/2)*V46*Y46*VLOOKUP('Données projet'!$B$9,Paramètres!$A$1:$I$89,3,0)*0.475*44/12</f>
        <v>9.4760980311139367</v>
      </c>
      <c r="AC46" s="22">
        <f t="shared" si="3"/>
        <v>81.754518162365471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5.6843418860808015E-14</v>
      </c>
      <c r="AJ46" s="13">
        <f>AI46*VLOOKUP('Données projet'!$B$10,Paramètres!$A$1:$I$89,3,0)*VLOOKUP('Données projet'!$B$10,Paramètres!$A$1:$I$89,5,0)</f>
        <v>5.1431925385259088E-14</v>
      </c>
      <c r="AK46" s="13">
        <f t="shared" si="35"/>
        <v>8.3482866290946129E-13</v>
      </c>
      <c r="AL46" s="20">
        <f t="shared" si="4"/>
        <v>1.5435705246133045E-12</v>
      </c>
      <c r="AM46" s="59">
        <f t="shared" si="5"/>
        <v>293.33333333333485</v>
      </c>
      <c r="AN46" s="59">
        <f ca="1">AVERAGE(OFFSET($AM$3,0,0,'Données projet'!$E$10+1,1))-AVERAGE(OFFSET($H$3,0,0,'Données projet'!$E$10+1,1))</f>
        <v>244.25841067424</v>
      </c>
      <c r="AO46" s="59">
        <f t="shared" si="36"/>
        <v>538.53312094474745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61.957699773819584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61.957699773819584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10.669999999999998</v>
      </c>
      <c r="N47" s="13">
        <f>IF('Données projet'!$A$36&gt;35,N46+M47-V46,IF(A47&lt;'Données projet'!$A$36,$K$205^A47,IF(A47='Données projet'!$A$36,'Données projet'!$B$36,N46+M47-V46)))</f>
        <v>309.55</v>
      </c>
      <c r="O47" s="13">
        <f>N47*VLOOKUP('Données projet'!$B$9,Paramètres!$A$1:$I$89,3,0)*VLOOKUP('Données projet'!$B$9,Paramètres!$A$1:$I$89,5,0)</f>
        <v>185.11090000000002</v>
      </c>
      <c r="P47" s="13">
        <f t="shared" si="33"/>
        <v>46.457407761223791</v>
      </c>
      <c r="Q47" s="20">
        <f t="shared" si="53"/>
        <v>403.31480268413151</v>
      </c>
      <c r="R47" s="59">
        <f t="shared" si="0"/>
        <v>696.64813601746482</v>
      </c>
      <c r="S47" s="59">
        <f ca="1">AVERAGE(OFFSET($R$3,0,0,'Données projet'!$E$9+1,1))-AVERAGE(OFFSET($H$3,0,0,'Données projet'!$E$9+1,1))</f>
        <v>201.32564399503951</v>
      </c>
      <c r="T47" s="59">
        <f t="shared" si="34"/>
        <v>347.89731545007157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26.521209408076494</v>
      </c>
      <c r="AA47" s="21">
        <f>EXP(-LN(2)/25)*AA46+(1-EXP(-LN(2)/25))/(LN(2)/25)*Calculateur!V47*Calculateur!X47*VLOOKUP('Données projet'!$B$9,Paramètres!$A$1:$I$89,3,0)*0.475*44/12</f>
        <v>43.990016162234241</v>
      </c>
      <c r="AB47" s="21">
        <f>EXP(-LN(2)/2)*AB46+(1-EXP(-LN(2)/2))/(LN(2)/2)*V47*Y47*VLOOKUP('Données projet'!$B$9,Paramètres!$A$1:$I$89,3,0)*0.475*44/12</f>
        <v>6.7006131769891564</v>
      </c>
      <c r="AC47" s="22">
        <f t="shared" si="3"/>
        <v>77.211838747299879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5.6843418860808015E-14</v>
      </c>
      <c r="AJ47" s="13">
        <f>AI47*VLOOKUP('Données projet'!$B$10,Paramètres!$A$1:$I$89,3,0)*VLOOKUP('Données projet'!$B$10,Paramètres!$A$1:$I$89,5,0)</f>
        <v>5.1431925385259088E-14</v>
      </c>
      <c r="AK47" s="13">
        <f t="shared" si="35"/>
        <v>8.3482866290946129E-13</v>
      </c>
      <c r="AL47" s="20">
        <f t="shared" si="4"/>
        <v>1.5435705246133045E-12</v>
      </c>
      <c r="AM47" s="59">
        <f t="shared" si="5"/>
        <v>293.33333333333485</v>
      </c>
      <c r="AN47" s="59">
        <f ca="1">AVERAGE(OFFSET($AM$3,0,0,'Données projet'!$E$10+1,1))-AVERAGE(OFFSET($H$3,0,0,'Données projet'!$E$10+1,1))</f>
        <v>244.25841067424</v>
      </c>
      <c r="AO47" s="59">
        <f t="shared" si="36"/>
        <v>538.53312094474745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60.742747071720345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60.742747071720345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10.669999999999998</v>
      </c>
      <c r="N48" s="13">
        <f>IF('Données projet'!$A$36&gt;35,N47+M48-V47,IF(A48&lt;'Données projet'!$A$36,$K$205^A48,IF(A48='Données projet'!$A$36,'Données projet'!$B$36,N47+M48-V47)))</f>
        <v>320.22000000000003</v>
      </c>
      <c r="O48" s="13">
        <f>N48*VLOOKUP('Données projet'!$B$9,Paramètres!$A$1:$I$89,3,0)*VLOOKUP('Données projet'!$B$9,Paramètres!$A$1:$I$89,5,0)</f>
        <v>191.49156000000005</v>
      </c>
      <c r="P48" s="13">
        <f t="shared" si="33"/>
        <v>47.869565363304325</v>
      </c>
      <c r="Q48" s="20">
        <f t="shared" si="53"/>
        <v>416.88729334108842</v>
      </c>
      <c r="R48" s="59">
        <f t="shared" si="0"/>
        <v>710.22062667442174</v>
      </c>
      <c r="S48" s="59">
        <f ca="1">AVERAGE(OFFSET($R$3,0,0,'Données projet'!$E$9+1,1))-AVERAGE(OFFSET($H$3,0,0,'Données projet'!$E$9+1,1))</f>
        <v>201.32564399503951</v>
      </c>
      <c r="T48" s="59">
        <f t="shared" si="34"/>
        <v>347.89731545007157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26.001144667924571</v>
      </c>
      <c r="AA48" s="21">
        <f>EXP(-LN(2)/25)*AA47+(1-EXP(-LN(2)/25))/(LN(2)/25)*Calculateur!V48*Calculateur!X48*VLOOKUP('Données projet'!$B$9,Paramètres!$A$1:$I$89,3,0)*0.475*44/12</f>
        <v>42.787106856943538</v>
      </c>
      <c r="AB48" s="21">
        <f>EXP(-LN(2)/2)*AB47+(1-EXP(-LN(2)/2))/(LN(2)/2)*V48*Y48*VLOOKUP('Données projet'!$B$9,Paramètres!$A$1:$I$89,3,0)*0.475*44/12</f>
        <v>4.7380490155569683</v>
      </c>
      <c r="AC48" s="22">
        <f t="shared" si="3"/>
        <v>73.526300540425083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5.6843418860808015E-14</v>
      </c>
      <c r="AJ48" s="13">
        <f>AI48*VLOOKUP('Données projet'!$B$10,Paramètres!$A$1:$I$89,3,0)*VLOOKUP('Données projet'!$B$10,Paramètres!$A$1:$I$89,5,0)</f>
        <v>5.1431925385259088E-14</v>
      </c>
      <c r="AK48" s="13">
        <f t="shared" si="35"/>
        <v>8.3482866290946129E-13</v>
      </c>
      <c r="AL48" s="20">
        <f t="shared" si="4"/>
        <v>1.5435705246133045E-12</v>
      </c>
      <c r="AM48" s="59">
        <f t="shared" si="5"/>
        <v>293.33333333333485</v>
      </c>
      <c r="AN48" s="59">
        <f ca="1">AVERAGE(OFFSET($AM$3,0,0,'Données projet'!$E$10+1,1))-AVERAGE(OFFSET($H$3,0,0,'Données projet'!$E$10+1,1))</f>
        <v>244.25841067424</v>
      </c>
      <c r="AO48" s="59">
        <f t="shared" si="36"/>
        <v>538.53312094474745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59.551618851061299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59.551618851061299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10.669999999999998</v>
      </c>
      <c r="N49" s="13">
        <f>IF('Données projet'!$A$36&gt;35,N48+M49-V48,IF(A49&lt;'Données projet'!$A$36,$K$205^A49,IF(A49='Données projet'!$A$36,'Données projet'!$B$36,N48+M49-V48)))</f>
        <v>330.89000000000004</v>
      </c>
      <c r="O49" s="13">
        <f>N49*VLOOKUP('Données projet'!$B$9,Paramètres!$A$1:$I$89,3,0)*VLOOKUP('Données projet'!$B$9,Paramètres!$A$1:$I$89,5,0)</f>
        <v>197.87222000000003</v>
      </c>
      <c r="P49" s="13">
        <f t="shared" si="33"/>
        <v>49.276255386222118</v>
      </c>
      <c r="Q49" s="20">
        <f t="shared" si="53"/>
        <v>430.45026129767024</v>
      </c>
      <c r="R49" s="59">
        <f t="shared" si="0"/>
        <v>723.78359463100355</v>
      </c>
      <c r="S49" s="59">
        <f ca="1">AVERAGE(OFFSET($R$3,0,0,'Données projet'!$E$9+1,1))-AVERAGE(OFFSET($H$3,0,0,'Données projet'!$E$9+1,1))</f>
        <v>201.32564399503951</v>
      </c>
      <c r="T49" s="59">
        <f t="shared" si="34"/>
        <v>347.89731545007157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25.491278080118857</v>
      </c>
      <c r="AA49" s="21">
        <f>EXP(-LN(2)/25)*AA48+(1-EXP(-LN(2)/25))/(LN(2)/25)*Calculateur!V49*Calculateur!X49*VLOOKUP('Données projet'!$B$9,Paramètres!$A$1:$I$89,3,0)*0.475*44/12</f>
        <v>41.61709116986426</v>
      </c>
      <c r="AB49" s="21">
        <f>EXP(-LN(2)/2)*AB48+(1-EXP(-LN(2)/2))/(LN(2)/2)*V49*Y49*VLOOKUP('Données projet'!$B$9,Paramètres!$A$1:$I$89,3,0)*0.475*44/12</f>
        <v>3.3503065884945782</v>
      </c>
      <c r="AC49" s="22">
        <f t="shared" si="3"/>
        <v>70.458675838477689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5.6843418860808015E-14</v>
      </c>
      <c r="AJ49" s="13">
        <f>AI49*VLOOKUP('Données projet'!$B$10,Paramètres!$A$1:$I$89,3,0)*VLOOKUP('Données projet'!$B$10,Paramètres!$A$1:$I$89,5,0)</f>
        <v>5.1431925385259088E-14</v>
      </c>
      <c r="AK49" s="13">
        <f t="shared" si="35"/>
        <v>8.3482866290946129E-13</v>
      </c>
      <c r="AL49" s="20">
        <f t="shared" si="4"/>
        <v>1.5435705246133045E-12</v>
      </c>
      <c r="AM49" s="59">
        <f t="shared" si="5"/>
        <v>293.33333333333485</v>
      </c>
      <c r="AN49" s="59">
        <f ca="1">AVERAGE(OFFSET($AM$3,0,0,'Données projet'!$E$10+1,1))-AVERAGE(OFFSET($H$3,0,0,'Données projet'!$E$10+1,1))</f>
        <v>244.25841067424</v>
      </c>
      <c r="AO49" s="59">
        <f t="shared" si="36"/>
        <v>538.53312094474745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58.383847928292894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58.383847928292894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10.669999999999998</v>
      </c>
      <c r="N50" s="13">
        <f>IF('Données projet'!$A$36&gt;35,N49+M50-V49,IF(A50&lt;'Données projet'!$A$36,$K$205^A50,IF(A50='Données projet'!$A$36,'Données projet'!$B$36,N49+M50-V49)))</f>
        <v>341.56000000000006</v>
      </c>
      <c r="O50" s="13">
        <f>N50*VLOOKUP('Données projet'!$B$9,Paramètres!$A$1:$I$89,3,0)*VLOOKUP('Données projet'!$B$9,Paramètres!$A$1:$I$89,5,0)</f>
        <v>204.25288000000006</v>
      </c>
      <c r="P50" s="13">
        <f t="shared" si="33"/>
        <v>50.677674362171935</v>
      </c>
      <c r="Q50" s="20">
        <f t="shared" si="53"/>
        <v>444.0040488474495</v>
      </c>
      <c r="R50" s="59">
        <f t="shared" si="0"/>
        <v>737.33738218078281</v>
      </c>
      <c r="S50" s="59">
        <f ca="1">AVERAGE(OFFSET($R$3,0,0,'Données projet'!$E$9+1,1))-AVERAGE(OFFSET($H$3,0,0,'Données projet'!$E$9+1,1))</f>
        <v>201.32564399503951</v>
      </c>
      <c r="T50" s="59">
        <f t="shared" si="34"/>
        <v>347.89731545007157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24.991409665112101</v>
      </c>
      <c r="AA50" s="21">
        <f>EXP(-LN(2)/25)*AA49+(1-EXP(-LN(2)/25))/(LN(2)/25)*Calculateur!V50*Calculateur!X50*VLOOKUP('Données projet'!$B$9,Paramètres!$A$1:$I$89,3,0)*0.475*44/12</f>
        <v>40.479069623276615</v>
      </c>
      <c r="AB50" s="21">
        <f>EXP(-LN(2)/2)*AB49+(1-EXP(-LN(2)/2))/(LN(2)/2)*V50*Y50*VLOOKUP('Données projet'!$B$9,Paramètres!$A$1:$I$89,3,0)*0.475*44/12</f>
        <v>2.3690245077784842</v>
      </c>
      <c r="AC50" s="22">
        <f t="shared" si="3"/>
        <v>67.839503796167207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5.6843418860808015E-14</v>
      </c>
      <c r="AJ50" s="13">
        <f>AI50*VLOOKUP('Données projet'!$B$10,Paramètres!$A$1:$I$89,3,0)*VLOOKUP('Données projet'!$B$10,Paramètres!$A$1:$I$89,5,0)</f>
        <v>5.1431925385259088E-14</v>
      </c>
      <c r="AK50" s="13">
        <f t="shared" si="35"/>
        <v>8.3482866290946129E-13</v>
      </c>
      <c r="AL50" s="20">
        <f t="shared" si="4"/>
        <v>1.5435705246133045E-12</v>
      </c>
      <c r="AM50" s="59">
        <f t="shared" si="5"/>
        <v>293.33333333333485</v>
      </c>
      <c r="AN50" s="59">
        <f ca="1">AVERAGE(OFFSET($AM$3,0,0,'Données projet'!$E$10+1,1))-AVERAGE(OFFSET($H$3,0,0,'Données projet'!$E$10+1,1))</f>
        <v>244.25841067424</v>
      </c>
      <c r="AO50" s="59">
        <f t="shared" si="36"/>
        <v>538.53312094474745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57.23897628105005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57.23897628105005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10.669999999999998</v>
      </c>
      <c r="N51" s="13">
        <f>IF('Données projet'!$A$36&gt;35,N50+M51-V50,IF(A51&lt;'Données projet'!$A$36,$K$205^A51,IF(A51='Données projet'!$A$36,'Données projet'!$B$36,N50+M51-V50)))</f>
        <v>352.23000000000008</v>
      </c>
      <c r="O51" s="13">
        <f>N51*VLOOKUP('Données projet'!$B$9,Paramètres!$A$1:$I$89,3,0)*VLOOKUP('Données projet'!$B$9,Paramètres!$A$1:$I$89,5,0)</f>
        <v>210.63354000000004</v>
      </c>
      <c r="P51" s="13">
        <f t="shared" si="33"/>
        <v>52.074005846958535</v>
      </c>
      <c r="Q51" s="20">
        <f t="shared" si="53"/>
        <v>457.54897568345274</v>
      </c>
      <c r="R51" s="59">
        <f t="shared" si="0"/>
        <v>750.88230901678605</v>
      </c>
      <c r="S51" s="59">
        <f ca="1">AVERAGE(OFFSET($R$3,0,0,'Données projet'!$E$9+1,1))-AVERAGE(OFFSET($H$3,0,0,'Données projet'!$E$9+1,1))</f>
        <v>201.32564399503951</v>
      </c>
      <c r="T51" s="59">
        <f t="shared" si="34"/>
        <v>347.89731545007157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24.501343364834003</v>
      </c>
      <c r="AA51" s="21">
        <f>EXP(-LN(2)/25)*AA50+(1-EXP(-LN(2)/25))/(LN(2)/25)*Calculateur!V51*Calculateur!X51*VLOOKUP('Données projet'!$B$9,Paramètres!$A$1:$I$89,3,0)*0.475*44/12</f>
        <v>39.37216733572636</v>
      </c>
      <c r="AB51" s="21">
        <f>EXP(-LN(2)/2)*AB50+(1-EXP(-LN(2)/2))/(LN(2)/2)*V51*Y51*VLOOKUP('Données projet'!$B$9,Paramètres!$A$1:$I$89,3,0)*0.475*44/12</f>
        <v>1.6751532942472891</v>
      </c>
      <c r="AC51" s="22">
        <f t="shared" si="3"/>
        <v>65.548663994807654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5.6843418860808015E-14</v>
      </c>
      <c r="AJ51" s="13">
        <f>AI51*VLOOKUP('Données projet'!$B$10,Paramètres!$A$1:$I$89,3,0)*VLOOKUP('Données projet'!$B$10,Paramètres!$A$1:$I$89,5,0)</f>
        <v>5.1431925385259088E-14</v>
      </c>
      <c r="AK51" s="13">
        <f t="shared" si="35"/>
        <v>8.3482866290946129E-13</v>
      </c>
      <c r="AL51" s="20">
        <f t="shared" si="4"/>
        <v>1.5435705246133045E-12</v>
      </c>
      <c r="AM51" s="59">
        <f t="shared" si="5"/>
        <v>293.33333333333485</v>
      </c>
      <c r="AN51" s="59">
        <f ca="1">AVERAGE(OFFSET($AM$3,0,0,'Données projet'!$E$10+1,1))-AVERAGE(OFFSET($H$3,0,0,'Données projet'!$E$10+1,1))</f>
        <v>244.25841067424</v>
      </c>
      <c r="AO51" s="59">
        <f t="shared" si="36"/>
        <v>538.53312094474745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56.116554868506881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56.116554868506881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10.669999999999998</v>
      </c>
      <c r="N52" s="13">
        <f>IF('Données projet'!$A$36&gt;35,N51+M52-V51,IF(A52&lt;'Données projet'!$A$36,$K$205^A52,IF(A52='Données projet'!$A$36,'Données projet'!$B$36,N51+M52-V51)))</f>
        <v>362.90000000000009</v>
      </c>
      <c r="O52" s="13">
        <f>N52*VLOOKUP('Données projet'!$B$9,Paramètres!$A$1:$I$89,3,0)*VLOOKUP('Données projet'!$B$9,Paramètres!$A$1:$I$89,5,0)</f>
        <v>217.01420000000007</v>
      </c>
      <c r="P52" s="13">
        <f t="shared" si="33"/>
        <v>53.465421643626293</v>
      </c>
      <c r="Q52" s="20">
        <f t="shared" si="53"/>
        <v>471.085341029316</v>
      </c>
      <c r="R52" s="59">
        <f t="shared" si="0"/>
        <v>764.41867436264931</v>
      </c>
      <c r="S52" s="59">
        <f ca="1">AVERAGE(OFFSET($R$3,0,0,'Données projet'!$E$9+1,1))-AVERAGE(OFFSET($H$3,0,0,'Données projet'!$E$9+1,1))</f>
        <v>201.32564399503951</v>
      </c>
      <c r="T52" s="59">
        <f t="shared" si="34"/>
        <v>347.89731545007157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24.02088696579343</v>
      </c>
      <c r="AA52" s="21">
        <f>EXP(-LN(2)/25)*AA51+(1-EXP(-LN(2)/25))/(LN(2)/25)*Calculateur!V52*Calculateur!X52*VLOOKUP('Données projet'!$B$9,Paramètres!$A$1:$I$89,3,0)*0.475*44/12</f>
        <v>38.295533349438628</v>
      </c>
      <c r="AB52" s="21">
        <f>EXP(-LN(2)/2)*AB51+(1-EXP(-LN(2)/2))/(LN(2)/2)*V52*Y52*VLOOKUP('Données projet'!$B$9,Paramètres!$A$1:$I$89,3,0)*0.475*44/12</f>
        <v>1.1845122538892421</v>
      </c>
      <c r="AC52" s="22">
        <f t="shared" si="3"/>
        <v>63.500932569121304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5.6843418860808015E-14</v>
      </c>
      <c r="AJ52" s="13">
        <f>AI52*VLOOKUP('Données projet'!$B$10,Paramètres!$A$1:$I$89,3,0)*VLOOKUP('Données projet'!$B$10,Paramètres!$A$1:$I$89,5,0)</f>
        <v>5.1431925385259088E-14</v>
      </c>
      <c r="AK52" s="13">
        <f t="shared" si="35"/>
        <v>8.3482866290946129E-13</v>
      </c>
      <c r="AL52" s="20">
        <f t="shared" si="4"/>
        <v>1.5435705246133045E-12</v>
      </c>
      <c r="AM52" s="59">
        <f t="shared" si="5"/>
        <v>293.33333333333485</v>
      </c>
      <c r="AN52" s="59">
        <f ca="1">AVERAGE(OFFSET($AM$3,0,0,'Données projet'!$E$10+1,1))-AVERAGE(OFFSET($H$3,0,0,'Données projet'!$E$10+1,1))</f>
        <v>244.25841067424</v>
      </c>
      <c r="AO52" s="59">
        <f t="shared" si="36"/>
        <v>538.53312094474745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55.016143455254223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55.016143455254223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373.57</v>
      </c>
      <c r="L53" s="12">
        <f>VLOOKUP(A53,'Données projet'!$A$35:$I$55,9,0)</f>
        <v>10.669999999999998</v>
      </c>
      <c r="M53" s="12">
        <f t="array" ref="M53">INDEX(L:L,MIN(IF(ISNUMBER(L53:L249),ROW(L53:L249),"")))</f>
        <v>10.669999999999998</v>
      </c>
      <c r="N53" s="13">
        <f>IF('Données projet'!$A$36&gt;35,N52+M53-V52,IF(A53&lt;'Données projet'!$A$36,$K$205^A53,IF(A53='Données projet'!$A$36,'Données projet'!$B$36,N52+M53-V52)))</f>
        <v>373.57000000000011</v>
      </c>
      <c r="O53" s="13">
        <f>N53*VLOOKUP('Données projet'!$B$9,Paramètres!$A$1:$I$89,3,0)*VLOOKUP('Données projet'!$B$9,Paramètres!$A$1:$I$89,5,0)</f>
        <v>223.39486000000008</v>
      </c>
      <c r="P53" s="13">
        <f t="shared" si="33"/>
        <v>54.852082878135874</v>
      </c>
      <c r="Q53" s="20">
        <f t="shared" si="53"/>
        <v>484.61342551275339</v>
      </c>
      <c r="R53" s="59">
        <f t="shared" si="0"/>
        <v>777.94675884608671</v>
      </c>
      <c r="S53" s="59">
        <f ca="1">AVERAGE(OFFSET($R$3,0,0,'Données projet'!$E$9+1,1))-AVERAGE(OFFSET($H$3,0,0,'Données projet'!$E$9+1,1))</f>
        <v>201.32564399503951</v>
      </c>
      <c r="T53" s="59">
        <f t="shared" si="34"/>
        <v>347.89731545007157</v>
      </c>
      <c r="U53" s="15">
        <f>IF(ISNA(VLOOKUP(A53,'Données projet'!$A$35:$I$55,3,0)),0,VLOOKUP(A53,'Données projet'!$A$35:$I$55,3,0))</f>
        <v>5</v>
      </c>
      <c r="V53" s="15">
        <f>IF(ISNA(VLOOKUP(A53,'Données projet'!$A$35:$I$55,4,0)),0,VLOOKUP(A53,'Données projet'!$A$35:$I$55,4,0))</f>
        <v>374.57</v>
      </c>
      <c r="W53" s="16">
        <f>IF(ISNA(VLOOKUP(A53,'Données projet'!$A$35:$I$55,5,0)),0%,VLOOKUP(A53,'Données projet'!$A$35:$I$55,5,0)*VLOOKUP('Données projet'!$B$9,Paramètres!$A$1:$I$89,7,0))</f>
        <v>0.27</v>
      </c>
      <c r="X53" s="16">
        <f>IF(ISNA(VLOOKUP(A53,'Données projet'!$A$35:$I$55,6,0)),0%,VLOOKUP(A53,'Données projet'!$A$35:$I$55,6,0)*VLOOKUP('Données projet'!$B$9,Paramètres!$A$1:$I$89,7,0))</f>
        <v>9.9000000000000005E-2</v>
      </c>
      <c r="Y53" s="16">
        <f>IF(ISNA(VLOOKUP(A53,'Données projet'!$A$35:$I$55,7,0)),0%,VLOOKUP(A53,'Données projet'!$A$35:$I$55,7,0))</f>
        <v>0.18</v>
      </c>
      <c r="Z53" s="21">
        <f>EXP(-LN(2)/35)*Z52+(1-EXP(-LN(2)/35))/(LN(2)/35)*V53*W53*VLOOKUP('Données projet'!$B$9,Paramètres!$A$1:$I$89,3,0)*0.475*44/12</f>
        <v>103.77791293771477</v>
      </c>
      <c r="AA53" s="21">
        <f>EXP(-LN(2)/25)*AA52+(1-EXP(-LN(2)/25))/(LN(2)/25)*Calculateur!V53*Calculateur!X53*VLOOKUP('Données projet'!$B$9,Paramètres!$A$1:$I$89,3,0)*0.475*44/12</f>
        <v>66.549469881394273</v>
      </c>
      <c r="AB53" s="21">
        <f>EXP(-LN(2)/2)*AB52+(1-EXP(-LN(2)/2))/(LN(2)/2)*V53*Y53*VLOOKUP('Données projet'!$B$9,Paramètres!$A$1:$I$89,3,0)*0.475*44/12</f>
        <v>46.487727738441968</v>
      </c>
      <c r="AC53" s="22">
        <f t="shared" si="3"/>
        <v>216.81511055755104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5.6843418860808015E-14</v>
      </c>
      <c r="AJ53" s="13">
        <f>AI53*VLOOKUP('Données projet'!$B$10,Paramètres!$A$1:$I$89,3,0)*VLOOKUP('Données projet'!$B$10,Paramètres!$A$1:$I$89,5,0)</f>
        <v>5.1431925385259088E-14</v>
      </c>
      <c r="AK53" s="13">
        <f t="shared" si="35"/>
        <v>8.3482866290946129E-13</v>
      </c>
      <c r="AL53" s="20">
        <f t="shared" si="4"/>
        <v>1.5435705246133045E-12</v>
      </c>
      <c r="AM53" s="59">
        <f t="shared" si="5"/>
        <v>293.33333333333485</v>
      </c>
      <c r="AN53" s="59">
        <f ca="1">AVERAGE(OFFSET($AM$3,0,0,'Données projet'!$E$10+1,1))-AVERAGE(OFFSET($H$3,0,0,'Données projet'!$E$10+1,1))</f>
        <v>244.25841067424</v>
      </c>
      <c r="AO53" s="59">
        <f t="shared" si="36"/>
        <v>538.53312094474745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53.93731043863076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53.93731043863076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-0.99999999999988631</v>
      </c>
      <c r="O54" s="13">
        <f>N54*VLOOKUP('Données projet'!$B$9,Paramètres!$A$1:$I$89,3,0)*VLOOKUP('Données projet'!$B$9,Paramètres!$A$1:$I$89,5,0)</f>
        <v>-0.59799999999993203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201.32564399503951</v>
      </c>
      <c r="T54" s="59">
        <f t="shared" si="34"/>
        <v>347.89731545007157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101.74289136328289</v>
      </c>
      <c r="AA54" s="21">
        <f>EXP(-LN(2)/25)*AA53+(1-EXP(-LN(2)/25))/(LN(2)/25)*Calculateur!V54*Calculateur!X54*VLOOKUP('Données projet'!$B$9,Paramètres!$A$1:$I$89,3,0)*0.475*44/12</f>
        <v>64.72967112780303</v>
      </c>
      <c r="AB54" s="21">
        <f>EXP(-LN(2)/2)*AB53+(1-EXP(-LN(2)/2))/(LN(2)/2)*V54*Y54*VLOOKUP('Données projet'!$B$9,Paramètres!$A$1:$I$89,3,0)*0.475*44/12</f>
        <v>32.871787525806283</v>
      </c>
      <c r="AC54" s="22">
        <f t="shared" si="3"/>
        <v>199.34435001689218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5.6843418860808015E-14</v>
      </c>
      <c r="AJ54" s="13">
        <f>AI54*VLOOKUP('Données projet'!$B$10,Paramètres!$A$1:$I$89,3,0)*VLOOKUP('Données projet'!$B$10,Paramètres!$A$1:$I$89,5,0)</f>
        <v>5.1431925385259088E-14</v>
      </c>
      <c r="AK54" s="13">
        <f t="shared" si="35"/>
        <v>8.3482866290946129E-13</v>
      </c>
      <c r="AL54" s="20">
        <f t="shared" si="4"/>
        <v>1.5435705246133045E-12</v>
      </c>
      <c r="AM54" s="59">
        <f t="shared" si="5"/>
        <v>293.33333333333485</v>
      </c>
      <c r="AN54" s="59">
        <f ca="1">AVERAGE(OFFSET($AM$3,0,0,'Données projet'!$E$10+1,1))-AVERAGE(OFFSET($H$3,0,0,'Données projet'!$E$10+1,1))</f>
        <v>244.25841067424</v>
      </c>
      <c r="AO54" s="59">
        <f t="shared" si="36"/>
        <v>538.53312094474745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52.879632679440121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52.879632679440121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-0.99999999999988631</v>
      </c>
      <c r="O55" s="13">
        <f>N55*VLOOKUP('Données projet'!$B$9,Paramètres!$A$1:$I$89,3,0)*VLOOKUP('Données projet'!$B$9,Paramètres!$A$1:$I$89,5,0)</f>
        <v>-0.59799999999993203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201.32564399503951</v>
      </c>
      <c r="T55" s="59">
        <f t="shared" si="34"/>
        <v>347.89731545007157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99.747775320685022</v>
      </c>
      <c r="AA55" s="21">
        <f>EXP(-LN(2)/25)*AA54+(1-EXP(-LN(2)/25))/(LN(2)/25)*Calculateur!V55*Calculateur!X55*VLOOKUP('Données projet'!$B$9,Paramètres!$A$1:$I$89,3,0)*0.475*44/12</f>
        <v>62.959634866827791</v>
      </c>
      <c r="AB55" s="21">
        <f>EXP(-LN(2)/2)*AB54+(1-EXP(-LN(2)/2))/(LN(2)/2)*V55*Y55*VLOOKUP('Données projet'!$B$9,Paramètres!$A$1:$I$89,3,0)*0.475*44/12</f>
        <v>23.243863869220988</v>
      </c>
      <c r="AC55" s="22">
        <f t="shared" si="3"/>
        <v>185.95127405673378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5.6843418860808015E-14</v>
      </c>
      <c r="AJ55" s="13">
        <f>AI55*VLOOKUP('Données projet'!$B$10,Paramètres!$A$1:$I$89,3,0)*VLOOKUP('Données projet'!$B$10,Paramètres!$A$1:$I$89,5,0)</f>
        <v>5.1431925385259088E-14</v>
      </c>
      <c r="AK55" s="13">
        <f t="shared" si="35"/>
        <v>8.3482866290946129E-13</v>
      </c>
      <c r="AL55" s="20">
        <f t="shared" si="4"/>
        <v>1.5435705246133045E-12</v>
      </c>
      <c r="AM55" s="59">
        <f t="shared" si="5"/>
        <v>293.33333333333485</v>
      </c>
      <c r="AN55" s="59">
        <f ca="1">AVERAGE(OFFSET($AM$3,0,0,'Données projet'!$E$10+1,1))-AVERAGE(OFFSET($H$3,0,0,'Données projet'!$E$10+1,1))</f>
        <v>244.25841067424</v>
      </c>
      <c r="AO55" s="59">
        <f t="shared" si="36"/>
        <v>538.53312094474745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51.842695335987479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51.842695335987479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-0.99999999999988631</v>
      </c>
      <c r="O56" s="13">
        <f>N56*VLOOKUP('Données projet'!$B$9,Paramètres!$A$1:$I$89,3,0)*VLOOKUP('Données projet'!$B$9,Paramètres!$A$1:$I$89,5,0)</f>
        <v>-0.59799999999993203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201.32564399503951</v>
      </c>
      <c r="T56" s="59">
        <f t="shared" si="34"/>
        <v>347.89731545007157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97.791782286781867</v>
      </c>
      <c r="AA56" s="21">
        <f>EXP(-LN(2)/25)*AA55+(1-EXP(-LN(2)/25))/(LN(2)/25)*Calculateur!V56*Calculateur!X56*VLOOKUP('Données projet'!$B$9,Paramètres!$A$1:$I$89,3,0)*0.475*44/12</f>
        <v>61.238000340491084</v>
      </c>
      <c r="AB56" s="21">
        <f>EXP(-LN(2)/2)*AB55+(1-EXP(-LN(2)/2))/(LN(2)/2)*V56*Y56*VLOOKUP('Données projet'!$B$9,Paramètres!$A$1:$I$89,3,0)*0.475*44/12</f>
        <v>16.435893762903145</v>
      </c>
      <c r="AC56" s="22">
        <f t="shared" si="3"/>
        <v>175.46567639017607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5.6843418860808015E-14</v>
      </c>
      <c r="AJ56" s="13">
        <f>AI56*VLOOKUP('Données projet'!$B$10,Paramètres!$A$1:$I$89,3,0)*VLOOKUP('Données projet'!$B$10,Paramètres!$A$1:$I$89,5,0)</f>
        <v>5.1431925385259088E-14</v>
      </c>
      <c r="AK56" s="13">
        <f t="shared" si="35"/>
        <v>8.3482866290946129E-13</v>
      </c>
      <c r="AL56" s="20">
        <f t="shared" si="4"/>
        <v>1.5435705246133045E-12</v>
      </c>
      <c r="AM56" s="59">
        <f t="shared" si="5"/>
        <v>293.33333333333485</v>
      </c>
      <c r="AN56" s="59">
        <f ca="1">AVERAGE(OFFSET($AM$3,0,0,'Données projet'!$E$10+1,1))-AVERAGE(OFFSET($H$3,0,0,'Données projet'!$E$10+1,1))</f>
        <v>244.25841067424</v>
      </c>
      <c r="AO56" s="59">
        <f t="shared" si="36"/>
        <v>538.53312094474745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50.826091701370615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50.826091701370615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-0.99999999999988631</v>
      </c>
      <c r="O57" s="13">
        <f>N57*VLOOKUP('Données projet'!$B$9,Paramètres!$A$1:$I$89,3,0)*VLOOKUP('Données projet'!$B$9,Paramètres!$A$1:$I$89,5,0)</f>
        <v>-0.59799999999993203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201.32564399503951</v>
      </c>
      <c r="T57" s="59">
        <f t="shared" si="34"/>
        <v>347.89731545007157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95.874145083235604</v>
      </c>
      <c r="AA57" s="21">
        <f>EXP(-LN(2)/25)*AA56+(1-EXP(-LN(2)/25))/(LN(2)/25)*Calculateur!V57*Calculateur!X57*VLOOKUP('Données projet'!$B$9,Paramètres!$A$1:$I$89,3,0)*0.475*44/12</f>
        <v>59.563444000813881</v>
      </c>
      <c r="AB57" s="21">
        <f>EXP(-LN(2)/2)*AB56+(1-EXP(-LN(2)/2))/(LN(2)/2)*V57*Y57*VLOOKUP('Données projet'!$B$9,Paramètres!$A$1:$I$89,3,0)*0.475*44/12</f>
        <v>11.621931934610496</v>
      </c>
      <c r="AC57" s="22">
        <f t="shared" si="3"/>
        <v>167.05952101865998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5.6843418860808015E-14</v>
      </c>
      <c r="AJ57" s="13">
        <f>AI57*VLOOKUP('Données projet'!$B$10,Paramètres!$A$1:$I$89,3,0)*VLOOKUP('Données projet'!$B$10,Paramètres!$A$1:$I$89,5,0)</f>
        <v>5.1431925385259088E-14</v>
      </c>
      <c r="AK57" s="13">
        <f t="shared" si="35"/>
        <v>8.3482866290946129E-13</v>
      </c>
      <c r="AL57" s="20">
        <f t="shared" si="4"/>
        <v>1.5435705246133045E-12</v>
      </c>
      <c r="AM57" s="59">
        <f t="shared" si="5"/>
        <v>293.33333333333485</v>
      </c>
      <c r="AN57" s="59">
        <f ca="1">AVERAGE(OFFSET($AM$3,0,0,'Données projet'!$E$10+1,1))-AVERAGE(OFFSET($H$3,0,0,'Données projet'!$E$10+1,1))</f>
        <v>244.25841067424</v>
      </c>
      <c r="AO57" s="59">
        <f t="shared" si="36"/>
        <v>538.53312094474745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49.829423043961597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49.829423043961597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-0.99999999999988631</v>
      </c>
      <c r="O58" s="13">
        <f>N58*VLOOKUP('Données projet'!$B$9,Paramètres!$A$1:$I$89,3,0)*VLOOKUP('Données projet'!$B$9,Paramètres!$A$1:$I$89,5,0)</f>
        <v>-0.59799999999993203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201.32564399503951</v>
      </c>
      <c r="T58" s="59">
        <f t="shared" si="34"/>
        <v>347.89731545007157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93.99411157560769</v>
      </c>
      <c r="AA58" s="21">
        <f>EXP(-LN(2)/25)*AA57+(1-EXP(-LN(2)/25))/(LN(2)/25)*Calculateur!V58*Calculateur!X58*VLOOKUP('Données projet'!$B$9,Paramètres!$A$1:$I$89,3,0)*0.475*44/12</f>
        <v>57.93467849230624</v>
      </c>
      <c r="AB58" s="21">
        <f>EXP(-LN(2)/2)*AB57+(1-EXP(-LN(2)/2))/(LN(2)/2)*V58*Y58*VLOOKUP('Données projet'!$B$9,Paramètres!$A$1:$I$89,3,0)*0.475*44/12</f>
        <v>8.2179468814515726</v>
      </c>
      <c r="AC58" s="22">
        <f t="shared" si="3"/>
        <v>160.1467369493655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5.6843418860808015E-14</v>
      </c>
      <c r="AJ58" s="13">
        <f>AI58*VLOOKUP('Données projet'!$B$10,Paramètres!$A$1:$I$89,3,0)*VLOOKUP('Données projet'!$B$10,Paramètres!$A$1:$I$89,5,0)</f>
        <v>5.1431925385259088E-14</v>
      </c>
      <c r="AK58" s="13">
        <f t="shared" si="35"/>
        <v>8.3482866290946129E-13</v>
      </c>
      <c r="AL58" s="20">
        <f t="shared" si="4"/>
        <v>1.5435705246133045E-12</v>
      </c>
      <c r="AM58" s="59">
        <f t="shared" si="5"/>
        <v>293.33333333333485</v>
      </c>
      <c r="AN58" s="59">
        <f ca="1">AVERAGE(OFFSET($AM$3,0,0,'Données projet'!$E$10+1,1))-AVERAGE(OFFSET($H$3,0,0,'Données projet'!$E$10+1,1))</f>
        <v>244.25841067424</v>
      </c>
      <c r="AO58" s="59">
        <f t="shared" si="36"/>
        <v>538.53312094474745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48.852298451016516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48.852298451016516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-0.99999999999988631</v>
      </c>
      <c r="O59" s="13">
        <f>N59*VLOOKUP('Données projet'!$B$9,Paramètres!$A$1:$I$89,3,0)*VLOOKUP('Données projet'!$B$9,Paramètres!$A$1:$I$89,5,0)</f>
        <v>-0.59799999999993203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201.32564399503951</v>
      </c>
      <c r="T59" s="59">
        <f t="shared" si="34"/>
        <v>347.89731545007157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92.150944378357138</v>
      </c>
      <c r="AA59" s="21">
        <f>EXP(-LN(2)/25)*AA58+(1-EXP(-LN(2)/25))/(LN(2)/25)*Calculateur!V59*Calculateur!X59*VLOOKUP('Données projet'!$B$9,Paramètres!$A$1:$I$89,3,0)*0.475*44/12</f>
        <v>56.350451662281799</v>
      </c>
      <c r="AB59" s="21">
        <f>EXP(-LN(2)/2)*AB58+(1-EXP(-LN(2)/2))/(LN(2)/2)*V59*Y59*VLOOKUP('Données projet'!$B$9,Paramètres!$A$1:$I$89,3,0)*0.475*44/12</f>
        <v>5.8109659673052478</v>
      </c>
      <c r="AC59" s="22">
        <f t="shared" si="3"/>
        <v>154.31236200794419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5.6843418860808015E-14</v>
      </c>
      <c r="AJ59" s="13">
        <f>AI59*VLOOKUP('Données projet'!$B$10,Paramètres!$A$1:$I$89,3,0)*VLOOKUP('Données projet'!$B$10,Paramètres!$A$1:$I$89,5,0)</f>
        <v>5.1431925385259088E-14</v>
      </c>
      <c r="AK59" s="13">
        <f t="shared" si="35"/>
        <v>8.3482866290946129E-13</v>
      </c>
      <c r="AL59" s="20">
        <f t="shared" si="4"/>
        <v>1.5435705246133045E-12</v>
      </c>
      <c r="AM59" s="59">
        <f t="shared" si="5"/>
        <v>293.33333333333485</v>
      </c>
      <c r="AN59" s="59">
        <f ca="1">AVERAGE(OFFSET($AM$3,0,0,'Données projet'!$E$10+1,1))-AVERAGE(OFFSET($H$3,0,0,'Données projet'!$E$10+1,1))</f>
        <v>244.25841067424</v>
      </c>
      <c r="AO59" s="59">
        <f t="shared" si="36"/>
        <v>538.53312094474745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47.894334675351935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47.894334675351935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-0.99999999999988631</v>
      </c>
      <c r="O60" s="13">
        <f>N60*VLOOKUP('Données projet'!$B$9,Paramètres!$A$1:$I$89,3,0)*VLOOKUP('Données projet'!$B$9,Paramètres!$A$1:$I$89,5,0)</f>
        <v>-0.59799999999993203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201.32564399503951</v>
      </c>
      <c r="T60" s="59">
        <f t="shared" si="34"/>
        <v>347.89731545007157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90.343920565623691</v>
      </c>
      <c r="AA60" s="21">
        <f>EXP(-LN(2)/25)*AA59+(1-EXP(-LN(2)/25))/(LN(2)/25)*Calculateur!V60*Calculateur!X60*VLOOKUP('Données projet'!$B$9,Paramètres!$A$1:$I$89,3,0)*0.475*44/12</f>
        <v>54.809545598235239</v>
      </c>
      <c r="AB60" s="21">
        <f>EXP(-LN(2)/2)*AB59+(1-EXP(-LN(2)/2))/(LN(2)/2)*V60*Y60*VLOOKUP('Données projet'!$B$9,Paramètres!$A$1:$I$89,3,0)*0.475*44/12</f>
        <v>4.1089734407257863</v>
      </c>
      <c r="AC60" s="22">
        <f t="shared" si="3"/>
        <v>149.2624396045847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5.6843418860808015E-14</v>
      </c>
      <c r="AJ60" s="13">
        <f>AI60*VLOOKUP('Données projet'!$B$10,Paramètres!$A$1:$I$89,3,0)*VLOOKUP('Données projet'!$B$10,Paramètres!$A$1:$I$89,5,0)</f>
        <v>5.1431925385259088E-14</v>
      </c>
      <c r="AK60" s="13">
        <f t="shared" si="35"/>
        <v>8.3482866290946129E-13</v>
      </c>
      <c r="AL60" s="20">
        <f t="shared" si="4"/>
        <v>1.5435705246133045E-12</v>
      </c>
      <c r="AM60" s="59">
        <f t="shared" si="5"/>
        <v>293.33333333333485</v>
      </c>
      <c r="AN60" s="59">
        <f ca="1">AVERAGE(OFFSET($AM$3,0,0,'Données projet'!$E$10+1,1))-AVERAGE(OFFSET($H$3,0,0,'Données projet'!$E$10+1,1))</f>
        <v>244.25841067424</v>
      </c>
      <c r="AO60" s="59">
        <f t="shared" si="36"/>
        <v>538.53312094474745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46.955155985027922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46.955155985027922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-0.99999999999988631</v>
      </c>
      <c r="O61" s="13">
        <f>N61*VLOOKUP('Données projet'!$B$9,Paramètres!$A$1:$I$89,3,0)*VLOOKUP('Données projet'!$B$9,Paramètres!$A$1:$I$89,5,0)</f>
        <v>-0.59799999999993203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201.32564399503951</v>
      </c>
      <c r="T61" s="59">
        <f t="shared" si="34"/>
        <v>347.89731545007157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88.572331387682254</v>
      </c>
      <c r="AA61" s="21">
        <f>EXP(-LN(2)/25)*AA60+(1-EXP(-LN(2)/25))/(LN(2)/25)*Calculateur!V61*Calculateur!X61*VLOOKUP('Données projet'!$B$9,Paramètres!$A$1:$I$89,3,0)*0.475*44/12</f>
        <v>53.310775691542766</v>
      </c>
      <c r="AB61" s="21">
        <f>EXP(-LN(2)/2)*AB60+(1-EXP(-LN(2)/2))/(LN(2)/2)*V61*Y61*VLOOKUP('Données projet'!$B$9,Paramètres!$A$1:$I$89,3,0)*0.475*44/12</f>
        <v>2.9054829836526239</v>
      </c>
      <c r="AC61" s="22">
        <f t="shared" si="3"/>
        <v>144.78859006287766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5.6843418860808015E-14</v>
      </c>
      <c r="AJ61" s="13">
        <f>AI61*VLOOKUP('Données projet'!$B$10,Paramètres!$A$1:$I$89,3,0)*VLOOKUP('Données projet'!$B$10,Paramètres!$A$1:$I$89,5,0)</f>
        <v>5.1431925385259088E-14</v>
      </c>
      <c r="AK61" s="13">
        <f t="shared" si="35"/>
        <v>8.3482866290946129E-13</v>
      </c>
      <c r="AL61" s="20">
        <f t="shared" si="4"/>
        <v>1.5435705246133045E-12</v>
      </c>
      <c r="AM61" s="59">
        <f t="shared" si="5"/>
        <v>293.33333333333485</v>
      </c>
      <c r="AN61" s="59">
        <f ca="1">AVERAGE(OFFSET($AM$3,0,0,'Données projet'!$E$10+1,1))-AVERAGE(OFFSET($H$3,0,0,'Données projet'!$E$10+1,1))</f>
        <v>244.25841067424</v>
      </c>
      <c r="AO61" s="59">
        <f t="shared" si="36"/>
        <v>538.53312094474745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46.034394015978727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46.034394015978727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-0.99999999999988631</v>
      </c>
      <c r="O62" s="13">
        <f>N62*VLOOKUP('Données projet'!$B$9,Paramètres!$A$1:$I$89,3,0)*VLOOKUP('Données projet'!$B$9,Paramètres!$A$1:$I$89,5,0)</f>
        <v>-0.59799999999993203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201.32564399503951</v>
      </c>
      <c r="T62" s="59">
        <f t="shared" si="34"/>
        <v>347.89731545007157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86.83548199295754</v>
      </c>
      <c r="AA62" s="21">
        <f>EXP(-LN(2)/25)*AA61+(1-EXP(-LN(2)/25))/(LN(2)/25)*Calculateur!V62*Calculateur!X62*VLOOKUP('Données projet'!$B$9,Paramètres!$A$1:$I$89,3,0)*0.475*44/12</f>
        <v>51.852989726765678</v>
      </c>
      <c r="AB62" s="21">
        <f>EXP(-LN(2)/2)*AB61+(1-EXP(-LN(2)/2))/(LN(2)/2)*V62*Y62*VLOOKUP('Données projet'!$B$9,Paramètres!$A$1:$I$89,3,0)*0.475*44/12</f>
        <v>2.0544867203628931</v>
      </c>
      <c r="AC62" s="22">
        <f t="shared" si="3"/>
        <v>140.74295844008611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5.6843418860808015E-14</v>
      </c>
      <c r="AJ62" s="13">
        <f>AI62*VLOOKUP('Données projet'!$B$10,Paramètres!$A$1:$I$89,3,0)*VLOOKUP('Données projet'!$B$10,Paramètres!$A$1:$I$89,5,0)</f>
        <v>5.1431925385259088E-14</v>
      </c>
      <c r="AK62" s="13">
        <f t="shared" si="35"/>
        <v>8.3482866290946129E-13</v>
      </c>
      <c r="AL62" s="20">
        <f t="shared" si="4"/>
        <v>1.5435705246133045E-12</v>
      </c>
      <c r="AM62" s="59">
        <f t="shared" si="5"/>
        <v>293.33333333333485</v>
      </c>
      <c r="AN62" s="59">
        <f ca="1">AVERAGE(OFFSET($AM$3,0,0,'Données projet'!$E$10+1,1))-AVERAGE(OFFSET($H$3,0,0,'Données projet'!$E$10+1,1))</f>
        <v>244.25841067424</v>
      </c>
      <c r="AO62" s="59">
        <f t="shared" si="36"/>
        <v>538.53312094474745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45.131687627533239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45.131687627533239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-0.99999999999988631</v>
      </c>
      <c r="O63" s="13">
        <f>N63*VLOOKUP('Données projet'!$B$9,Paramètres!$A$1:$I$89,3,0)*VLOOKUP('Données projet'!$B$9,Paramètres!$A$1:$I$89,5,0)</f>
        <v>-0.59799999999993203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201.32564399503951</v>
      </c>
      <c r="T63" s="59">
        <f t="shared" si="34"/>
        <v>347.89731545007157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85.132691155489852</v>
      </c>
      <c r="AA63" s="21">
        <f>EXP(-LN(2)/25)*AA62+(1-EXP(-LN(2)/25))/(LN(2)/25)*Calculateur!V63*Calculateur!X63*VLOOKUP('Données projet'!$B$9,Paramètres!$A$1:$I$89,3,0)*0.475*44/12</f>
        <v>50.435066995857049</v>
      </c>
      <c r="AB63" s="21">
        <f>EXP(-LN(2)/2)*AB62+(1-EXP(-LN(2)/2))/(LN(2)/2)*V63*Y63*VLOOKUP('Données projet'!$B$9,Paramètres!$A$1:$I$89,3,0)*0.475*44/12</f>
        <v>1.452741491826312</v>
      </c>
      <c r="AC63" s="22">
        <f t="shared" si="3"/>
        <v>137.02049964317322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5.6843418860808015E-14</v>
      </c>
      <c r="AJ63" s="13">
        <f>AI63*VLOOKUP('Données projet'!$B$10,Paramètres!$A$1:$I$89,3,0)*VLOOKUP('Données projet'!$B$10,Paramètres!$A$1:$I$89,5,0)</f>
        <v>5.1431925385259088E-14</v>
      </c>
      <c r="AK63" s="13">
        <f t="shared" si="35"/>
        <v>8.3482866290946129E-13</v>
      </c>
      <c r="AL63" s="20">
        <f t="shared" si="4"/>
        <v>1.5435705246133045E-12</v>
      </c>
      <c r="AM63" s="59">
        <f t="shared" si="5"/>
        <v>293.33333333333485</v>
      </c>
      <c r="AN63" s="59">
        <f ca="1">AVERAGE(OFFSET($AM$3,0,0,'Données projet'!$E$10+1,1))-AVERAGE(OFFSET($H$3,0,0,'Données projet'!$E$10+1,1))</f>
        <v>244.25841067424</v>
      </c>
      <c r="AO63" s="59">
        <f t="shared" si="36"/>
        <v>538.53312094474745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44.246682760768643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44.246682760768643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-0.99999999999988631</v>
      </c>
      <c r="O64" s="13">
        <f>N64*VLOOKUP('Données projet'!$B$9,Paramètres!$A$1:$I$89,3,0)*VLOOKUP('Données projet'!$B$9,Paramètres!$A$1:$I$89,5,0)</f>
        <v>-0.59799999999993203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201.32564399503951</v>
      </c>
      <c r="T64" s="59">
        <f t="shared" si="34"/>
        <v>347.89731545007157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83.463291007745056</v>
      </c>
      <c r="AA64" s="21">
        <f>EXP(-LN(2)/25)*AA63+(1-EXP(-LN(2)/25))/(LN(2)/25)*Calculateur!V64*Calculateur!X64*VLOOKUP('Données projet'!$B$9,Paramètres!$A$1:$I$89,3,0)*0.475*44/12</f>
        <v>49.055917436590434</v>
      </c>
      <c r="AB64" s="21">
        <f>EXP(-LN(2)/2)*AB63+(1-EXP(-LN(2)/2))/(LN(2)/2)*V64*Y64*VLOOKUP('Données projet'!$B$9,Paramètres!$A$1:$I$89,3,0)*0.475*44/12</f>
        <v>1.0272433601814466</v>
      </c>
      <c r="AC64" s="22">
        <f t="shared" si="3"/>
        <v>133.54645180451695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5.6843418860808015E-14</v>
      </c>
      <c r="AJ64" s="13">
        <f>AI64*VLOOKUP('Données projet'!$B$10,Paramètres!$A$1:$I$89,3,0)*VLOOKUP('Données projet'!$B$10,Paramètres!$A$1:$I$89,5,0)</f>
        <v>5.1431925385259088E-14</v>
      </c>
      <c r="AK64" s="13">
        <f t="shared" si="35"/>
        <v>8.3482866290946129E-13</v>
      </c>
      <c r="AL64" s="20">
        <f t="shared" si="4"/>
        <v>1.5435705246133045E-12</v>
      </c>
      <c r="AM64" s="59">
        <f t="shared" si="5"/>
        <v>293.33333333333485</v>
      </c>
      <c r="AN64" s="59">
        <f ca="1">AVERAGE(OFFSET($AM$3,0,0,'Données projet'!$E$10+1,1))-AVERAGE(OFFSET($H$3,0,0,'Données projet'!$E$10+1,1))</f>
        <v>244.25841067424</v>
      </c>
      <c r="AO64" s="59">
        <f t="shared" si="36"/>
        <v>538.53312094474745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43.379032299641629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43.379032299641629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-0.99999999999988631</v>
      </c>
      <c r="O65" s="13">
        <f>N65*VLOOKUP('Données projet'!$B$9,Paramètres!$A$1:$I$89,3,0)*VLOOKUP('Données projet'!$B$9,Paramètres!$A$1:$I$89,5,0)</f>
        <v>-0.59799999999993203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201.32564399503951</v>
      </c>
      <c r="T65" s="59">
        <f t="shared" si="34"/>
        <v>347.89731545007157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81.826626778663979</v>
      </c>
      <c r="AA65" s="21">
        <f>EXP(-LN(2)/25)*AA64+(1-EXP(-LN(2)/25))/(LN(2)/25)*Calculateur!V65*Calculateur!X65*VLOOKUP('Données projet'!$B$9,Paramètres!$A$1:$I$89,3,0)*0.475*44/12</f>
        <v>47.714480794548287</v>
      </c>
      <c r="AB65" s="21">
        <f>EXP(-LN(2)/2)*AB64+(1-EXP(-LN(2)/2))/(LN(2)/2)*V65*Y65*VLOOKUP('Données projet'!$B$9,Paramètres!$A$1:$I$89,3,0)*0.475*44/12</f>
        <v>0.72637074591315598</v>
      </c>
      <c r="AC65" s="22">
        <f t="shared" si="3"/>
        <v>130.26747831912542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5.6843418860808015E-14</v>
      </c>
      <c r="AJ65" s="13">
        <f>AI65*VLOOKUP('Données projet'!$B$10,Paramètres!$A$1:$I$89,3,0)*VLOOKUP('Données projet'!$B$10,Paramètres!$A$1:$I$89,5,0)</f>
        <v>5.1431925385259088E-14</v>
      </c>
      <c r="AK65" s="13">
        <f t="shared" si="35"/>
        <v>8.3482866290946129E-13</v>
      </c>
      <c r="AL65" s="20">
        <f t="shared" si="4"/>
        <v>1.5435705246133045E-12</v>
      </c>
      <c r="AM65" s="59">
        <f t="shared" si="5"/>
        <v>293.33333333333485</v>
      </c>
      <c r="AN65" s="59">
        <f ca="1">AVERAGE(OFFSET($AM$3,0,0,'Données projet'!$E$10+1,1))-AVERAGE(OFFSET($H$3,0,0,'Données projet'!$E$10+1,1))</f>
        <v>244.25841067424</v>
      </c>
      <c r="AO65" s="59">
        <f t="shared" si="36"/>
        <v>538.53312094474745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42.528395934842791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42.528395934842791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-0.99999999999988631</v>
      </c>
      <c r="O66" s="13">
        <f>N66*VLOOKUP('Données projet'!$B$9,Paramètres!$A$1:$I$89,3,0)*VLOOKUP('Données projet'!$B$9,Paramètres!$A$1:$I$89,5,0)</f>
        <v>-0.59799999999993203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201.32564399503951</v>
      </c>
      <c r="T66" s="59">
        <f t="shared" si="34"/>
        <v>347.89731545007157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80.222056536848584</v>
      </c>
      <c r="AA66" s="21">
        <f>EXP(-LN(2)/25)*AA65+(1-EXP(-LN(2)/25))/(LN(2)/25)*Calculateur!V66*Calculateur!X66*VLOOKUP('Données projet'!$B$9,Paramètres!$A$1:$I$89,3,0)*0.475*44/12</f>
        <v>46.409725808025868</v>
      </c>
      <c r="AB66" s="21">
        <f>EXP(-LN(2)/2)*AB65+(1-EXP(-LN(2)/2))/(LN(2)/2)*V66*Y66*VLOOKUP('Données projet'!$B$9,Paramètres!$A$1:$I$89,3,0)*0.475*44/12</f>
        <v>0.51362168009072329</v>
      </c>
      <c r="AC66" s="22">
        <f t="shared" si="3"/>
        <v>127.14540402496517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5.6843418860808015E-14</v>
      </c>
      <c r="AJ66" s="13">
        <f>AI66*VLOOKUP('Données projet'!$B$10,Paramètres!$A$1:$I$89,3,0)*VLOOKUP('Données projet'!$B$10,Paramètres!$A$1:$I$89,5,0)</f>
        <v>5.1431925385259088E-14</v>
      </c>
      <c r="AK66" s="13">
        <f t="shared" si="35"/>
        <v>8.3482866290946129E-13</v>
      </c>
      <c r="AL66" s="20">
        <f t="shared" si="4"/>
        <v>1.5435705246133045E-12</v>
      </c>
      <c r="AM66" s="59">
        <f t="shared" si="5"/>
        <v>293.33333333333485</v>
      </c>
      <c r="AN66" s="59">
        <f ca="1">AVERAGE(OFFSET($AM$3,0,0,'Données projet'!$E$10+1,1))-AVERAGE(OFFSET($H$3,0,0,'Données projet'!$E$10+1,1))</f>
        <v>244.25841067424</v>
      </c>
      <c r="AO66" s="59">
        <f t="shared" si="36"/>
        <v>538.53312094474745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41.694440030320706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41.694440030320706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-0.99999999999988631</v>
      </c>
      <c r="O67" s="13">
        <f>N67*VLOOKUP('Données projet'!$B$9,Paramètres!$A$1:$I$89,3,0)*VLOOKUP('Données projet'!$B$9,Paramètres!$A$1:$I$89,5,0)</f>
        <v>-0.59799999999993203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201.32564399503951</v>
      </c>
      <c r="T67" s="59">
        <f t="shared" si="34"/>
        <v>347.89731545007157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78.648950938783969</v>
      </c>
      <c r="AA67" s="21">
        <f>EXP(-LN(2)/25)*AA66+(1-EXP(-LN(2)/25))/(LN(2)/25)*Calculateur!V67*Calculateur!X67*VLOOKUP('Données projet'!$B$9,Paramètres!$A$1:$I$89,3,0)*0.475*44/12</f>
        <v>45.14064941522399</v>
      </c>
      <c r="AB67" s="21">
        <f>EXP(-LN(2)/2)*AB66+(1-EXP(-LN(2)/2))/(LN(2)/2)*V67*Y67*VLOOKUP('Données projet'!$B$9,Paramètres!$A$1:$I$89,3,0)*0.475*44/12</f>
        <v>0.36318537295657799</v>
      </c>
      <c r="AC67" s="22">
        <f t="shared" si="3"/>
        <v>124.15278572696454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5.6843418860808015E-14</v>
      </c>
      <c r="AJ67" s="13">
        <f>AI67*VLOOKUP('Données projet'!$B$10,Paramètres!$A$1:$I$89,3,0)*VLOOKUP('Données projet'!$B$10,Paramètres!$A$1:$I$89,5,0)</f>
        <v>5.1431925385259088E-14</v>
      </c>
      <c r="AK67" s="13">
        <f t="shared" si="35"/>
        <v>8.3482866290946129E-13</v>
      </c>
      <c r="AL67" s="20">
        <f t="shared" si="4"/>
        <v>1.5435705246133045E-12</v>
      </c>
      <c r="AM67" s="59">
        <f t="shared" si="5"/>
        <v>293.33333333333485</v>
      </c>
      <c r="AN67" s="59">
        <f ca="1">AVERAGE(OFFSET($AM$3,0,0,'Données projet'!$E$10+1,1))-AVERAGE(OFFSET($H$3,0,0,'Données projet'!$E$10+1,1))</f>
        <v>244.25841067424</v>
      </c>
      <c r="AO67" s="59">
        <f t="shared" si="36"/>
        <v>538.53312094474745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40.876837492423427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40.876837492423427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-0.99999999999988631</v>
      </c>
      <c r="O68" s="13">
        <f>N68*VLOOKUP('Données projet'!$B$9,Paramètres!$A$1:$I$89,3,0)*VLOOKUP('Données projet'!$B$9,Paramètres!$A$1:$I$89,5,0)</f>
        <v>-0.59799999999993203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201.32564399503951</v>
      </c>
      <c r="T68" s="59">
        <f t="shared" si="34"/>
        <v>347.89731545007157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77.106692981997739</v>
      </c>
      <c r="AA68" s="21">
        <f>EXP(-LN(2)/25)*AA67+(1-EXP(-LN(2)/25))/(LN(2)/25)*Calculateur!V68*Calculateur!X68*VLOOKUP('Données projet'!$B$9,Paramètres!$A$1:$I$89,3,0)*0.475*44/12</f>
        <v>43.906275983121105</v>
      </c>
      <c r="AB68" s="21">
        <f>EXP(-LN(2)/2)*AB67+(1-EXP(-LN(2)/2))/(LN(2)/2)*V68*Y68*VLOOKUP('Données projet'!$B$9,Paramètres!$A$1:$I$89,3,0)*0.475*44/12</f>
        <v>0.25681084004536164</v>
      </c>
      <c r="AC68" s="22">
        <f t="shared" ref="AC68:AC131" si="57">SUM(Z68:AB68)</f>
        <v>121.26977980516421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5.6843418860808015E-14</v>
      </c>
      <c r="AJ68" s="13">
        <f>AI68*VLOOKUP('Données projet'!$B$10,Paramètres!$A$1:$I$89,3,0)*VLOOKUP('Données projet'!$B$10,Paramètres!$A$1:$I$89,5,0)</f>
        <v>5.1431925385259088E-14</v>
      </c>
      <c r="AK68" s="13">
        <f t="shared" si="35"/>
        <v>8.3482866290946129E-13</v>
      </c>
      <c r="AL68" s="20">
        <f t="shared" ref="AL68:AL131" si="58">(AJ68+AK68)*0.475*44/12</f>
        <v>1.5435705246133045E-12</v>
      </c>
      <c r="AM68" s="59">
        <f t="shared" ref="AM68:AM131" si="59">AL68+(AD68+AE68)*44/12</f>
        <v>293.33333333333485</v>
      </c>
      <c r="AN68" s="59">
        <f ca="1">AVERAGE(OFFSET($AM$3,0,0,'Données projet'!$E$10+1,1))-AVERAGE(OFFSET($H$3,0,0,'Données projet'!$E$10+1,1))</f>
        <v>244.25841067424</v>
      </c>
      <c r="AO68" s="59">
        <f t="shared" si="36"/>
        <v>538.53312094474745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40.075267641606004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40.075267641606004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-0.99999999999988631</v>
      </c>
      <c r="O69" s="13">
        <f>N69*VLOOKUP('Données projet'!$B$9,Paramètres!$A$1:$I$89,3,0)*VLOOKUP('Données projet'!$B$9,Paramètres!$A$1:$I$89,5,0)</f>
        <v>-0.59799999999993203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201.32564399503951</v>
      </c>
      <c r="T69" s="59">
        <f t="shared" ref="T69:T132" si="88">$T$3</f>
        <v>347.89731545007157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75.594677763059607</v>
      </c>
      <c r="AA69" s="21">
        <f>EXP(-LN(2)/25)*AA68+(1-EXP(-LN(2)/25))/(LN(2)/25)*Calculateur!V69*Calculateur!X69*VLOOKUP('Données projet'!$B$9,Paramètres!$A$1:$I$89,3,0)*0.475*44/12</f>
        <v>42.705656557431951</v>
      </c>
      <c r="AB69" s="21">
        <f>EXP(-LN(2)/2)*AB68+(1-EXP(-LN(2)/2))/(LN(2)/2)*V69*Y69*VLOOKUP('Données projet'!$B$9,Paramètres!$A$1:$I$89,3,0)*0.475*44/12</f>
        <v>0.18159268647828899</v>
      </c>
      <c r="AC69" s="22">
        <f t="shared" si="57"/>
        <v>118.48192700696984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5.6843418860808015E-14</v>
      </c>
      <c r="AJ69" s="13">
        <f>AI69*VLOOKUP('Données projet'!$B$10,Paramètres!$A$1:$I$89,3,0)*VLOOKUP('Données projet'!$B$10,Paramètres!$A$1:$I$89,5,0)</f>
        <v>5.1431925385259088E-14</v>
      </c>
      <c r="AK69" s="13">
        <f t="shared" ref="AK69:AK132" si="89">EXP(-1.0587+0.8836*LN(AJ69)+0.284)</f>
        <v>8.3482866290946129E-13</v>
      </c>
      <c r="AL69" s="20">
        <f t="shared" si="58"/>
        <v>1.5435705246133045E-12</v>
      </c>
      <c r="AM69" s="59">
        <f t="shared" si="59"/>
        <v>293.33333333333485</v>
      </c>
      <c r="AN69" s="59">
        <f ca="1">AVERAGE(OFFSET($AM$3,0,0,'Données projet'!$E$10+1,1))-AVERAGE(OFFSET($H$3,0,0,'Données projet'!$E$10+1,1))</f>
        <v>244.25841067424</v>
      </c>
      <c r="AO69" s="59">
        <f t="shared" ref="AO69:AO132" si="90">$AO$3</f>
        <v>538.53312094474745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39.289416086653773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39.289416086653773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-0.99999999999988631</v>
      </c>
      <c r="O70" s="13">
        <f>N70*VLOOKUP('Données projet'!$B$9,Paramètres!$A$1:$I$89,3,0)*VLOOKUP('Données projet'!$B$9,Paramètres!$A$1:$I$89,5,0)</f>
        <v>-0.59799999999993203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201.32564399503951</v>
      </c>
      <c r="T70" s="59">
        <f t="shared" si="88"/>
        <v>347.89731545007157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74.112312240326631</v>
      </c>
      <c r="AA70" s="21">
        <f>EXP(-LN(2)/25)*AA69+(1-EXP(-LN(2)/25))/(LN(2)/25)*Calculateur!V70*Calculateur!X70*VLOOKUP('Données projet'!$B$9,Paramètres!$A$1:$I$89,3,0)*0.475*44/12</f>
        <v>41.537868133076103</v>
      </c>
      <c r="AB70" s="21">
        <f>EXP(-LN(2)/2)*AB69+(1-EXP(-LN(2)/2))/(LN(2)/2)*V70*Y70*VLOOKUP('Données projet'!$B$9,Paramètres!$A$1:$I$89,3,0)*0.475*44/12</f>
        <v>0.12840542002268082</v>
      </c>
      <c r="AC70" s="22">
        <f t="shared" si="57"/>
        <v>115.77858579342542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5.6843418860808015E-14</v>
      </c>
      <c r="AJ70" s="13">
        <f>AI70*VLOOKUP('Données projet'!$B$10,Paramètres!$A$1:$I$89,3,0)*VLOOKUP('Données projet'!$B$10,Paramètres!$A$1:$I$89,5,0)</f>
        <v>5.1431925385259088E-14</v>
      </c>
      <c r="AK70" s="13">
        <f t="shared" si="89"/>
        <v>8.3482866290946129E-13</v>
      </c>
      <c r="AL70" s="20">
        <f t="shared" si="58"/>
        <v>1.5435705246133045E-12</v>
      </c>
      <c r="AM70" s="59">
        <f t="shared" si="59"/>
        <v>293.33333333333485</v>
      </c>
      <c r="AN70" s="59">
        <f ca="1">AVERAGE(OFFSET($AM$3,0,0,'Données projet'!$E$10+1,1))-AVERAGE(OFFSET($H$3,0,0,'Données projet'!$E$10+1,1))</f>
        <v>244.25841067424</v>
      </c>
      <c r="AO70" s="59">
        <f t="shared" si="90"/>
        <v>538.53312094474745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38.518974601372037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38.518974601372037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-0.99999999999988631</v>
      </c>
      <c r="O71" s="13">
        <f>N71*VLOOKUP('Données projet'!$B$9,Paramètres!$A$1:$I$89,3,0)*VLOOKUP('Données projet'!$B$9,Paramètres!$A$1:$I$89,5,0)</f>
        <v>-0.59799999999993203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201.32564399503951</v>
      </c>
      <c r="T71" s="59">
        <f t="shared" si="88"/>
        <v>347.89731545007157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72.659015001340762</v>
      </c>
      <c r="AA71" s="21">
        <f>EXP(-LN(2)/25)*AA70+(1-EXP(-LN(2)/25))/(LN(2)/25)*Calculateur!V71*Calculateur!X71*VLOOKUP('Données projet'!$B$9,Paramètres!$A$1:$I$89,3,0)*0.475*44/12</f>
        <v>40.40201294459559</v>
      </c>
      <c r="AB71" s="21">
        <f>EXP(-LN(2)/2)*AB70+(1-EXP(-LN(2)/2))/(LN(2)/2)*V71*Y71*VLOOKUP('Données projet'!$B$9,Paramètres!$A$1:$I$89,3,0)*0.475*44/12</f>
        <v>9.0796343239144497E-2</v>
      </c>
      <c r="AC71" s="22">
        <f t="shared" si="57"/>
        <v>113.15182428917551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5.6843418860808015E-14</v>
      </c>
      <c r="AJ71" s="13">
        <f>AI71*VLOOKUP('Données projet'!$B$10,Paramètres!$A$1:$I$89,3,0)*VLOOKUP('Données projet'!$B$10,Paramètres!$A$1:$I$89,5,0)</f>
        <v>5.1431925385259088E-14</v>
      </c>
      <c r="AK71" s="13">
        <f t="shared" si="89"/>
        <v>8.3482866290946129E-13</v>
      </c>
      <c r="AL71" s="20">
        <f t="shared" si="58"/>
        <v>1.5435705246133045E-12</v>
      </c>
      <c r="AM71" s="59">
        <f t="shared" si="59"/>
        <v>293.33333333333485</v>
      </c>
      <c r="AN71" s="59">
        <f ca="1">AVERAGE(OFFSET($AM$3,0,0,'Données projet'!$E$10+1,1))-AVERAGE(OFFSET($H$3,0,0,'Données projet'!$E$10+1,1))</f>
        <v>244.25841067424</v>
      </c>
      <c r="AO71" s="59">
        <f t="shared" si="90"/>
        <v>538.53312094474745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37.76364100369377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37.76364100369377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-0.99999999999988631</v>
      </c>
      <c r="O72" s="13">
        <f>N72*VLOOKUP('Données projet'!$B$9,Paramètres!$A$1:$I$89,3,0)*VLOOKUP('Données projet'!$B$9,Paramètres!$A$1:$I$89,5,0)</f>
        <v>-0.59799999999993203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201.32564399503951</v>
      </c>
      <c r="T72" s="59">
        <f t="shared" si="88"/>
        <v>347.89731545007157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71.234216034787622</v>
      </c>
      <c r="AA72" s="21">
        <f>EXP(-LN(2)/25)*AA71+(1-EXP(-LN(2)/25))/(LN(2)/25)*Calculateur!V72*Calculateur!X72*VLOOKUP('Données projet'!$B$9,Paramètres!$A$1:$I$89,3,0)*0.475*44/12</f>
        <v>39.297217775976101</v>
      </c>
      <c r="AB72" s="21">
        <f>EXP(-LN(2)/2)*AB71+(1-EXP(-LN(2)/2))/(LN(2)/2)*V72*Y72*VLOOKUP('Données projet'!$B$9,Paramètres!$A$1:$I$89,3,0)*0.475*44/12</f>
        <v>6.4202710011340411E-2</v>
      </c>
      <c r="AC72" s="22">
        <f t="shared" si="57"/>
        <v>110.59563652077507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5.6843418860808015E-14</v>
      </c>
      <c r="AJ72" s="13">
        <f>AI72*VLOOKUP('Données projet'!$B$10,Paramètres!$A$1:$I$89,3,0)*VLOOKUP('Données projet'!$B$10,Paramètres!$A$1:$I$89,5,0)</f>
        <v>5.1431925385259088E-14</v>
      </c>
      <c r="AK72" s="13">
        <f t="shared" si="89"/>
        <v>8.3482866290946129E-13</v>
      </c>
      <c r="AL72" s="20">
        <f t="shared" si="58"/>
        <v>1.5435705246133045E-12</v>
      </c>
      <c r="AM72" s="59">
        <f t="shared" si="59"/>
        <v>293.33333333333485</v>
      </c>
      <c r="AN72" s="59">
        <f ca="1">AVERAGE(OFFSET($AM$3,0,0,'Données projet'!$E$10+1,1))-AVERAGE(OFFSET($H$3,0,0,'Données projet'!$E$10+1,1))</f>
        <v>244.25841067424</v>
      </c>
      <c r="AO72" s="59">
        <f t="shared" si="90"/>
        <v>538.53312094474745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37.023119037157976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37.023119037157976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-0.99999999999988631</v>
      </c>
      <c r="O73" s="13">
        <f>N73*VLOOKUP('Données projet'!$B$9,Paramètres!$A$1:$I$89,3,0)*VLOOKUP('Données projet'!$B$9,Paramètres!$A$1:$I$89,5,0)</f>
        <v>-0.59799999999993203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201.32564399503951</v>
      </c>
      <c r="T73" s="59">
        <f t="shared" si="88"/>
        <v>347.89731545007157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69.837356506927023</v>
      </c>
      <c r="AA73" s="21">
        <f>EXP(-LN(2)/25)*AA72+(1-EXP(-LN(2)/25))/(LN(2)/25)*Calculateur!V73*Calculateur!X73*VLOOKUP('Données projet'!$B$9,Paramètres!$A$1:$I$89,3,0)*0.475*44/12</f>
        <v>38.222633289341168</v>
      </c>
      <c r="AB73" s="21">
        <f>EXP(-LN(2)/2)*AB72+(1-EXP(-LN(2)/2))/(LN(2)/2)*V73*Y73*VLOOKUP('Données projet'!$B$9,Paramètres!$A$1:$I$89,3,0)*0.475*44/12</f>
        <v>4.5398171619572249E-2</v>
      </c>
      <c r="AC73" s="22">
        <f t="shared" si="57"/>
        <v>108.10538796788775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5.6843418860808015E-14</v>
      </c>
      <c r="AJ73" s="13">
        <f>AI73*VLOOKUP('Données projet'!$B$10,Paramètres!$A$1:$I$89,3,0)*VLOOKUP('Données projet'!$B$10,Paramètres!$A$1:$I$89,5,0)</f>
        <v>5.1431925385259088E-14</v>
      </c>
      <c r="AK73" s="13">
        <f t="shared" si="89"/>
        <v>8.3482866290946129E-13</v>
      </c>
      <c r="AL73" s="20">
        <f t="shared" si="58"/>
        <v>1.5435705246133045E-12</v>
      </c>
      <c r="AM73" s="59">
        <f t="shared" si="59"/>
        <v>293.33333333333485</v>
      </c>
      <c r="AN73" s="59">
        <f ca="1">AVERAGE(OFFSET($AM$3,0,0,'Données projet'!$E$10+1,1))-AVERAGE(OFFSET($H$3,0,0,'Données projet'!$E$10+1,1))</f>
        <v>244.25841067424</v>
      </c>
      <c r="AO73" s="59">
        <f t="shared" si="90"/>
        <v>538.53312094474745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36.297118254712146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36.297118254712146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-0.99999999999988631</v>
      </c>
      <c r="O74" s="13">
        <f>N74*VLOOKUP('Données projet'!$B$9,Paramètres!$A$1:$I$89,3,0)*VLOOKUP('Données projet'!$B$9,Paramètres!$A$1:$I$89,5,0)</f>
        <v>-0.59799999999993203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201.32564399503951</v>
      </c>
      <c r="T74" s="59">
        <f t="shared" si="88"/>
        <v>347.89731545007157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68.467888542407593</v>
      </c>
      <c r="AA74" s="21">
        <f>EXP(-LN(2)/25)*AA73+(1-EXP(-LN(2)/25))/(LN(2)/25)*Calculateur!V74*Calculateur!X74*VLOOKUP('Données projet'!$B$9,Paramètres!$A$1:$I$89,3,0)*0.475*44/12</f>
        <v>37.177433372003208</v>
      </c>
      <c r="AB74" s="21">
        <f>EXP(-LN(2)/2)*AB73+(1-EXP(-LN(2)/2))/(LN(2)/2)*V74*Y74*VLOOKUP('Données projet'!$B$9,Paramètres!$A$1:$I$89,3,0)*0.475*44/12</f>
        <v>3.2101355005670205E-2</v>
      </c>
      <c r="AC74" s="22">
        <f t="shared" si="57"/>
        <v>105.67742326941647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5.6843418860808015E-14</v>
      </c>
      <c r="AJ74" s="13">
        <f>AI74*VLOOKUP('Données projet'!$B$10,Paramètres!$A$1:$I$89,3,0)*VLOOKUP('Données projet'!$B$10,Paramètres!$A$1:$I$89,5,0)</f>
        <v>5.1431925385259088E-14</v>
      </c>
      <c r="AK74" s="13">
        <f t="shared" si="89"/>
        <v>8.3482866290946129E-13</v>
      </c>
      <c r="AL74" s="20">
        <f t="shared" si="58"/>
        <v>1.5435705246133045E-12</v>
      </c>
      <c r="AM74" s="59">
        <f t="shared" si="59"/>
        <v>293.33333333333485</v>
      </c>
      <c r="AN74" s="59">
        <f ca="1">AVERAGE(OFFSET($AM$3,0,0,'Données projet'!$E$10+1,1))-AVERAGE(OFFSET($H$3,0,0,'Données projet'!$E$10+1,1))</f>
        <v>244.25841067424</v>
      </c>
      <c r="AO74" s="59">
        <f t="shared" si="90"/>
        <v>538.53312094474745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35.585353904793322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35.585353904793322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-0.99999999999988631</v>
      </c>
      <c r="O75" s="13">
        <f>N75*VLOOKUP('Données projet'!$B$9,Paramètres!$A$1:$I$89,3,0)*VLOOKUP('Données projet'!$B$9,Paramètres!$A$1:$I$89,5,0)</f>
        <v>-0.59799999999993203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201.32564399503951</v>
      </c>
      <c r="T75" s="59">
        <f t="shared" si="88"/>
        <v>347.89731545007157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67.125275009379408</v>
      </c>
      <c r="AA75" s="21">
        <f>EXP(-LN(2)/25)*AA74+(1-EXP(-LN(2)/25))/(LN(2)/25)*Calculateur!V75*Calculateur!X75*VLOOKUP('Données projet'!$B$9,Paramètres!$A$1:$I$89,3,0)*0.475*44/12</f>
        <v>36.160814501369529</v>
      </c>
      <c r="AB75" s="21">
        <f>EXP(-LN(2)/2)*AB74+(1-EXP(-LN(2)/2))/(LN(2)/2)*V75*Y75*VLOOKUP('Données projet'!$B$9,Paramètres!$A$1:$I$89,3,0)*0.475*44/12</f>
        <v>2.2699085809786124E-2</v>
      </c>
      <c r="AC75" s="22">
        <f t="shared" si="57"/>
        <v>103.30878859655873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5.6843418860808015E-14</v>
      </c>
      <c r="AJ75" s="13">
        <f>AI75*VLOOKUP('Données projet'!$B$10,Paramètres!$A$1:$I$89,3,0)*VLOOKUP('Données projet'!$B$10,Paramètres!$A$1:$I$89,5,0)</f>
        <v>5.1431925385259088E-14</v>
      </c>
      <c r="AK75" s="13">
        <f t="shared" si="89"/>
        <v>8.3482866290946129E-13</v>
      </c>
      <c r="AL75" s="20">
        <f t="shared" si="58"/>
        <v>1.5435705246133045E-12</v>
      </c>
      <c r="AM75" s="59">
        <f t="shared" si="59"/>
        <v>293.33333333333485</v>
      </c>
      <c r="AN75" s="59">
        <f ca="1">AVERAGE(OFFSET($AM$3,0,0,'Données projet'!$E$10+1,1))-AVERAGE(OFFSET($H$3,0,0,'Données projet'!$E$10+1,1))</f>
        <v>244.25841067424</v>
      </c>
      <c r="AO75" s="59">
        <f t="shared" si="90"/>
        <v>538.53312094474745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34.887546819643028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34.887546819643028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-0.99999999999988631</v>
      </c>
      <c r="O76" s="13">
        <f>N76*VLOOKUP('Données projet'!$B$9,Paramètres!$A$1:$I$89,3,0)*VLOOKUP('Données projet'!$B$9,Paramètres!$A$1:$I$89,5,0)</f>
        <v>-0.59799999999993203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201.32564399503951</v>
      </c>
      <c r="T76" s="59">
        <f t="shared" si="88"/>
        <v>347.89731545007157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65.808989308820514</v>
      </c>
      <c r="AA76" s="21">
        <f>EXP(-LN(2)/25)*AA75+(1-EXP(-LN(2)/25))/(LN(2)/25)*Calculateur!V76*Calculateur!X76*VLOOKUP('Données projet'!$B$9,Paramètres!$A$1:$I$89,3,0)*0.475*44/12</f>
        <v>35.171995127214991</v>
      </c>
      <c r="AB76" s="21">
        <f>EXP(-LN(2)/2)*AB75+(1-EXP(-LN(2)/2))/(LN(2)/2)*V76*Y76*VLOOKUP('Données projet'!$B$9,Paramètres!$A$1:$I$89,3,0)*0.475*44/12</f>
        <v>1.6050677502835103E-2</v>
      </c>
      <c r="AC76" s="22">
        <f t="shared" si="57"/>
        <v>100.99703511353833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5.6843418860808015E-14</v>
      </c>
      <c r="AJ76" s="13">
        <f>AI76*VLOOKUP('Données projet'!$B$10,Paramètres!$A$1:$I$89,3,0)*VLOOKUP('Données projet'!$B$10,Paramètres!$A$1:$I$89,5,0)</f>
        <v>5.1431925385259088E-14</v>
      </c>
      <c r="AK76" s="13">
        <f t="shared" si="89"/>
        <v>8.3482866290946129E-13</v>
      </c>
      <c r="AL76" s="20">
        <f t="shared" si="58"/>
        <v>1.5435705246133045E-12</v>
      </c>
      <c r="AM76" s="59">
        <f t="shared" si="59"/>
        <v>293.33333333333485</v>
      </c>
      <c r="AN76" s="59">
        <f ca="1">AVERAGE(OFFSET($AM$3,0,0,'Données projet'!$E$10+1,1))-AVERAGE(OFFSET($H$3,0,0,'Données projet'!$E$10+1,1))</f>
        <v>244.25841067424</v>
      </c>
      <c r="AO76" s="59">
        <f t="shared" si="90"/>
        <v>538.53312094474745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34.20342330581223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34.20342330581223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-0.99999999999988631</v>
      </c>
      <c r="O77" s="13">
        <f>N77*VLOOKUP('Données projet'!$B$9,Paramètres!$A$1:$I$89,3,0)*VLOOKUP('Données projet'!$B$9,Paramètres!$A$1:$I$89,5,0)</f>
        <v>-0.59799999999993203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201.32564399503951</v>
      </c>
      <c r="T77" s="59">
        <f t="shared" si="88"/>
        <v>347.89731545007157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64.518515167994579</v>
      </c>
      <c r="AA77" s="21">
        <f>EXP(-LN(2)/25)*AA76+(1-EXP(-LN(2)/25))/(LN(2)/25)*Calculateur!V77*Calculateur!X77*VLOOKUP('Données projet'!$B$9,Paramètres!$A$1:$I$89,3,0)*0.475*44/12</f>
        <v>34.210215070846459</v>
      </c>
      <c r="AB77" s="21">
        <f>EXP(-LN(2)/2)*AB76+(1-EXP(-LN(2)/2))/(LN(2)/2)*V77*Y77*VLOOKUP('Données projet'!$B$9,Paramètres!$A$1:$I$89,3,0)*0.475*44/12</f>
        <v>1.1349542904893062E-2</v>
      </c>
      <c r="AC77" s="22">
        <f t="shared" si="57"/>
        <v>98.740079781745933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5.6843418860808015E-14</v>
      </c>
      <c r="AJ77" s="13">
        <f>AI77*VLOOKUP('Données projet'!$B$10,Paramètres!$A$1:$I$89,3,0)*VLOOKUP('Données projet'!$B$10,Paramètres!$A$1:$I$89,5,0)</f>
        <v>5.1431925385259088E-14</v>
      </c>
      <c r="AK77" s="13">
        <f t="shared" si="89"/>
        <v>8.3482866290946129E-13</v>
      </c>
      <c r="AL77" s="20">
        <f t="shared" si="58"/>
        <v>1.5435705246133045E-12</v>
      </c>
      <c r="AM77" s="59">
        <f t="shared" si="59"/>
        <v>293.33333333333485</v>
      </c>
      <c r="AN77" s="59">
        <f ca="1">AVERAGE(OFFSET($AM$3,0,0,'Données projet'!$E$10+1,1))-AVERAGE(OFFSET($H$3,0,0,'Données projet'!$E$10+1,1))</f>
        <v>244.25841067424</v>
      </c>
      <c r="AO77" s="59">
        <f t="shared" si="90"/>
        <v>538.53312094474745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33.532715036813514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33.532715036813514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-0.99999999999988631</v>
      </c>
      <c r="O78" s="13">
        <f>N78*VLOOKUP('Données projet'!$B$9,Paramètres!$A$1:$I$89,3,0)*VLOOKUP('Données projet'!$B$9,Paramètres!$A$1:$I$89,5,0)</f>
        <v>-0.59799999999993203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201.32564399503951</v>
      </c>
      <c r="T78" s="59">
        <f t="shared" si="88"/>
        <v>347.89731545007157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63.253346437958733</v>
      </c>
      <c r="AA78" s="21">
        <f>EXP(-LN(2)/25)*AA77+(1-EXP(-LN(2)/25))/(LN(2)/25)*Calculateur!V78*Calculateur!X78*VLOOKUP('Données projet'!$B$9,Paramètres!$A$1:$I$89,3,0)*0.475*44/12</f>
        <v>33.274734940697144</v>
      </c>
      <c r="AB78" s="21">
        <f>EXP(-LN(2)/2)*AB77+(1-EXP(-LN(2)/2))/(LN(2)/2)*V78*Y78*VLOOKUP('Données projet'!$B$9,Paramètres!$A$1:$I$89,3,0)*0.475*44/12</f>
        <v>8.0253387514175514E-3</v>
      </c>
      <c r="AC78" s="22">
        <f t="shared" si="57"/>
        <v>96.536106717407307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5.6843418860808015E-14</v>
      </c>
      <c r="AJ78" s="13">
        <f>AI78*VLOOKUP('Données projet'!$B$10,Paramètres!$A$1:$I$89,3,0)*VLOOKUP('Données projet'!$B$10,Paramètres!$A$1:$I$89,5,0)</f>
        <v>5.1431925385259088E-14</v>
      </c>
      <c r="AK78" s="13">
        <f t="shared" si="89"/>
        <v>8.3482866290946129E-13</v>
      </c>
      <c r="AL78" s="20">
        <f t="shared" si="58"/>
        <v>1.5435705246133045E-12</v>
      </c>
      <c r="AM78" s="59">
        <f t="shared" si="59"/>
        <v>293.33333333333485</v>
      </c>
      <c r="AN78" s="59">
        <f ca="1">AVERAGE(OFFSET($AM$3,0,0,'Données projet'!$E$10+1,1))-AVERAGE(OFFSET($H$3,0,0,'Données projet'!$E$10+1,1))</f>
        <v>244.25841067424</v>
      </c>
      <c r="AO78" s="59">
        <f t="shared" si="90"/>
        <v>538.53312094474745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32.875158947878212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32.875158947878212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-0.99999999999988631</v>
      </c>
      <c r="O79" s="13">
        <f>N79*VLOOKUP('Données projet'!$B$9,Paramètres!$A$1:$I$89,3,0)*VLOOKUP('Données projet'!$B$9,Paramètres!$A$1:$I$89,5,0)</f>
        <v>-0.59799999999993203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201.32564399503951</v>
      </c>
      <c r="T79" s="59">
        <f t="shared" si="88"/>
        <v>347.89731545007157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62.012986895042161</v>
      </c>
      <c r="AA79" s="21">
        <f>EXP(-LN(2)/25)*AA78+(1-EXP(-LN(2)/25))/(LN(2)/25)*Calculateur!V79*Calculateur!X79*VLOOKUP('Données projet'!$B$9,Paramètres!$A$1:$I$89,3,0)*0.475*44/12</f>
        <v>32.364835563901522</v>
      </c>
      <c r="AB79" s="21">
        <f>EXP(-LN(2)/2)*AB78+(1-EXP(-LN(2)/2))/(LN(2)/2)*V79*Y79*VLOOKUP('Données projet'!$B$9,Paramètres!$A$1:$I$89,3,0)*0.475*44/12</f>
        <v>5.6747714524465311E-3</v>
      </c>
      <c r="AC79" s="22">
        <f t="shared" si="57"/>
        <v>94.383497230396131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5.6843418860808015E-14</v>
      </c>
      <c r="AJ79" s="13">
        <f>AI79*VLOOKUP('Données projet'!$B$10,Paramètres!$A$1:$I$89,3,0)*VLOOKUP('Données projet'!$B$10,Paramètres!$A$1:$I$89,5,0)</f>
        <v>5.1431925385259088E-14</v>
      </c>
      <c r="AK79" s="13">
        <f t="shared" si="89"/>
        <v>8.3482866290946129E-13</v>
      </c>
      <c r="AL79" s="20">
        <f t="shared" si="58"/>
        <v>1.5435705246133045E-12</v>
      </c>
      <c r="AM79" s="59">
        <f t="shared" si="59"/>
        <v>293.33333333333485</v>
      </c>
      <c r="AN79" s="59">
        <f ca="1">AVERAGE(OFFSET($AM$3,0,0,'Données projet'!$E$10+1,1))-AVERAGE(OFFSET($H$3,0,0,'Données projet'!$E$10+1,1))</f>
        <v>244.25841067424</v>
      </c>
      <c r="AO79" s="59">
        <f t="shared" si="90"/>
        <v>538.53312094474745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32.230497132777323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32.230497132777323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-0.99999999999988631</v>
      </c>
      <c r="O80" s="13">
        <f>N80*VLOOKUP('Données projet'!$B$9,Paramètres!$A$1:$I$89,3,0)*VLOOKUP('Données projet'!$B$9,Paramètres!$A$1:$I$89,5,0)</f>
        <v>-0.59799999999993203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201.32564399503951</v>
      </c>
      <c r="T80" s="59">
        <f t="shared" si="88"/>
        <v>347.89731545007157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60.79695004621756</v>
      </c>
      <c r="AA80" s="21">
        <f>EXP(-LN(2)/25)*AA79+(1-EXP(-LN(2)/25))/(LN(2)/25)*Calculateur!V80*Calculateur!X80*VLOOKUP('Données projet'!$B$9,Paramètres!$A$1:$I$89,3,0)*0.475*44/12</f>
        <v>31.479817433413903</v>
      </c>
      <c r="AB80" s="21">
        <f>EXP(-LN(2)/2)*AB79+(1-EXP(-LN(2)/2))/(LN(2)/2)*V80*Y80*VLOOKUP('Données projet'!$B$9,Paramètres!$A$1:$I$89,3,0)*0.475*44/12</f>
        <v>4.0126693757087757E-3</v>
      </c>
      <c r="AC80" s="22">
        <f t="shared" si="57"/>
        <v>92.280780149007171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5.6843418860808015E-14</v>
      </c>
      <c r="AJ80" s="13">
        <f>AI80*VLOOKUP('Données projet'!$B$10,Paramètres!$A$1:$I$89,3,0)*VLOOKUP('Données projet'!$B$10,Paramètres!$A$1:$I$89,5,0)</f>
        <v>5.1431925385259088E-14</v>
      </c>
      <c r="AK80" s="13">
        <f t="shared" si="89"/>
        <v>8.3482866290946129E-13</v>
      </c>
      <c r="AL80" s="20">
        <f t="shared" si="58"/>
        <v>1.5435705246133045E-12</v>
      </c>
      <c r="AM80" s="59">
        <f t="shared" si="59"/>
        <v>293.33333333333485</v>
      </c>
      <c r="AN80" s="59">
        <f ca="1">AVERAGE(OFFSET($AM$3,0,0,'Données projet'!$E$10+1,1))-AVERAGE(OFFSET($H$3,0,0,'Données projet'!$E$10+1,1))</f>
        <v>244.25841067424</v>
      </c>
      <c r="AO80" s="59">
        <f t="shared" si="90"/>
        <v>538.53312094474745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31.598476742665678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31.598476742665678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-0.99999999999988631</v>
      </c>
      <c r="O81" s="13">
        <f>N81*VLOOKUP('Données projet'!$B$9,Paramètres!$A$1:$I$89,3,0)*VLOOKUP('Données projet'!$B$9,Paramètres!$A$1:$I$89,5,0)</f>
        <v>-0.59799999999993203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201.32564399503951</v>
      </c>
      <c r="T81" s="59">
        <f t="shared" si="88"/>
        <v>347.89731545007157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59.604758938289173</v>
      </c>
      <c r="AA81" s="21">
        <f>EXP(-LN(2)/25)*AA80+(1-EXP(-LN(2)/25))/(LN(2)/25)*Calculateur!V81*Calculateur!X81*VLOOKUP('Données projet'!$B$9,Paramètres!$A$1:$I$89,3,0)*0.475*44/12</f>
        <v>30.619000170245549</v>
      </c>
      <c r="AB81" s="21">
        <f>EXP(-LN(2)/2)*AB80+(1-EXP(-LN(2)/2))/(LN(2)/2)*V81*Y81*VLOOKUP('Données projet'!$B$9,Paramètres!$A$1:$I$89,3,0)*0.475*44/12</f>
        <v>2.8373857262232655E-3</v>
      </c>
      <c r="AC81" s="22">
        <f t="shared" si="57"/>
        <v>90.226596494260946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5.6843418860808015E-14</v>
      </c>
      <c r="AJ81" s="13">
        <f>AI81*VLOOKUP('Données projet'!$B$10,Paramètres!$A$1:$I$89,3,0)*VLOOKUP('Données projet'!$B$10,Paramètres!$A$1:$I$89,5,0)</f>
        <v>5.1431925385259088E-14</v>
      </c>
      <c r="AK81" s="13">
        <f t="shared" si="89"/>
        <v>8.3482866290946129E-13</v>
      </c>
      <c r="AL81" s="20">
        <f t="shared" si="58"/>
        <v>1.5435705246133045E-12</v>
      </c>
      <c r="AM81" s="59">
        <f t="shared" si="59"/>
        <v>293.33333333333485</v>
      </c>
      <c r="AN81" s="59">
        <f ca="1">AVERAGE(OFFSET($AM$3,0,0,'Données projet'!$E$10+1,1))-AVERAGE(OFFSET($H$3,0,0,'Données projet'!$E$10+1,1))</f>
        <v>244.25841067424</v>
      </c>
      <c r="AO81" s="59">
        <f t="shared" si="90"/>
        <v>538.53312094474745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30.97884988690975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30.97884988690975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-0.99999999999988631</v>
      </c>
      <c r="O82" s="13">
        <f>N82*VLOOKUP('Données projet'!$B$9,Paramètres!$A$1:$I$89,3,0)*VLOOKUP('Données projet'!$B$9,Paramètres!$A$1:$I$89,5,0)</f>
        <v>-0.59799999999993203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201.32564399503951</v>
      </c>
      <c r="T82" s="59">
        <f t="shared" si="88"/>
        <v>347.89731545007157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58.435945970822488</v>
      </c>
      <c r="AA82" s="21">
        <f>EXP(-LN(2)/25)*AA81+(1-EXP(-LN(2)/25))/(LN(2)/25)*Calculateur!V82*Calculateur!X82*VLOOKUP('Données projet'!$B$9,Paramètres!$A$1:$I$89,3,0)*0.475*44/12</f>
        <v>29.781722000406948</v>
      </c>
      <c r="AB82" s="21">
        <f>EXP(-LN(2)/2)*AB81+(1-EXP(-LN(2)/2))/(LN(2)/2)*V82*Y82*VLOOKUP('Données projet'!$B$9,Paramètres!$A$1:$I$89,3,0)*0.475*44/12</f>
        <v>2.0063346878543878E-3</v>
      </c>
      <c r="AC82" s="22">
        <f t="shared" si="57"/>
        <v>88.21967430591728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5.6843418860808015E-14</v>
      </c>
      <c r="AJ82" s="13">
        <f>AI82*VLOOKUP('Données projet'!$B$10,Paramètres!$A$1:$I$89,3,0)*VLOOKUP('Données projet'!$B$10,Paramètres!$A$1:$I$89,5,0)</f>
        <v>5.1431925385259088E-14</v>
      </c>
      <c r="AK82" s="13">
        <f t="shared" si="89"/>
        <v>8.3482866290946129E-13</v>
      </c>
      <c r="AL82" s="20">
        <f t="shared" si="58"/>
        <v>1.5435705246133045E-12</v>
      </c>
      <c r="AM82" s="59">
        <f t="shared" si="59"/>
        <v>293.33333333333485</v>
      </c>
      <c r="AN82" s="59">
        <f ca="1">AVERAGE(OFFSET($AM$3,0,0,'Données projet'!$E$10+1,1))-AVERAGE(OFFSET($H$3,0,0,'Données projet'!$E$10+1,1))</f>
        <v>244.25841067424</v>
      </c>
      <c r="AO82" s="59">
        <f t="shared" si="90"/>
        <v>538.53312094474745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30.37137353586013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30.37137353586013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-0.99999999999988631</v>
      </c>
      <c r="O83" s="13">
        <f>N83*VLOOKUP('Données projet'!$B$9,Paramètres!$A$1:$I$89,3,0)*VLOOKUP('Données projet'!$B$9,Paramètres!$A$1:$I$89,5,0)</f>
        <v>-0.59799999999993203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201.32564399503951</v>
      </c>
      <c r="T83" s="59">
        <f t="shared" si="88"/>
        <v>347.89731545007157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57.290052712742302</v>
      </c>
      <c r="AA83" s="21">
        <f>EXP(-LN(2)/25)*AA82+(1-EXP(-LN(2)/25))/(LN(2)/25)*Calculateur!V83*Calculateur!X83*VLOOKUP('Données projet'!$B$9,Paramètres!$A$1:$I$89,3,0)*0.475*44/12</f>
        <v>28.967339246153127</v>
      </c>
      <c r="AB83" s="21">
        <f>EXP(-LN(2)/2)*AB82+(1-EXP(-LN(2)/2))/(LN(2)/2)*V83*Y83*VLOOKUP('Données projet'!$B$9,Paramètres!$A$1:$I$89,3,0)*0.475*44/12</f>
        <v>1.4186928631116328E-3</v>
      </c>
      <c r="AC83" s="22">
        <f t="shared" si="57"/>
        <v>86.258810651758537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5.6843418860808015E-14</v>
      </c>
      <c r="AJ83" s="13">
        <f>AI83*VLOOKUP('Données projet'!$B$10,Paramètres!$A$1:$I$89,3,0)*VLOOKUP('Données projet'!$B$10,Paramètres!$A$1:$I$89,5,0)</f>
        <v>5.1431925385259088E-14</v>
      </c>
      <c r="AK83" s="13">
        <f t="shared" si="89"/>
        <v>8.3482866290946129E-13</v>
      </c>
      <c r="AL83" s="20">
        <f t="shared" si="58"/>
        <v>1.5435705246133045E-12</v>
      </c>
      <c r="AM83" s="59">
        <f t="shared" si="59"/>
        <v>293.33333333333485</v>
      </c>
      <c r="AN83" s="59">
        <f ca="1">AVERAGE(OFFSET($AM$3,0,0,'Données projet'!$E$10+1,1))-AVERAGE(OFFSET($H$3,0,0,'Données projet'!$E$10+1,1))</f>
        <v>244.25841067424</v>
      </c>
      <c r="AO83" s="59">
        <f t="shared" si="90"/>
        <v>538.53312094474745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29.775809425530607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29.775809425530607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-0.99999999999988631</v>
      </c>
      <c r="O84" s="13">
        <f>N84*VLOOKUP('Données projet'!$B$9,Paramètres!$A$1:$I$89,3,0)*VLOOKUP('Données projet'!$B$9,Paramètres!$A$1:$I$89,5,0)</f>
        <v>-0.59799999999993203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201.32564399503951</v>
      </c>
      <c r="T84" s="59">
        <f t="shared" si="88"/>
        <v>347.89731545007157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56.166629722527198</v>
      </c>
      <c r="AA84" s="21">
        <f>EXP(-LN(2)/25)*AA83+(1-EXP(-LN(2)/25))/(LN(2)/25)*Calculateur!V84*Calculateur!X84*VLOOKUP('Données projet'!$B$9,Paramètres!$A$1:$I$89,3,0)*0.475*44/12</f>
        <v>28.175225831140903</v>
      </c>
      <c r="AB84" s="21">
        <f>EXP(-LN(2)/2)*AB83+(1-EXP(-LN(2)/2))/(LN(2)/2)*V84*Y84*VLOOKUP('Données projet'!$B$9,Paramètres!$A$1:$I$89,3,0)*0.475*44/12</f>
        <v>1.0031673439271939E-3</v>
      </c>
      <c r="AC84" s="22">
        <f t="shared" si="57"/>
        <v>84.342858721012021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5.6843418860808015E-14</v>
      </c>
      <c r="AJ84" s="13">
        <f>AI84*VLOOKUP('Données projet'!$B$10,Paramètres!$A$1:$I$89,3,0)*VLOOKUP('Données projet'!$B$10,Paramètres!$A$1:$I$89,5,0)</f>
        <v>5.1431925385259088E-14</v>
      </c>
      <c r="AK84" s="13">
        <f t="shared" si="89"/>
        <v>8.3482866290946129E-13</v>
      </c>
      <c r="AL84" s="20">
        <f t="shared" si="58"/>
        <v>1.5435705246133045E-12</v>
      </c>
      <c r="AM84" s="59">
        <f t="shared" si="59"/>
        <v>293.33333333333485</v>
      </c>
      <c r="AN84" s="59">
        <f ca="1">AVERAGE(OFFSET($AM$3,0,0,'Données projet'!$E$10+1,1))-AVERAGE(OFFSET($H$3,0,0,'Données projet'!$E$10+1,1))</f>
        <v>244.25841067424</v>
      </c>
      <c r="AO84" s="59">
        <f t="shared" si="90"/>
        <v>538.53312094474745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29.191923964146408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29.191923964146408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-0.99999999999988631</v>
      </c>
      <c r="O85" s="13">
        <f>N85*VLOOKUP('Données projet'!$B$9,Paramètres!$A$1:$I$89,3,0)*VLOOKUP('Données projet'!$B$9,Paramètres!$A$1:$I$89,5,0)</f>
        <v>-0.59799999999993203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201.32564399503951</v>
      </c>
      <c r="T85" s="59">
        <f t="shared" si="88"/>
        <v>347.89731545007157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55.065236371929849</v>
      </c>
      <c r="AA85" s="21">
        <f>EXP(-LN(2)/25)*AA84+(1-EXP(-LN(2)/25))/(LN(2)/25)*Calculateur!V85*Calculateur!X85*VLOOKUP('Données projet'!$B$9,Paramètres!$A$1:$I$89,3,0)*0.475*44/12</f>
        <v>27.404772799117623</v>
      </c>
      <c r="AB85" s="21">
        <f>EXP(-LN(2)/2)*AB84+(1-EXP(-LN(2)/2))/(LN(2)/2)*V85*Y85*VLOOKUP('Données projet'!$B$9,Paramètres!$A$1:$I$89,3,0)*0.475*44/12</f>
        <v>7.0934643155581639E-4</v>
      </c>
      <c r="AC85" s="22">
        <f t="shared" si="57"/>
        <v>82.470718517479028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5.6843418860808015E-14</v>
      </c>
      <c r="AJ85" s="13">
        <f>AI85*VLOOKUP('Données projet'!$B$10,Paramètres!$A$1:$I$89,3,0)*VLOOKUP('Données projet'!$B$10,Paramètres!$A$1:$I$89,5,0)</f>
        <v>5.1431925385259088E-14</v>
      </c>
      <c r="AK85" s="13">
        <f t="shared" si="89"/>
        <v>8.3482866290946129E-13</v>
      </c>
      <c r="AL85" s="20">
        <f t="shared" si="58"/>
        <v>1.5435705246133045E-12</v>
      </c>
      <c r="AM85" s="59">
        <f t="shared" si="59"/>
        <v>293.33333333333485</v>
      </c>
      <c r="AN85" s="59">
        <f ca="1">AVERAGE(OFFSET($AM$3,0,0,'Données projet'!$E$10+1,1))-AVERAGE(OFFSET($H$3,0,0,'Données projet'!$E$10+1,1))</f>
        <v>244.25841067424</v>
      </c>
      <c r="AO85" s="59">
        <f t="shared" si="90"/>
        <v>538.53312094474745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28.619488140524986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28.619488140524986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-0.99999999999988631</v>
      </c>
      <c r="O86" s="13">
        <f>N86*VLOOKUP('Données projet'!$B$9,Paramètres!$A$1:$I$89,3,0)*VLOOKUP('Données projet'!$B$9,Paramètres!$A$1:$I$89,5,0)</f>
        <v>-0.59799999999993203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201.32564399503951</v>
      </c>
      <c r="T86" s="59">
        <f t="shared" si="88"/>
        <v>347.89731545007157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53.985440673154102</v>
      </c>
      <c r="AA86" s="21">
        <f>EXP(-LN(2)/25)*AA85+(1-EXP(-LN(2)/25))/(LN(2)/25)*Calculateur!V86*Calculateur!X86*VLOOKUP('Données projet'!$B$9,Paramètres!$A$1:$I$89,3,0)*0.475*44/12</f>
        <v>26.655387845771383</v>
      </c>
      <c r="AB86" s="21">
        <f>EXP(-LN(2)/2)*AB85+(1-EXP(-LN(2)/2))/(LN(2)/2)*V86*Y86*VLOOKUP('Données projet'!$B$9,Paramètres!$A$1:$I$89,3,0)*0.475*44/12</f>
        <v>5.0158367196359696E-4</v>
      </c>
      <c r="AC86" s="22">
        <f t="shared" si="57"/>
        <v>80.64133010259745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5.6843418860808015E-14</v>
      </c>
      <c r="AJ86" s="13">
        <f>AI86*VLOOKUP('Données projet'!$B$10,Paramètres!$A$1:$I$89,3,0)*VLOOKUP('Données projet'!$B$10,Paramètres!$A$1:$I$89,5,0)</f>
        <v>5.1431925385259088E-14</v>
      </c>
      <c r="AK86" s="13">
        <f t="shared" si="89"/>
        <v>8.3482866290946129E-13</v>
      </c>
      <c r="AL86" s="20">
        <f t="shared" si="58"/>
        <v>1.5435705246133045E-12</v>
      </c>
      <c r="AM86" s="59">
        <f t="shared" si="59"/>
        <v>293.33333333333485</v>
      </c>
      <c r="AN86" s="59">
        <f ca="1">AVERAGE(OFFSET($AM$3,0,0,'Données projet'!$E$10+1,1))-AVERAGE(OFFSET($H$3,0,0,'Données projet'!$E$10+1,1))</f>
        <v>244.25841067424</v>
      </c>
      <c r="AO86" s="59">
        <f t="shared" si="90"/>
        <v>538.53312094474745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28.058277434253405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28.058277434253405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-0.99999999999988631</v>
      </c>
      <c r="O87" s="13">
        <f>N87*VLOOKUP('Données projet'!$B$9,Paramètres!$A$1:$I$89,3,0)*VLOOKUP('Données projet'!$B$9,Paramètres!$A$1:$I$89,5,0)</f>
        <v>-0.59799999999993203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201.32564399503951</v>
      </c>
      <c r="T87" s="59">
        <f t="shared" si="88"/>
        <v>347.89731545007157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52.926819109421004</v>
      </c>
      <c r="AA87" s="21">
        <f>EXP(-LN(2)/25)*AA86+(1-EXP(-LN(2)/25))/(LN(2)/25)*Calculateur!V87*Calculateur!X87*VLOOKUP('Données projet'!$B$9,Paramètres!$A$1:$I$89,3,0)*0.475*44/12</f>
        <v>25.926494863382839</v>
      </c>
      <c r="AB87" s="21">
        <f>EXP(-LN(2)/2)*AB86+(1-EXP(-LN(2)/2))/(LN(2)/2)*V87*Y87*VLOOKUP('Données projet'!$B$9,Paramètres!$A$1:$I$89,3,0)*0.475*44/12</f>
        <v>3.5467321577790819E-4</v>
      </c>
      <c r="AC87" s="22">
        <f t="shared" si="57"/>
        <v>78.853668646019628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5.6843418860808015E-14</v>
      </c>
      <c r="AJ87" s="13">
        <f>AI87*VLOOKUP('Données projet'!$B$10,Paramètres!$A$1:$I$89,3,0)*VLOOKUP('Données projet'!$B$10,Paramètres!$A$1:$I$89,5,0)</f>
        <v>5.1431925385259088E-14</v>
      </c>
      <c r="AK87" s="13">
        <f t="shared" si="89"/>
        <v>8.3482866290946129E-13</v>
      </c>
      <c r="AL87" s="20">
        <f t="shared" si="58"/>
        <v>1.5435705246133045E-12</v>
      </c>
      <c r="AM87" s="59">
        <f t="shared" si="59"/>
        <v>293.33333333333485</v>
      </c>
      <c r="AN87" s="59">
        <f ca="1">AVERAGE(OFFSET($AM$3,0,0,'Données projet'!$E$10+1,1))-AVERAGE(OFFSET($H$3,0,0,'Données projet'!$E$10+1,1))</f>
        <v>244.25841067424</v>
      </c>
      <c r="AO87" s="59">
        <f t="shared" si="90"/>
        <v>538.53312094474745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27.508071727627076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27.508071727627076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-0.99999999999988631</v>
      </c>
      <c r="O88" s="13">
        <f>N88*VLOOKUP('Données projet'!$B$9,Paramètres!$A$1:$I$89,3,0)*VLOOKUP('Données projet'!$B$9,Paramètres!$A$1:$I$89,5,0)</f>
        <v>-0.59799999999993203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201.32564399503951</v>
      </c>
      <c r="T88" s="59">
        <f t="shared" si="88"/>
        <v>347.89731545007157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51.888956468857316</v>
      </c>
      <c r="AA88" s="21">
        <f>EXP(-LN(2)/25)*AA87+(1-EXP(-LN(2)/25))/(LN(2)/25)*Calculateur!V88*Calculateur!X88*VLOOKUP('Données projet'!$B$9,Paramètres!$A$1:$I$89,3,0)*0.475*44/12</f>
        <v>25.217533497928525</v>
      </c>
      <c r="AB88" s="21">
        <f>EXP(-LN(2)/2)*AB87+(1-EXP(-LN(2)/2))/(LN(2)/2)*V88*Y88*VLOOKUP('Données projet'!$B$9,Paramètres!$A$1:$I$89,3,0)*0.475*44/12</f>
        <v>2.5079183598179848E-4</v>
      </c>
      <c r="AC88" s="22">
        <f t="shared" si="57"/>
        <v>77.106740758621825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5.6843418860808015E-14</v>
      </c>
      <c r="AJ88" s="13">
        <f>AI88*VLOOKUP('Données projet'!$B$10,Paramètres!$A$1:$I$89,3,0)*VLOOKUP('Données projet'!$B$10,Paramètres!$A$1:$I$89,5,0)</f>
        <v>5.1431925385259088E-14</v>
      </c>
      <c r="AK88" s="13">
        <f t="shared" si="89"/>
        <v>8.3482866290946129E-13</v>
      </c>
      <c r="AL88" s="20">
        <f t="shared" si="58"/>
        <v>1.5435705246133045E-12</v>
      </c>
      <c r="AM88" s="59">
        <f t="shared" si="59"/>
        <v>293.33333333333485</v>
      </c>
      <c r="AN88" s="59">
        <f ca="1">AVERAGE(OFFSET($AM$3,0,0,'Données projet'!$E$10+1,1))-AVERAGE(OFFSET($H$3,0,0,'Données projet'!$E$10+1,1))</f>
        <v>244.25841067424</v>
      </c>
      <c r="AO88" s="59">
        <f t="shared" si="90"/>
        <v>538.53312094474745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26.968655219315348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26.968655219315348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-0.99999999999988631</v>
      </c>
      <c r="O89" s="13">
        <f>N89*VLOOKUP('Données projet'!$B$9,Paramètres!$A$1:$I$89,3,0)*VLOOKUP('Données projet'!$B$9,Paramètres!$A$1:$I$89,5,0)</f>
        <v>-0.59799999999993203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201.32564399503951</v>
      </c>
      <c r="T89" s="59">
        <f t="shared" si="88"/>
        <v>347.89731545007157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50.871445681641376</v>
      </c>
      <c r="AA89" s="21">
        <f>EXP(-LN(2)/25)*AA88+(1-EXP(-LN(2)/25))/(LN(2)/25)*Calculateur!V89*Calculateur!X89*VLOOKUP('Données projet'!$B$9,Paramètres!$A$1:$I$89,3,0)*0.475*44/12</f>
        <v>24.527958718295217</v>
      </c>
      <c r="AB89" s="21">
        <f>EXP(-LN(2)/2)*AB88+(1-EXP(-LN(2)/2))/(LN(2)/2)*V89*Y89*VLOOKUP('Données projet'!$B$9,Paramètres!$A$1:$I$89,3,0)*0.475*44/12</f>
        <v>1.773366078889541E-4</v>
      </c>
      <c r="AC89" s="22">
        <f t="shared" si="57"/>
        <v>75.399581736544491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5.6843418860808015E-14</v>
      </c>
      <c r="AJ89" s="13">
        <f>AI89*VLOOKUP('Données projet'!$B$10,Paramètres!$A$1:$I$89,3,0)*VLOOKUP('Données projet'!$B$10,Paramètres!$A$1:$I$89,5,0)</f>
        <v>5.1431925385259088E-14</v>
      </c>
      <c r="AK89" s="13">
        <f t="shared" si="89"/>
        <v>8.3482866290946129E-13</v>
      </c>
      <c r="AL89" s="20">
        <f t="shared" si="58"/>
        <v>1.5435705246133045E-12</v>
      </c>
      <c r="AM89" s="59">
        <f t="shared" si="59"/>
        <v>293.33333333333485</v>
      </c>
      <c r="AN89" s="59">
        <f ca="1">AVERAGE(OFFSET($AM$3,0,0,'Données projet'!$E$10+1,1))-AVERAGE(OFFSET($H$3,0,0,'Données projet'!$E$10+1,1))</f>
        <v>244.25841067424</v>
      </c>
      <c r="AO89" s="59">
        <f t="shared" si="90"/>
        <v>538.53312094474745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26.439816339720029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26.439816339720029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-0.99999999999988631</v>
      </c>
      <c r="O90" s="13">
        <f>N90*VLOOKUP('Données projet'!$B$9,Paramètres!$A$1:$I$89,3,0)*VLOOKUP('Données projet'!$B$9,Paramètres!$A$1:$I$89,5,0)</f>
        <v>-0.59799999999993203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201.32564399503951</v>
      </c>
      <c r="T90" s="59">
        <f t="shared" si="88"/>
        <v>347.89731545007157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49.87388766034244</v>
      </c>
      <c r="AA90" s="21">
        <f>EXP(-LN(2)/25)*AA89+(1-EXP(-LN(2)/25))/(LN(2)/25)*Calculateur!V90*Calculateur!X90*VLOOKUP('Données projet'!$B$9,Paramètres!$A$1:$I$89,3,0)*0.475*44/12</f>
        <v>23.857240397274143</v>
      </c>
      <c r="AB90" s="21">
        <f>EXP(-LN(2)/2)*AB89+(1-EXP(-LN(2)/2))/(LN(2)/2)*V90*Y90*VLOOKUP('Données projet'!$B$9,Paramètres!$A$1:$I$89,3,0)*0.475*44/12</f>
        <v>1.2539591799089924E-4</v>
      </c>
      <c r="AC90" s="22">
        <f t="shared" si="57"/>
        <v>73.731253453534578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5.6843418860808015E-14</v>
      </c>
      <c r="AJ90" s="13">
        <f>AI90*VLOOKUP('Données projet'!$B$10,Paramètres!$A$1:$I$89,3,0)*VLOOKUP('Données projet'!$B$10,Paramètres!$A$1:$I$89,5,0)</f>
        <v>5.1431925385259088E-14</v>
      </c>
      <c r="AK90" s="13">
        <f t="shared" si="89"/>
        <v>8.3482866290946129E-13</v>
      </c>
      <c r="AL90" s="20">
        <f t="shared" si="58"/>
        <v>1.5435705246133045E-12</v>
      </c>
      <c r="AM90" s="59">
        <f t="shared" si="59"/>
        <v>293.33333333333485</v>
      </c>
      <c r="AN90" s="59">
        <f ca="1">AVERAGE(OFFSET($AM$3,0,0,'Données projet'!$E$10+1,1))-AVERAGE(OFFSET($H$3,0,0,'Données projet'!$E$10+1,1))</f>
        <v>244.25841067424</v>
      </c>
      <c r="AO90" s="59">
        <f t="shared" si="90"/>
        <v>538.53312094474745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25.921347667993707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25.921347667993707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-0.99999999999988631</v>
      </c>
      <c r="O91" s="13">
        <f>N91*VLOOKUP('Données projet'!$B$9,Paramètres!$A$1:$I$89,3,0)*VLOOKUP('Données projet'!$B$9,Paramètres!$A$1:$I$89,5,0)</f>
        <v>-0.59799999999993203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201.32564399503951</v>
      </c>
      <c r="T91" s="59">
        <f t="shared" si="88"/>
        <v>347.89731545007157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48.895891143390863</v>
      </c>
      <c r="AA91" s="21">
        <f>EXP(-LN(2)/25)*AA90+(1-EXP(-LN(2)/25))/(LN(2)/25)*Calculateur!V91*Calculateur!X91*VLOOKUP('Données projet'!$B$9,Paramètres!$A$1:$I$89,3,0)*0.475*44/12</f>
        <v>23.204862904012934</v>
      </c>
      <c r="AB91" s="21">
        <f>EXP(-LN(2)/2)*AB90+(1-EXP(-LN(2)/2))/(LN(2)/2)*V91*Y91*VLOOKUP('Données projet'!$B$9,Paramètres!$A$1:$I$89,3,0)*0.475*44/12</f>
        <v>8.8668303944477048E-5</v>
      </c>
      <c r="AC91" s="22">
        <f t="shared" si="57"/>
        <v>72.100842715707742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5.6843418860808015E-14</v>
      </c>
      <c r="AJ91" s="13">
        <f>AI91*VLOOKUP('Données projet'!$B$10,Paramètres!$A$1:$I$89,3,0)*VLOOKUP('Données projet'!$B$10,Paramètres!$A$1:$I$89,5,0)</f>
        <v>5.1431925385259088E-14</v>
      </c>
      <c r="AK91" s="13">
        <f t="shared" si="89"/>
        <v>8.3482866290946129E-13</v>
      </c>
      <c r="AL91" s="20">
        <f t="shared" si="58"/>
        <v>1.5435705246133045E-12</v>
      </c>
      <c r="AM91" s="59">
        <f t="shared" si="59"/>
        <v>293.33333333333485</v>
      </c>
      <c r="AN91" s="59">
        <f ca="1">AVERAGE(OFFSET($AM$3,0,0,'Données projet'!$E$10+1,1))-AVERAGE(OFFSET($H$3,0,0,'Données projet'!$E$10+1,1))</f>
        <v>244.25841067424</v>
      </c>
      <c r="AO91" s="59">
        <f t="shared" si="90"/>
        <v>538.53312094474745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25.413045850685275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25.413045850685275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-0.99999999999988631</v>
      </c>
      <c r="O92" s="13">
        <f>N92*VLOOKUP('Données projet'!$B$9,Paramètres!$A$1:$I$89,3,0)*VLOOKUP('Données projet'!$B$9,Paramètres!$A$1:$I$89,5,0)</f>
        <v>-0.59799999999993203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201.32564399503951</v>
      </c>
      <c r="T92" s="59">
        <f t="shared" si="88"/>
        <v>347.89731545007157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47.937072541617731</v>
      </c>
      <c r="AA92" s="21">
        <f>EXP(-LN(2)/25)*AA91+(1-EXP(-LN(2)/25))/(LN(2)/25)*Calculateur!V92*Calculateur!X92*VLOOKUP('Données projet'!$B$9,Paramètres!$A$1:$I$89,3,0)*0.475*44/12</f>
        <v>22.570324707611995</v>
      </c>
      <c r="AB92" s="21">
        <f>EXP(-LN(2)/2)*AB91+(1-EXP(-LN(2)/2))/(LN(2)/2)*V92*Y92*VLOOKUP('Données projet'!$B$9,Paramètres!$A$1:$I$89,3,0)*0.475*44/12</f>
        <v>6.269795899544962E-5</v>
      </c>
      <c r="AC92" s="22">
        <f t="shared" si="57"/>
        <v>70.507459947188721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5.6843418860808015E-14</v>
      </c>
      <c r="AJ92" s="13">
        <f>AI92*VLOOKUP('Données projet'!$B$10,Paramètres!$A$1:$I$89,3,0)*VLOOKUP('Données projet'!$B$10,Paramètres!$A$1:$I$89,5,0)</f>
        <v>5.1431925385259088E-14</v>
      </c>
      <c r="AK92" s="13">
        <f t="shared" si="89"/>
        <v>8.3482866290946129E-13</v>
      </c>
      <c r="AL92" s="20">
        <f t="shared" si="58"/>
        <v>1.5435705246133045E-12</v>
      </c>
      <c r="AM92" s="59">
        <f t="shared" si="59"/>
        <v>293.33333333333485</v>
      </c>
      <c r="AN92" s="59">
        <f ca="1">AVERAGE(OFFSET($AM$3,0,0,'Données projet'!$E$10+1,1))-AVERAGE(OFFSET($H$3,0,0,'Données projet'!$E$10+1,1))</f>
        <v>244.25841067424</v>
      </c>
      <c r="AO92" s="59">
        <f t="shared" si="90"/>
        <v>538.53312094474745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24.914711521980767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24.914711521980767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-0.99999999999988631</v>
      </c>
      <c r="O93" s="13">
        <f>N93*VLOOKUP('Données projet'!$B$9,Paramètres!$A$1:$I$89,3,0)*VLOOKUP('Données projet'!$B$9,Paramètres!$A$1:$I$89,5,0)</f>
        <v>-0.59799999999993203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201.32564399503951</v>
      </c>
      <c r="T93" s="59">
        <f t="shared" si="88"/>
        <v>347.89731545007157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46.997055787803774</v>
      </c>
      <c r="AA93" s="21">
        <f>EXP(-LN(2)/25)*AA92+(1-EXP(-LN(2)/25))/(LN(2)/25)*Calculateur!V93*Calculateur!X93*VLOOKUP('Données projet'!$B$9,Paramètres!$A$1:$I$89,3,0)*0.475*44/12</f>
        <v>21.953137991560553</v>
      </c>
      <c r="AB93" s="21">
        <f>EXP(-LN(2)/2)*AB92+(1-EXP(-LN(2)/2))/(LN(2)/2)*V93*Y93*VLOOKUP('Données projet'!$B$9,Paramètres!$A$1:$I$89,3,0)*0.475*44/12</f>
        <v>4.4334151972238524E-5</v>
      </c>
      <c r="AC93" s="22">
        <f t="shared" si="57"/>
        <v>68.950238113516292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5.6843418860808015E-14</v>
      </c>
      <c r="AJ93" s="13">
        <f>AI93*VLOOKUP('Données projet'!$B$10,Paramètres!$A$1:$I$89,3,0)*VLOOKUP('Données projet'!$B$10,Paramètres!$A$1:$I$89,5,0)</f>
        <v>5.1431925385259088E-14</v>
      </c>
      <c r="AK93" s="13">
        <f t="shared" si="89"/>
        <v>8.3482866290946129E-13</v>
      </c>
      <c r="AL93" s="20">
        <f t="shared" si="58"/>
        <v>1.5435705246133045E-12</v>
      </c>
      <c r="AM93" s="59">
        <f t="shared" si="59"/>
        <v>293.33333333333485</v>
      </c>
      <c r="AN93" s="59">
        <f ca="1">AVERAGE(OFFSET($AM$3,0,0,'Données projet'!$E$10+1,1))-AVERAGE(OFFSET($H$3,0,0,'Données projet'!$E$10+1,1))</f>
        <v>244.25841067424</v>
      </c>
      <c r="AO93" s="59">
        <f t="shared" si="90"/>
        <v>538.53312094474745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24.426149225508226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24.426149225508226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-0.99999999999988631</v>
      </c>
      <c r="O94" s="13">
        <f>N94*VLOOKUP('Données projet'!$B$9,Paramètres!$A$1:$I$89,3,0)*VLOOKUP('Données projet'!$B$9,Paramètres!$A$1:$I$89,5,0)</f>
        <v>-0.59799999999993203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201.32564399503951</v>
      </c>
      <c r="T94" s="59">
        <f t="shared" si="88"/>
        <v>347.89731545007157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46.075472189178505</v>
      </c>
      <c r="AA94" s="21">
        <f>EXP(-LN(2)/25)*AA93+(1-EXP(-LN(2)/25))/(LN(2)/25)*Calculateur!V94*Calculateur!X94*VLOOKUP('Données projet'!$B$9,Paramètres!$A$1:$I$89,3,0)*0.475*44/12</f>
        <v>21.352828278715975</v>
      </c>
      <c r="AB94" s="21">
        <f>EXP(-LN(2)/2)*AB93+(1-EXP(-LN(2)/2))/(LN(2)/2)*V94*Y94*VLOOKUP('Données projet'!$B$9,Paramètres!$A$1:$I$89,3,0)*0.475*44/12</f>
        <v>3.134897949772481E-5</v>
      </c>
      <c r="AC94" s="22">
        <f t="shared" si="57"/>
        <v>67.428331816873978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5.6843418860808015E-14</v>
      </c>
      <c r="AJ94" s="13">
        <f>AI94*VLOOKUP('Données projet'!$B$10,Paramètres!$A$1:$I$89,3,0)*VLOOKUP('Données projet'!$B$10,Paramètres!$A$1:$I$89,5,0)</f>
        <v>5.1431925385259088E-14</v>
      </c>
      <c r="AK94" s="13">
        <f t="shared" si="89"/>
        <v>8.3482866290946129E-13</v>
      </c>
      <c r="AL94" s="20">
        <f t="shared" si="58"/>
        <v>1.5435705246133045E-12</v>
      </c>
      <c r="AM94" s="59">
        <f t="shared" si="59"/>
        <v>293.33333333333485</v>
      </c>
      <c r="AN94" s="59">
        <f ca="1">AVERAGE(OFFSET($AM$3,0,0,'Données projet'!$E$10+1,1))-AVERAGE(OFFSET($H$3,0,0,'Données projet'!$E$10+1,1))</f>
        <v>244.25841067424</v>
      </c>
      <c r="AO94" s="59">
        <f t="shared" si="90"/>
        <v>538.53312094474745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23.947167337675936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23.947167337675936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-0.99999999999988631</v>
      </c>
      <c r="O95" s="13">
        <f>N95*VLOOKUP('Données projet'!$B$9,Paramètres!$A$1:$I$89,3,0)*VLOOKUP('Données projet'!$B$9,Paramètres!$A$1:$I$89,5,0)</f>
        <v>-0.59799999999993203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201.32564399503951</v>
      </c>
      <c r="T95" s="59">
        <f t="shared" si="88"/>
        <v>347.89731545007157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45.171960282811781</v>
      </c>
      <c r="AA95" s="21">
        <f>EXP(-LN(2)/25)*AA94+(1-EXP(-LN(2)/25))/(LN(2)/25)*Calculateur!V95*Calculateur!X95*VLOOKUP('Données projet'!$B$9,Paramètres!$A$1:$I$89,3,0)*0.475*44/12</f>
        <v>20.768934066538051</v>
      </c>
      <c r="AB95" s="21">
        <f>EXP(-LN(2)/2)*AB94+(1-EXP(-LN(2)/2))/(LN(2)/2)*V95*Y95*VLOOKUP('Données projet'!$B$9,Paramètres!$A$1:$I$89,3,0)*0.475*44/12</f>
        <v>2.2167075986119262E-5</v>
      </c>
      <c r="AC95" s="22">
        <f t="shared" si="57"/>
        <v>65.940916516425816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5.6843418860808015E-14</v>
      </c>
      <c r="AJ95" s="13">
        <f>AI95*VLOOKUP('Données projet'!$B$10,Paramètres!$A$1:$I$89,3,0)*VLOOKUP('Données projet'!$B$10,Paramètres!$A$1:$I$89,5,0)</f>
        <v>5.1431925385259088E-14</v>
      </c>
      <c r="AK95" s="13">
        <f t="shared" si="89"/>
        <v>8.3482866290946129E-13</v>
      </c>
      <c r="AL95" s="20">
        <f t="shared" si="58"/>
        <v>1.5435705246133045E-12</v>
      </c>
      <c r="AM95" s="59">
        <f t="shared" si="59"/>
        <v>293.33333333333485</v>
      </c>
      <c r="AN95" s="59">
        <f ca="1">AVERAGE(OFFSET($AM$3,0,0,'Données projet'!$E$10+1,1))-AVERAGE(OFFSET($H$3,0,0,'Données projet'!$E$10+1,1))</f>
        <v>244.25841067424</v>
      </c>
      <c r="AO95" s="59">
        <f t="shared" si="90"/>
        <v>538.53312094474745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23.477577992513933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23.477577992513933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-0.99999999999988631</v>
      </c>
      <c r="O96" s="13">
        <f>N96*VLOOKUP('Données projet'!$B$9,Paramètres!$A$1:$I$89,3,0)*VLOOKUP('Données projet'!$B$9,Paramètres!$A$1:$I$89,5,0)</f>
        <v>-0.59799999999993203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201.32564399503951</v>
      </c>
      <c r="T96" s="59">
        <f t="shared" si="88"/>
        <v>347.89731545007157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44.286165693841063</v>
      </c>
      <c r="AA96" s="21">
        <f>EXP(-LN(2)/25)*AA95+(1-EXP(-LN(2)/25))/(LN(2)/25)*Calculateur!V96*Calculateur!X96*VLOOKUP('Données projet'!$B$9,Paramètres!$A$1:$I$89,3,0)*0.475*44/12</f>
        <v>20.201006472297795</v>
      </c>
      <c r="AB96" s="21">
        <f>EXP(-LN(2)/2)*AB95+(1-EXP(-LN(2)/2))/(LN(2)/2)*V96*Y96*VLOOKUP('Données projet'!$B$9,Paramètres!$A$1:$I$89,3,0)*0.475*44/12</f>
        <v>1.5674489748862405E-5</v>
      </c>
      <c r="AC96" s="22">
        <f t="shared" si="57"/>
        <v>64.487187840628607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5.6843418860808015E-14</v>
      </c>
      <c r="AJ96" s="13">
        <f>AI96*VLOOKUP('Données projet'!$B$10,Paramètres!$A$1:$I$89,3,0)*VLOOKUP('Données projet'!$B$10,Paramètres!$A$1:$I$89,5,0)</f>
        <v>5.1431925385259088E-14</v>
      </c>
      <c r="AK96" s="13">
        <f t="shared" si="89"/>
        <v>8.3482866290946129E-13</v>
      </c>
      <c r="AL96" s="20">
        <f t="shared" si="58"/>
        <v>1.5435705246133045E-12</v>
      </c>
      <c r="AM96" s="59">
        <f t="shared" si="59"/>
        <v>293.33333333333485</v>
      </c>
      <c r="AN96" s="59">
        <f ca="1">AVERAGE(OFFSET($AM$3,0,0,'Données projet'!$E$10+1,1))-AVERAGE(OFFSET($H$3,0,0,'Données projet'!$E$10+1,1))</f>
        <v>244.25841067424</v>
      </c>
      <c r="AO96" s="59">
        <f t="shared" si="90"/>
        <v>538.53312094474745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23.017197007989335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23.017197007989335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-0.99999999999988631</v>
      </c>
      <c r="O97" s="13">
        <f>N97*VLOOKUP('Données projet'!$B$9,Paramètres!$A$1:$I$89,3,0)*VLOOKUP('Données projet'!$B$9,Paramètres!$A$1:$I$89,5,0)</f>
        <v>-0.59799999999993203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201.32564399503951</v>
      </c>
      <c r="T97" s="59">
        <f t="shared" si="88"/>
        <v>347.89731545007157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43.417740996478713</v>
      </c>
      <c r="AA97" s="21">
        <f>EXP(-LN(2)/25)*AA96+(1-EXP(-LN(2)/25))/(LN(2)/25)*Calculateur!V97*Calculateur!X97*VLOOKUP('Données projet'!$B$9,Paramètres!$A$1:$I$89,3,0)*0.475*44/12</f>
        <v>19.64860888798805</v>
      </c>
      <c r="AB97" s="21">
        <f>EXP(-LN(2)/2)*AB96+(1-EXP(-LN(2)/2))/(LN(2)/2)*V97*Y97*VLOOKUP('Données projet'!$B$9,Paramètres!$A$1:$I$89,3,0)*0.475*44/12</f>
        <v>1.1083537993059631E-5</v>
      </c>
      <c r="AC97" s="22">
        <f t="shared" si="57"/>
        <v>63.066360968004751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5.6843418860808015E-14</v>
      </c>
      <c r="AJ97" s="13">
        <f>AI97*VLOOKUP('Données projet'!$B$10,Paramètres!$A$1:$I$89,3,0)*VLOOKUP('Données projet'!$B$10,Paramètres!$A$1:$I$89,5,0)</f>
        <v>5.1431925385259088E-14</v>
      </c>
      <c r="AK97" s="13">
        <f t="shared" si="89"/>
        <v>8.3482866290946129E-13</v>
      </c>
      <c r="AL97" s="20">
        <f t="shared" si="58"/>
        <v>1.5435705246133045E-12</v>
      </c>
      <c r="AM97" s="59">
        <f t="shared" si="59"/>
        <v>293.33333333333485</v>
      </c>
      <c r="AN97" s="59">
        <f ca="1">AVERAGE(OFFSET($AM$3,0,0,'Données projet'!$E$10+1,1))-AVERAGE(OFFSET($H$3,0,0,'Données projet'!$E$10+1,1))</f>
        <v>244.25841067424</v>
      </c>
      <c r="AO97" s="59">
        <f t="shared" si="90"/>
        <v>538.53312094474745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22.565843813766591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22.565843813766591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-0.99999999999988631</v>
      </c>
      <c r="O98" s="13">
        <f>N98*VLOOKUP('Données projet'!$B$9,Paramètres!$A$1:$I$89,3,0)*VLOOKUP('Données projet'!$B$9,Paramètres!$A$1:$I$89,5,0)</f>
        <v>-0.59799999999993203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201.32564399503951</v>
      </c>
      <c r="T98" s="59">
        <f t="shared" si="88"/>
        <v>347.89731545007157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42.566345577744876</v>
      </c>
      <c r="AA98" s="21">
        <f>EXP(-LN(2)/25)*AA97+(1-EXP(-LN(2)/25))/(LN(2)/25)*Calculateur!V98*Calculateur!X98*VLOOKUP('Données projet'!$B$9,Paramètres!$A$1:$I$89,3,0)*0.475*44/12</f>
        <v>19.111316644670584</v>
      </c>
      <c r="AB98" s="21">
        <f>EXP(-LN(2)/2)*AB97+(1-EXP(-LN(2)/2))/(LN(2)/2)*V98*Y98*VLOOKUP('Données projet'!$B$9,Paramètres!$A$1:$I$89,3,0)*0.475*44/12</f>
        <v>7.8372448744312025E-6</v>
      </c>
      <c r="AC98" s="22">
        <f t="shared" si="57"/>
        <v>61.677670059660336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5.6843418860808015E-14</v>
      </c>
      <c r="AJ98" s="13">
        <f>AI98*VLOOKUP('Données projet'!$B$10,Paramètres!$A$1:$I$89,3,0)*VLOOKUP('Données projet'!$B$10,Paramètres!$A$1:$I$89,5,0)</f>
        <v>5.1431925385259088E-14</v>
      </c>
      <c r="AK98" s="13">
        <f t="shared" si="89"/>
        <v>8.3482866290946129E-13</v>
      </c>
      <c r="AL98" s="20">
        <f t="shared" si="58"/>
        <v>1.5435705246133045E-12</v>
      </c>
      <c r="AM98" s="59">
        <f t="shared" si="59"/>
        <v>293.33333333333485</v>
      </c>
      <c r="AN98" s="59">
        <f ca="1">AVERAGE(OFFSET($AM$3,0,0,'Données projet'!$E$10+1,1))-AVERAGE(OFFSET($H$3,0,0,'Données projet'!$E$10+1,1))</f>
        <v>244.25841067424</v>
      </c>
      <c r="AO98" s="59">
        <f t="shared" si="90"/>
        <v>538.53312094474745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22.123341380384293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22.123341380384293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-0.99999999999988631</v>
      </c>
      <c r="O99" s="13">
        <f>N99*VLOOKUP('Données projet'!$B$9,Paramètres!$A$1:$I$89,3,0)*VLOOKUP('Données projet'!$B$9,Paramètres!$A$1:$I$89,5,0)</f>
        <v>-0.59799999999993203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201.32564399503951</v>
      </c>
      <c r="T99" s="59">
        <f t="shared" si="88"/>
        <v>347.89731545007157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41.731645503872478</v>
      </c>
      <c r="AA99" s="21">
        <f>EXP(-LN(2)/25)*AA98+(1-EXP(-LN(2)/25))/(LN(2)/25)*Calculateur!V99*Calculateur!X99*VLOOKUP('Données projet'!$B$9,Paramètres!$A$1:$I$89,3,0)*0.475*44/12</f>
        <v>18.588716686001604</v>
      </c>
      <c r="AB99" s="21">
        <f>EXP(-LN(2)/2)*AB98+(1-EXP(-LN(2)/2))/(LN(2)/2)*V99*Y99*VLOOKUP('Données projet'!$B$9,Paramètres!$A$1:$I$89,3,0)*0.475*44/12</f>
        <v>5.5417689965298155E-6</v>
      </c>
      <c r="AC99" s="22">
        <f t="shared" si="57"/>
        <v>60.320367731643081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5.6843418860808015E-14</v>
      </c>
      <c r="AJ99" s="13">
        <f>AI99*VLOOKUP('Données projet'!$B$10,Paramètres!$A$1:$I$89,3,0)*VLOOKUP('Données projet'!$B$10,Paramètres!$A$1:$I$89,5,0)</f>
        <v>5.1431925385259088E-14</v>
      </c>
      <c r="AK99" s="13">
        <f t="shared" si="89"/>
        <v>8.3482866290946129E-13</v>
      </c>
      <c r="AL99" s="20">
        <f t="shared" si="58"/>
        <v>1.5435705246133045E-12</v>
      </c>
      <c r="AM99" s="59">
        <f t="shared" si="59"/>
        <v>293.33333333333485</v>
      </c>
      <c r="AN99" s="59">
        <f ca="1">AVERAGE(OFFSET($AM$3,0,0,'Données projet'!$E$10+1,1))-AVERAGE(OFFSET($H$3,0,0,'Données projet'!$E$10+1,1))</f>
        <v>244.25841067424</v>
      </c>
      <c r="AO99" s="59">
        <f t="shared" si="90"/>
        <v>538.53312094474745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21.689516149820786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21.689516149820786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-0.99999999999988631</v>
      </c>
      <c r="O100" s="13">
        <f>N100*VLOOKUP('Données projet'!$B$9,Paramètres!$A$1:$I$89,3,0)*VLOOKUP('Données projet'!$B$9,Paramètres!$A$1:$I$89,5,0)</f>
        <v>-0.59799999999993203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201.32564399503951</v>
      </c>
      <c r="T100" s="59">
        <f t="shared" si="88"/>
        <v>347.89731545007157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40.913313389331947</v>
      </c>
      <c r="AA100" s="21">
        <f>EXP(-LN(2)/25)*AA99+(1-EXP(-LN(2)/25))/(LN(2)/25)*Calculateur!V100*Calculateur!X100*VLOOKUP('Données projet'!$B$9,Paramètres!$A$1:$I$89,3,0)*0.475*44/12</f>
        <v>18.080407250684765</v>
      </c>
      <c r="AB100" s="21">
        <f>EXP(-LN(2)/2)*AB99+(1-EXP(-LN(2)/2))/(LN(2)/2)*V100*Y100*VLOOKUP('Données projet'!$B$9,Paramètres!$A$1:$I$89,3,0)*0.475*44/12</f>
        <v>3.9186224372156013E-6</v>
      </c>
      <c r="AC100" s="22">
        <f t="shared" si="57"/>
        <v>58.993724558639151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5.6843418860808015E-14</v>
      </c>
      <c r="AJ100" s="13">
        <f>AI100*VLOOKUP('Données projet'!$B$10,Paramètres!$A$1:$I$89,3,0)*VLOOKUP('Données projet'!$B$10,Paramètres!$A$1:$I$89,5,0)</f>
        <v>5.1431925385259088E-14</v>
      </c>
      <c r="AK100" s="13">
        <f t="shared" si="89"/>
        <v>8.3482866290946129E-13</v>
      </c>
      <c r="AL100" s="20">
        <f t="shared" si="58"/>
        <v>1.5435705246133045E-12</v>
      </c>
      <c r="AM100" s="59">
        <f t="shared" si="59"/>
        <v>293.33333333333485</v>
      </c>
      <c r="AN100" s="59">
        <f ca="1">AVERAGE(OFFSET($AM$3,0,0,'Données projet'!$E$10+1,1))-AVERAGE(OFFSET($H$3,0,0,'Données projet'!$E$10+1,1))</f>
        <v>244.25841067424</v>
      </c>
      <c r="AO100" s="59">
        <f t="shared" si="90"/>
        <v>538.53312094474745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21.264197967421367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21.264197967421367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-0.99999999999988631</v>
      </c>
      <c r="O101" s="13">
        <f>N101*VLOOKUP('Données projet'!$B$9,Paramètres!$A$1:$I$89,3,0)*VLOOKUP('Données projet'!$B$9,Paramètres!$A$1:$I$89,5,0)</f>
        <v>-0.59799999999993203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201.32564399503951</v>
      </c>
      <c r="T101" s="59">
        <f t="shared" si="88"/>
        <v>347.89731545007157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40.111028268424249</v>
      </c>
      <c r="AA101" s="21">
        <f>EXP(-LN(2)/25)*AA100+(1-EXP(-LN(2)/25))/(LN(2)/25)*Calculateur!V101*Calculateur!X101*VLOOKUP('Données projet'!$B$9,Paramètres!$A$1:$I$89,3,0)*0.475*44/12</f>
        <v>17.585997563607496</v>
      </c>
      <c r="AB101" s="21">
        <f>EXP(-LN(2)/2)*AB100+(1-EXP(-LN(2)/2))/(LN(2)/2)*V101*Y101*VLOOKUP('Données projet'!$B$9,Paramètres!$A$1:$I$89,3,0)*0.475*44/12</f>
        <v>2.7708844982649078E-6</v>
      </c>
      <c r="AC101" s="22">
        <f t="shared" si="57"/>
        <v>57.697028602916241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5.6843418860808015E-14</v>
      </c>
      <c r="AJ101" s="13">
        <f>AI101*VLOOKUP('Données projet'!$B$10,Paramètres!$A$1:$I$89,3,0)*VLOOKUP('Données projet'!$B$10,Paramètres!$A$1:$I$89,5,0)</f>
        <v>5.1431925385259088E-14</v>
      </c>
      <c r="AK101" s="13">
        <f t="shared" si="89"/>
        <v>8.3482866290946129E-13</v>
      </c>
      <c r="AL101" s="20">
        <f t="shared" si="58"/>
        <v>1.5435705246133045E-12</v>
      </c>
      <c r="AM101" s="59">
        <f t="shared" si="59"/>
        <v>293.33333333333485</v>
      </c>
      <c r="AN101" s="59">
        <f ca="1">AVERAGE(OFFSET($AM$3,0,0,'Données projet'!$E$10+1,1))-AVERAGE(OFFSET($H$3,0,0,'Données projet'!$E$10+1,1))</f>
        <v>244.25841067424</v>
      </c>
      <c r="AO101" s="59">
        <f t="shared" si="90"/>
        <v>538.53312094474745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20.847220015160325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20.847220015160325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-0.99999999999988631</v>
      </c>
      <c r="O102" s="13">
        <f>N102*VLOOKUP('Données projet'!$B$9,Paramètres!$A$1:$I$89,3,0)*VLOOKUP('Données projet'!$B$9,Paramètres!$A$1:$I$89,5,0)</f>
        <v>-0.59799999999993203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201.32564399503951</v>
      </c>
      <c r="T102" s="59">
        <f t="shared" si="88"/>
        <v>347.89731545007157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39.324475469391942</v>
      </c>
      <c r="AA102" s="21">
        <f>EXP(-LN(2)/25)*AA101+(1-EXP(-LN(2)/25))/(LN(2)/25)*Calculateur!V102*Calculateur!X102*VLOOKUP('Données projet'!$B$9,Paramètres!$A$1:$I$89,3,0)*0.475*44/12</f>
        <v>17.10510753542323</v>
      </c>
      <c r="AB102" s="21">
        <f>EXP(-LN(2)/2)*AB101+(1-EXP(-LN(2)/2))/(LN(2)/2)*V102*Y102*VLOOKUP('Données projet'!$B$9,Paramètres!$A$1:$I$89,3,0)*0.475*44/12</f>
        <v>1.9593112186078006E-6</v>
      </c>
      <c r="AC102" s="22">
        <f t="shared" si="57"/>
        <v>56.429584964126391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5.6843418860808015E-14</v>
      </c>
      <c r="AJ102" s="13">
        <f>AI102*VLOOKUP('Données projet'!$B$10,Paramètres!$A$1:$I$89,3,0)*VLOOKUP('Données projet'!$B$10,Paramètres!$A$1:$I$89,5,0)</f>
        <v>5.1431925385259088E-14</v>
      </c>
      <c r="AK102" s="13">
        <f t="shared" si="89"/>
        <v>8.3482866290946129E-13</v>
      </c>
      <c r="AL102" s="20">
        <f t="shared" si="58"/>
        <v>1.5435705246133045E-12</v>
      </c>
      <c r="AM102" s="59">
        <f t="shared" si="59"/>
        <v>293.33333333333485</v>
      </c>
      <c r="AN102" s="59">
        <f ca="1">AVERAGE(OFFSET($AM$3,0,0,'Données projet'!$E$10+1,1))-AVERAGE(OFFSET($H$3,0,0,'Données projet'!$E$10+1,1))</f>
        <v>244.25841067424</v>
      </c>
      <c r="AO102" s="59">
        <f t="shared" si="90"/>
        <v>538.53312094474745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20.438418746211685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20.438418746211685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-0.99999999999988631</v>
      </c>
      <c r="O103" s="13">
        <f>N103*VLOOKUP('Données projet'!$B$9,Paramètres!$A$1:$I$89,3,0)*VLOOKUP('Données projet'!$B$9,Paramètres!$A$1:$I$89,5,0)</f>
        <v>-0.59799999999993203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201.32564399503951</v>
      </c>
      <c r="T103" s="59">
        <f t="shared" si="88"/>
        <v>347.89731545007157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38.553346490998827</v>
      </c>
      <c r="AA103" s="21">
        <f>EXP(-LN(2)/25)*AA102+(1-EXP(-LN(2)/25))/(LN(2)/25)*Calculateur!V103*Calculateur!X103*VLOOKUP('Données projet'!$B$9,Paramètres!$A$1:$I$89,3,0)*0.475*44/12</f>
        <v>16.637367470348572</v>
      </c>
      <c r="AB103" s="21">
        <f>EXP(-LN(2)/2)*AB102+(1-EXP(-LN(2)/2))/(LN(2)/2)*V103*Y103*VLOOKUP('Données projet'!$B$9,Paramètres!$A$1:$I$89,3,0)*0.475*44/12</f>
        <v>1.3854422491324539E-6</v>
      </c>
      <c r="AC103" s="22">
        <f t="shared" si="57"/>
        <v>55.190715346789645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5.6843418860808015E-14</v>
      </c>
      <c r="AJ103" s="13">
        <f>AI103*VLOOKUP('Données projet'!$B$10,Paramètres!$A$1:$I$89,3,0)*VLOOKUP('Données projet'!$B$10,Paramètres!$A$1:$I$89,5,0)</f>
        <v>5.1431925385259088E-14</v>
      </c>
      <c r="AK103" s="13">
        <f t="shared" si="89"/>
        <v>8.3482866290946129E-13</v>
      </c>
      <c r="AL103" s="20">
        <f t="shared" si="58"/>
        <v>1.5435705246133045E-12</v>
      </c>
      <c r="AM103" s="59">
        <f t="shared" si="59"/>
        <v>293.33333333333485</v>
      </c>
      <c r="AN103" s="59">
        <f ca="1">AVERAGE(OFFSET($AM$3,0,0,'Données projet'!$E$10+1,1))-AVERAGE(OFFSET($H$3,0,0,'Données projet'!$E$10+1,1))</f>
        <v>244.25841067424</v>
      </c>
      <c r="AO103" s="59">
        <f t="shared" si="90"/>
        <v>538.53312094474745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20.037633820802974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20.037633820802974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-0.99999999999988631</v>
      </c>
      <c r="O104" s="13">
        <f>N104*VLOOKUP('Données projet'!$B$9,Paramètres!$A$1:$I$89,3,0)*VLOOKUP('Données projet'!$B$9,Paramètres!$A$1:$I$89,5,0)</f>
        <v>-0.59799999999993203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201.32564399503951</v>
      </c>
      <c r="T104" s="59">
        <f t="shared" si="88"/>
        <v>347.89731545007157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37.797338881529761</v>
      </c>
      <c r="AA104" s="21">
        <f>EXP(-LN(2)/25)*AA103+(1-EXP(-LN(2)/25))/(LN(2)/25)*Calculateur!V104*Calculateur!X104*VLOOKUP('Données projet'!$B$9,Paramètres!$A$1:$I$89,3,0)*0.475*44/12</f>
        <v>16.182417781950761</v>
      </c>
      <c r="AB104" s="21">
        <f>EXP(-LN(2)/2)*AB103+(1-EXP(-LN(2)/2))/(LN(2)/2)*V104*Y104*VLOOKUP('Données projet'!$B$9,Paramètres!$A$1:$I$89,3,0)*0.475*44/12</f>
        <v>9.7965560930390031E-7</v>
      </c>
      <c r="AC104" s="22">
        <f t="shared" si="57"/>
        <v>53.979757643136132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5.6843418860808015E-14</v>
      </c>
      <c r="AJ104" s="13">
        <f>AI104*VLOOKUP('Données projet'!$B$10,Paramètres!$A$1:$I$89,3,0)*VLOOKUP('Données projet'!$B$10,Paramètres!$A$1:$I$89,5,0)</f>
        <v>5.1431925385259088E-14</v>
      </c>
      <c r="AK104" s="13">
        <f t="shared" si="89"/>
        <v>8.3482866290946129E-13</v>
      </c>
      <c r="AL104" s="20">
        <f t="shared" si="58"/>
        <v>1.5435705246133045E-12</v>
      </c>
      <c r="AM104" s="59">
        <f t="shared" si="59"/>
        <v>293.33333333333485</v>
      </c>
      <c r="AN104" s="59">
        <f ca="1">AVERAGE(OFFSET($AM$3,0,0,'Données projet'!$E$10+1,1))-AVERAGE(OFFSET($H$3,0,0,'Données projet'!$E$10+1,1))</f>
        <v>244.25841067424</v>
      </c>
      <c r="AO104" s="59">
        <f t="shared" si="90"/>
        <v>538.53312094474745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19.644708043326862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19.644708043326862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-0.99999999999988631</v>
      </c>
      <c r="O105" s="13">
        <f>N105*VLOOKUP('Données projet'!$B$9,Paramètres!$A$1:$I$89,3,0)*VLOOKUP('Données projet'!$B$9,Paramètres!$A$1:$I$89,5,0)</f>
        <v>-0.59799999999993203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201.32564399503951</v>
      </c>
      <c r="T105" s="59">
        <f t="shared" si="88"/>
        <v>347.89731545007157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37.05615612016328</v>
      </c>
      <c r="AA105" s="21">
        <f>EXP(-LN(2)/25)*AA104+(1-EXP(-LN(2)/25))/(LN(2)/25)*Calculateur!V105*Calculateur!X105*VLOOKUP('Données projet'!$B$9,Paramètres!$A$1:$I$89,3,0)*0.475*44/12</f>
        <v>15.739908716706951</v>
      </c>
      <c r="AB105" s="21">
        <f>EXP(-LN(2)/2)*AB104+(1-EXP(-LN(2)/2))/(LN(2)/2)*V105*Y105*VLOOKUP('Données projet'!$B$9,Paramètres!$A$1:$I$89,3,0)*0.475*44/12</f>
        <v>6.9272112456622694E-7</v>
      </c>
      <c r="AC105" s="22">
        <f t="shared" si="57"/>
        <v>52.796065529591353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5.6843418860808015E-14</v>
      </c>
      <c r="AJ105" s="13">
        <f>AI105*VLOOKUP('Données projet'!$B$10,Paramètres!$A$1:$I$89,3,0)*VLOOKUP('Données projet'!$B$10,Paramètres!$A$1:$I$89,5,0)</f>
        <v>5.1431925385259088E-14</v>
      </c>
      <c r="AK105" s="13">
        <f t="shared" si="89"/>
        <v>8.3482866290946129E-13</v>
      </c>
      <c r="AL105" s="20">
        <f t="shared" si="58"/>
        <v>1.5435705246133045E-12</v>
      </c>
      <c r="AM105" s="59">
        <f t="shared" si="59"/>
        <v>293.33333333333485</v>
      </c>
      <c r="AN105" s="59">
        <f ca="1">AVERAGE(OFFSET($AM$3,0,0,'Données projet'!$E$10+1,1))-AVERAGE(OFFSET($H$3,0,0,'Données projet'!$E$10+1,1))</f>
        <v>244.25841067424</v>
      </c>
      <c r="AO105" s="59">
        <f t="shared" si="90"/>
        <v>538.53312094474745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19.259487300685997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19.259487300685997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-0.99999999999988631</v>
      </c>
      <c r="O106" s="13">
        <f>N106*VLOOKUP('Données projet'!$B$9,Paramètres!$A$1:$I$89,3,0)*VLOOKUP('Données projet'!$B$9,Paramètres!$A$1:$I$89,5,0)</f>
        <v>-0.59799999999993203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201.32564399503951</v>
      </c>
      <c r="T106" s="59">
        <f t="shared" si="88"/>
        <v>347.89731545007157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36.329507500670346</v>
      </c>
      <c r="AA106" s="21">
        <f>EXP(-LN(2)/25)*AA105+(1-EXP(-LN(2)/25))/(LN(2)/25)*Calculateur!V106*Calculateur!X106*VLOOKUP('Données projet'!$B$9,Paramètres!$A$1:$I$89,3,0)*0.475*44/12</f>
        <v>15.309500085122774</v>
      </c>
      <c r="AB106" s="21">
        <f>EXP(-LN(2)/2)*AB105+(1-EXP(-LN(2)/2))/(LN(2)/2)*V106*Y106*VLOOKUP('Données projet'!$B$9,Paramètres!$A$1:$I$89,3,0)*0.475*44/12</f>
        <v>4.8982780465195016E-7</v>
      </c>
      <c r="AC106" s="22">
        <f t="shared" si="57"/>
        <v>51.639008075620929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5.6843418860808015E-14</v>
      </c>
      <c r="AJ106" s="13">
        <f>AI106*VLOOKUP('Données projet'!$B$10,Paramètres!$A$1:$I$89,3,0)*VLOOKUP('Données projet'!$B$10,Paramètres!$A$1:$I$89,5,0)</f>
        <v>5.1431925385259088E-14</v>
      </c>
      <c r="AK106" s="13">
        <f t="shared" si="89"/>
        <v>8.3482866290946129E-13</v>
      </c>
      <c r="AL106" s="20">
        <f t="shared" si="58"/>
        <v>1.5435705246133045E-12</v>
      </c>
      <c r="AM106" s="59">
        <f t="shared" si="59"/>
        <v>293.33333333333485</v>
      </c>
      <c r="AN106" s="59">
        <f ca="1">AVERAGE(OFFSET($AM$3,0,0,'Données projet'!$E$10+1,1))-AVERAGE(OFFSET($H$3,0,0,'Données projet'!$E$10+1,1))</f>
        <v>244.25841067424</v>
      </c>
      <c r="AO106" s="59">
        <f t="shared" si="90"/>
        <v>538.53312094474745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18.881820501846864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18.881820501846864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-0.99999999999988631</v>
      </c>
      <c r="O107" s="13">
        <f>N107*VLOOKUP('Données projet'!$B$9,Paramètres!$A$1:$I$89,3,0)*VLOOKUP('Données projet'!$B$9,Paramètres!$A$1:$I$89,5,0)</f>
        <v>-0.59799999999993203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201.32564399503951</v>
      </c>
      <c r="T107" s="59">
        <f t="shared" si="88"/>
        <v>347.89731545007157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35.617108017393775</v>
      </c>
      <c r="AA107" s="21">
        <f>EXP(-LN(2)/25)*AA106+(1-EXP(-LN(2)/25))/(LN(2)/25)*Calculateur!V107*Calculateur!X107*VLOOKUP('Données projet'!$B$9,Paramètres!$A$1:$I$89,3,0)*0.475*44/12</f>
        <v>14.890861000203474</v>
      </c>
      <c r="AB107" s="21">
        <f>EXP(-LN(2)/2)*AB106+(1-EXP(-LN(2)/2))/(LN(2)/2)*V107*Y107*VLOOKUP('Données projet'!$B$9,Paramètres!$A$1:$I$89,3,0)*0.475*44/12</f>
        <v>3.4636056228311347E-7</v>
      </c>
      <c r="AC107" s="22">
        <f t="shared" si="57"/>
        <v>50.507969363957812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5.6843418860808015E-14</v>
      </c>
      <c r="AJ107" s="13">
        <f>AI107*VLOOKUP('Données projet'!$B$10,Paramètres!$A$1:$I$89,3,0)*VLOOKUP('Données projet'!$B$10,Paramètres!$A$1:$I$89,5,0)</f>
        <v>5.1431925385259088E-14</v>
      </c>
      <c r="AK107" s="13">
        <f t="shared" si="89"/>
        <v>8.3482866290946129E-13</v>
      </c>
      <c r="AL107" s="20">
        <f t="shared" si="58"/>
        <v>1.5435705246133045E-12</v>
      </c>
      <c r="AM107" s="59">
        <f t="shared" si="59"/>
        <v>293.33333333333485</v>
      </c>
      <c r="AN107" s="59">
        <f ca="1">AVERAGE(OFFSET($AM$3,0,0,'Données projet'!$E$10+1,1))-AVERAGE(OFFSET($H$3,0,0,'Données projet'!$E$10+1,1))</f>
        <v>244.25841067424</v>
      </c>
      <c r="AO107" s="59">
        <f t="shared" si="90"/>
        <v>538.53312094474745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18.511559518578967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18.511559518578967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-0.99999999999988631</v>
      </c>
      <c r="O108" s="13">
        <f>N108*VLOOKUP('Données projet'!$B$9,Paramètres!$A$1:$I$89,3,0)*VLOOKUP('Données projet'!$B$9,Paramètres!$A$1:$I$89,5,0)</f>
        <v>-0.59799999999993203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201.32564399503951</v>
      </c>
      <c r="T108" s="59">
        <f t="shared" si="88"/>
        <v>347.89731545007157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34.918678253463476</v>
      </c>
      <c r="AA108" s="21">
        <f>EXP(-LN(2)/25)*AA107+(1-EXP(-LN(2)/25))/(LN(2)/25)*Calculateur!V108*Calculateur!X108*VLOOKUP('Données projet'!$B$9,Paramètres!$A$1:$I$89,3,0)*0.475*44/12</f>
        <v>14.483669623076564</v>
      </c>
      <c r="AB108" s="21">
        <f>EXP(-LN(2)/2)*AB107+(1-EXP(-LN(2)/2))/(LN(2)/2)*V108*Y108*VLOOKUP('Données projet'!$B$9,Paramètres!$A$1:$I$89,3,0)*0.475*44/12</f>
        <v>2.4491390232597508E-7</v>
      </c>
      <c r="AC108" s="22">
        <f t="shared" si="57"/>
        <v>49.40234812145394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5.6843418860808015E-14</v>
      </c>
      <c r="AJ108" s="13">
        <f>AI108*VLOOKUP('Données projet'!$B$10,Paramètres!$A$1:$I$89,3,0)*VLOOKUP('Données projet'!$B$10,Paramètres!$A$1:$I$89,5,0)</f>
        <v>5.1431925385259088E-14</v>
      </c>
      <c r="AK108" s="13">
        <f t="shared" si="89"/>
        <v>8.3482866290946129E-13</v>
      </c>
      <c r="AL108" s="20">
        <f t="shared" si="58"/>
        <v>1.5435705246133045E-12</v>
      </c>
      <c r="AM108" s="59">
        <f t="shared" si="59"/>
        <v>293.33333333333485</v>
      </c>
      <c r="AN108" s="59">
        <f ca="1">AVERAGE(OFFSET($AM$3,0,0,'Données projet'!$E$10+1,1))-AVERAGE(OFFSET($H$3,0,0,'Données projet'!$E$10+1,1))</f>
        <v>244.25841067424</v>
      </c>
      <c r="AO108" s="59">
        <f t="shared" si="90"/>
        <v>538.53312094474745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18.148559127356052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18.148559127356052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-0.99999999999988631</v>
      </c>
      <c r="O109" s="13">
        <f>N109*VLOOKUP('Données projet'!$B$9,Paramètres!$A$1:$I$89,3,0)*VLOOKUP('Données projet'!$B$9,Paramètres!$A$1:$I$89,5,0)</f>
        <v>-0.59799999999993203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201.32564399503951</v>
      </c>
      <c r="T109" s="59">
        <f t="shared" si="88"/>
        <v>347.89731545007157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34.233944271203761</v>
      </c>
      <c r="AA109" s="21">
        <f>EXP(-LN(2)/25)*AA108+(1-EXP(-LN(2)/25))/(LN(2)/25)*Calculateur!V109*Calculateur!X109*VLOOKUP('Données projet'!$B$9,Paramètres!$A$1:$I$89,3,0)*0.475*44/12</f>
        <v>14.087612915570451</v>
      </c>
      <c r="AB109" s="21">
        <f>EXP(-LN(2)/2)*AB108+(1-EXP(-LN(2)/2))/(LN(2)/2)*V109*Y109*VLOOKUP('Données projet'!$B$9,Paramètres!$A$1:$I$89,3,0)*0.475*44/12</f>
        <v>1.7318028114155673E-7</v>
      </c>
      <c r="AC109" s="22">
        <f t="shared" si="57"/>
        <v>48.321557359954497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5.6843418860808015E-14</v>
      </c>
      <c r="AJ109" s="13">
        <f>AI109*VLOOKUP('Données projet'!$B$10,Paramètres!$A$1:$I$89,3,0)*VLOOKUP('Données projet'!$B$10,Paramètres!$A$1:$I$89,5,0)</f>
        <v>5.1431925385259088E-14</v>
      </c>
      <c r="AK109" s="13">
        <f t="shared" si="89"/>
        <v>8.3482866290946129E-13</v>
      </c>
      <c r="AL109" s="20">
        <f t="shared" si="58"/>
        <v>1.5435705246133045E-12</v>
      </c>
      <c r="AM109" s="59">
        <f t="shared" si="59"/>
        <v>293.33333333333485</v>
      </c>
      <c r="AN109" s="59">
        <f ca="1">AVERAGE(OFFSET($AM$3,0,0,'Données projet'!$E$10+1,1))-AVERAGE(OFFSET($H$3,0,0,'Données projet'!$E$10+1,1))</f>
        <v>244.25841067424</v>
      </c>
      <c r="AO109" s="59">
        <f t="shared" si="90"/>
        <v>538.53312094474745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17.792676952396643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17.792676952396643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-0.99999999999988631</v>
      </c>
      <c r="O110" s="13">
        <f>N110*VLOOKUP('Données projet'!$B$9,Paramètres!$A$1:$I$89,3,0)*VLOOKUP('Données projet'!$B$9,Paramètres!$A$1:$I$89,5,0)</f>
        <v>-0.59799999999993203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201.32564399503951</v>
      </c>
      <c r="T110" s="59">
        <f t="shared" si="88"/>
        <v>347.89731545007157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33.562637504689668</v>
      </c>
      <c r="AA110" s="21">
        <f>EXP(-LN(2)/25)*AA109+(1-EXP(-LN(2)/25))/(LN(2)/25)*Calculateur!V110*Calculateur!X110*VLOOKUP('Données projet'!$B$9,Paramètres!$A$1:$I$89,3,0)*0.475*44/12</f>
        <v>13.702386399558812</v>
      </c>
      <c r="AB110" s="21">
        <f>EXP(-LN(2)/2)*AB109+(1-EXP(-LN(2)/2))/(LN(2)/2)*V110*Y110*VLOOKUP('Données projet'!$B$9,Paramètres!$A$1:$I$89,3,0)*0.475*44/12</f>
        <v>1.2245695116298754E-7</v>
      </c>
      <c r="AC110" s="22">
        <f t="shared" si="57"/>
        <v>47.265024026705433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5.6843418860808015E-14</v>
      </c>
      <c r="AJ110" s="13">
        <f>AI110*VLOOKUP('Données projet'!$B$10,Paramètres!$A$1:$I$89,3,0)*VLOOKUP('Données projet'!$B$10,Paramètres!$A$1:$I$89,5,0)</f>
        <v>5.1431925385259088E-14</v>
      </c>
      <c r="AK110" s="13">
        <f t="shared" si="89"/>
        <v>8.3482866290946129E-13</v>
      </c>
      <c r="AL110" s="20">
        <f t="shared" si="58"/>
        <v>1.5435705246133045E-12</v>
      </c>
      <c r="AM110" s="59">
        <f t="shared" si="59"/>
        <v>293.33333333333485</v>
      </c>
      <c r="AN110" s="59">
        <f ca="1">AVERAGE(OFFSET($AM$3,0,0,'Données projet'!$E$10+1,1))-AVERAGE(OFFSET($H$3,0,0,'Données projet'!$E$10+1,1))</f>
        <v>244.25841067424</v>
      </c>
      <c r="AO110" s="59">
        <f t="shared" si="90"/>
        <v>538.53312094474745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17.443773409821496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17.443773409821496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-0.99999999999988631</v>
      </c>
      <c r="O111" s="13">
        <f>N111*VLOOKUP('Données projet'!$B$9,Paramètres!$A$1:$I$89,3,0)*VLOOKUP('Données projet'!$B$9,Paramètres!$A$1:$I$89,5,0)</f>
        <v>-0.59799999999993203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201.32564399503951</v>
      </c>
      <c r="T111" s="59">
        <f t="shared" si="88"/>
        <v>347.89731545007157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32.904494654410222</v>
      </c>
      <c r="AA111" s="21">
        <f>EXP(-LN(2)/25)*AA110+(1-EXP(-LN(2)/25))/(LN(2)/25)*Calculateur!V111*Calculateur!X111*VLOOKUP('Données projet'!$B$9,Paramètres!$A$1:$I$89,3,0)*0.475*44/12</f>
        <v>13.327693922885691</v>
      </c>
      <c r="AB111" s="21">
        <f>EXP(-LN(2)/2)*AB110+(1-EXP(-LN(2)/2))/(LN(2)/2)*V111*Y111*VLOOKUP('Données projet'!$B$9,Paramètres!$A$1:$I$89,3,0)*0.475*44/12</f>
        <v>8.6590140570778367E-8</v>
      </c>
      <c r="AC111" s="22">
        <f t="shared" si="57"/>
        <v>46.232188663886056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5.6843418860808015E-14</v>
      </c>
      <c r="AJ111" s="13">
        <f>AI111*VLOOKUP('Données projet'!$B$10,Paramètres!$A$1:$I$89,3,0)*VLOOKUP('Données projet'!$B$10,Paramètres!$A$1:$I$89,5,0)</f>
        <v>5.1431925385259088E-14</v>
      </c>
      <c r="AK111" s="13">
        <f t="shared" si="89"/>
        <v>8.3482866290946129E-13</v>
      </c>
      <c r="AL111" s="20">
        <f t="shared" si="58"/>
        <v>1.5435705246133045E-12</v>
      </c>
      <c r="AM111" s="59">
        <f t="shared" si="59"/>
        <v>293.33333333333485</v>
      </c>
      <c r="AN111" s="59">
        <f ca="1">AVERAGE(OFFSET($AM$3,0,0,'Données projet'!$E$10+1,1))-AVERAGE(OFFSET($H$3,0,0,'Données projet'!$E$10+1,1))</f>
        <v>244.25841067424</v>
      </c>
      <c r="AO111" s="59">
        <f t="shared" si="90"/>
        <v>538.53312094474745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17.101711652906097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17.101711652906097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-0.99999999999988631</v>
      </c>
      <c r="O112" s="13">
        <f>N112*VLOOKUP('Données projet'!$B$9,Paramètres!$A$1:$I$89,3,0)*VLOOKUP('Données projet'!$B$9,Paramètres!$A$1:$I$89,5,0)</f>
        <v>-0.59799999999993203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201.32564399503951</v>
      </c>
      <c r="T112" s="59">
        <f t="shared" si="88"/>
        <v>347.89731545007157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32.259257583997254</v>
      </c>
      <c r="AA112" s="21">
        <f>EXP(-LN(2)/25)*AA111+(1-EXP(-LN(2)/25))/(LN(2)/25)*Calculateur!V112*Calculateur!X112*VLOOKUP('Données projet'!$B$9,Paramètres!$A$1:$I$89,3,0)*0.475*44/12</f>
        <v>12.963247431691419</v>
      </c>
      <c r="AB112" s="21">
        <f>EXP(-LN(2)/2)*AB111+(1-EXP(-LN(2)/2))/(LN(2)/2)*V112*Y112*VLOOKUP('Données projet'!$B$9,Paramètres!$A$1:$I$89,3,0)*0.475*44/12</f>
        <v>6.122847558149377E-8</v>
      </c>
      <c r="AC112" s="22">
        <f t="shared" si="57"/>
        <v>45.222505076917152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5.6843418860808015E-14</v>
      </c>
      <c r="AJ112" s="13">
        <f>AI112*VLOOKUP('Données projet'!$B$10,Paramètres!$A$1:$I$89,3,0)*VLOOKUP('Données projet'!$B$10,Paramètres!$A$1:$I$89,5,0)</f>
        <v>5.1431925385259088E-14</v>
      </c>
      <c r="AK112" s="13">
        <f t="shared" si="89"/>
        <v>8.3482866290946129E-13</v>
      </c>
      <c r="AL112" s="20">
        <f t="shared" si="58"/>
        <v>1.5435705246133045E-12</v>
      </c>
      <c r="AM112" s="59">
        <f t="shared" si="59"/>
        <v>293.33333333333485</v>
      </c>
      <c r="AN112" s="59">
        <f ca="1">AVERAGE(OFFSET($AM$3,0,0,'Données projet'!$E$10+1,1))-AVERAGE(OFFSET($H$3,0,0,'Données projet'!$E$10+1,1))</f>
        <v>244.25841067424</v>
      </c>
      <c r="AO112" s="59">
        <f t="shared" si="90"/>
        <v>538.53312094474745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16.766357518406739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16.766357518406739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-0.99999999999988631</v>
      </c>
      <c r="O113" s="13">
        <f>N113*VLOOKUP('Données projet'!$B$9,Paramètres!$A$1:$I$89,3,0)*VLOOKUP('Données projet'!$B$9,Paramètres!$A$1:$I$89,5,0)</f>
        <v>-0.59799999999993203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201.32564399503951</v>
      </c>
      <c r="T113" s="59">
        <f t="shared" si="88"/>
        <v>347.89731545007157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31.626673218979331</v>
      </c>
      <c r="AA113" s="21">
        <f>EXP(-LN(2)/25)*AA112+(1-EXP(-LN(2)/25))/(LN(2)/25)*Calculateur!V113*Calculateur!X113*VLOOKUP('Données projet'!$B$9,Paramètres!$A$1:$I$89,3,0)*0.475*44/12</f>
        <v>12.608766748964262</v>
      </c>
      <c r="AB113" s="21">
        <f>EXP(-LN(2)/2)*AB112+(1-EXP(-LN(2)/2))/(LN(2)/2)*V113*Y113*VLOOKUP('Données projet'!$B$9,Paramètres!$A$1:$I$89,3,0)*0.475*44/12</f>
        <v>4.3295070285389184E-8</v>
      </c>
      <c r="AC113" s="22">
        <f t="shared" si="57"/>
        <v>44.235440011238659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5.6843418860808015E-14</v>
      </c>
      <c r="AJ113" s="13">
        <f>AI113*VLOOKUP('Données projet'!$B$10,Paramètres!$A$1:$I$89,3,0)*VLOOKUP('Données projet'!$B$10,Paramètres!$A$1:$I$89,5,0)</f>
        <v>5.1431925385259088E-14</v>
      </c>
      <c r="AK113" s="13">
        <f t="shared" si="89"/>
        <v>8.3482866290946129E-13</v>
      </c>
      <c r="AL113" s="20">
        <f t="shared" si="58"/>
        <v>1.5435705246133045E-12</v>
      </c>
      <c r="AM113" s="59">
        <f t="shared" si="59"/>
        <v>293.33333333333485</v>
      </c>
      <c r="AN113" s="59">
        <f ca="1">AVERAGE(OFFSET($AM$3,0,0,'Données projet'!$E$10+1,1))-AVERAGE(OFFSET($H$3,0,0,'Données projet'!$E$10+1,1))</f>
        <v>244.25841067424</v>
      </c>
      <c r="AO113" s="59">
        <f t="shared" si="90"/>
        <v>538.53312094474745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16.437579473939088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16.437579473939088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-0.99999999999988631</v>
      </c>
      <c r="O114" s="13">
        <f>N114*VLOOKUP('Données projet'!$B$9,Paramètres!$A$1:$I$89,3,0)*VLOOKUP('Données projet'!$B$9,Paramètres!$A$1:$I$89,5,0)</f>
        <v>-0.59799999999993203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201.32564399503951</v>
      </c>
      <c r="T114" s="59">
        <f t="shared" si="88"/>
        <v>347.89731545007157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31.006493447521045</v>
      </c>
      <c r="AA114" s="21">
        <f>EXP(-LN(2)/25)*AA113+(1-EXP(-LN(2)/25))/(LN(2)/25)*Calculateur!V114*Calculateur!X114*VLOOKUP('Données projet'!$B$9,Paramètres!$A$1:$I$89,3,0)*0.475*44/12</f>
        <v>12.263979359147609</v>
      </c>
      <c r="AB114" s="21">
        <f>EXP(-LN(2)/2)*AB113+(1-EXP(-LN(2)/2))/(LN(2)/2)*V114*Y114*VLOOKUP('Données projet'!$B$9,Paramètres!$A$1:$I$89,3,0)*0.475*44/12</f>
        <v>3.0614237790746885E-8</v>
      </c>
      <c r="AC114" s="22">
        <f t="shared" si="57"/>
        <v>43.270472837282888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5.6843418860808015E-14</v>
      </c>
      <c r="AJ114" s="13">
        <f>AI114*VLOOKUP('Données projet'!$B$10,Paramètres!$A$1:$I$89,3,0)*VLOOKUP('Données projet'!$B$10,Paramètres!$A$1:$I$89,5,0)</f>
        <v>5.1431925385259088E-14</v>
      </c>
      <c r="AK114" s="13">
        <f t="shared" si="89"/>
        <v>8.3482866290946129E-13</v>
      </c>
      <c r="AL114" s="20">
        <f t="shared" si="58"/>
        <v>1.5435705246133045E-12</v>
      </c>
      <c r="AM114" s="59">
        <f t="shared" si="59"/>
        <v>293.33333333333485</v>
      </c>
      <c r="AN114" s="59">
        <f ca="1">AVERAGE(OFFSET($AM$3,0,0,'Données projet'!$E$10+1,1))-AVERAGE(OFFSET($H$3,0,0,'Données projet'!$E$10+1,1))</f>
        <v>244.25841067424</v>
      </c>
      <c r="AO114" s="59">
        <f t="shared" si="90"/>
        <v>538.53312094474745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16.115248566388644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16.115248566388644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-0.99999999999988631</v>
      </c>
      <c r="O115" s="13">
        <f>N115*VLOOKUP('Données projet'!$B$9,Paramètres!$A$1:$I$89,3,0)*VLOOKUP('Données projet'!$B$9,Paramètres!$A$1:$I$89,5,0)</f>
        <v>-0.59799999999993203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201.32564399503951</v>
      </c>
      <c r="T115" s="59">
        <f t="shared" si="88"/>
        <v>347.89731545007157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30.398475023108745</v>
      </c>
      <c r="AA115" s="21">
        <f>EXP(-LN(2)/25)*AA114+(1-EXP(-LN(2)/25))/(LN(2)/25)*Calculateur!V115*Calculateur!X115*VLOOKUP('Données projet'!$B$9,Paramètres!$A$1:$I$89,3,0)*0.475*44/12</f>
        <v>11.928620198637072</v>
      </c>
      <c r="AB115" s="21">
        <f>EXP(-LN(2)/2)*AB114+(1-EXP(-LN(2)/2))/(LN(2)/2)*V115*Y115*VLOOKUP('Données projet'!$B$9,Paramètres!$A$1:$I$89,3,0)*0.475*44/12</f>
        <v>2.1647535142694592E-8</v>
      </c>
      <c r="AC115" s="22">
        <f t="shared" si="57"/>
        <v>42.327095243393352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5.6843418860808015E-14</v>
      </c>
      <c r="AJ115" s="13">
        <f>AI115*VLOOKUP('Données projet'!$B$10,Paramètres!$A$1:$I$89,3,0)*VLOOKUP('Données projet'!$B$10,Paramètres!$A$1:$I$89,5,0)</f>
        <v>5.1431925385259088E-14</v>
      </c>
      <c r="AK115" s="13">
        <f t="shared" si="89"/>
        <v>8.3482866290946129E-13</v>
      </c>
      <c r="AL115" s="20">
        <f t="shared" si="58"/>
        <v>1.5435705246133045E-12</v>
      </c>
      <c r="AM115" s="59">
        <f t="shared" si="59"/>
        <v>293.33333333333485</v>
      </c>
      <c r="AN115" s="59">
        <f ca="1">AVERAGE(OFFSET($AM$3,0,0,'Données projet'!$E$10+1,1))-AVERAGE(OFFSET($H$3,0,0,'Données projet'!$E$10+1,1))</f>
        <v>244.25841067424</v>
      </c>
      <c r="AO115" s="59">
        <f t="shared" si="90"/>
        <v>538.53312094474745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15.799238371332821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15.799238371332821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-0.99999999999988631</v>
      </c>
      <c r="O116" s="13">
        <f>N116*VLOOKUP('Données projet'!$B$9,Paramètres!$A$1:$I$89,3,0)*VLOOKUP('Données projet'!$B$9,Paramètres!$A$1:$I$89,5,0)</f>
        <v>-0.59799999999993203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201.32564399503951</v>
      </c>
      <c r="T116" s="59">
        <f t="shared" si="88"/>
        <v>347.89731545007157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29.802379469144551</v>
      </c>
      <c r="AA116" s="21">
        <f>EXP(-LN(2)/25)*AA115+(1-EXP(-LN(2)/25))/(LN(2)/25)*Calculateur!V116*Calculateur!X116*VLOOKUP('Données projet'!$B$9,Paramètres!$A$1:$I$89,3,0)*0.475*44/12</f>
        <v>11.602431452006467</v>
      </c>
      <c r="AB116" s="21">
        <f>EXP(-LN(2)/2)*AB115+(1-EXP(-LN(2)/2))/(LN(2)/2)*V116*Y116*VLOOKUP('Données projet'!$B$9,Paramètres!$A$1:$I$89,3,0)*0.475*44/12</f>
        <v>1.5307118895373442E-8</v>
      </c>
      <c r="AC116" s="22">
        <f t="shared" si="57"/>
        <v>41.404810936458134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5.6843418860808015E-14</v>
      </c>
      <c r="AJ116" s="13">
        <f>AI116*VLOOKUP('Données projet'!$B$10,Paramètres!$A$1:$I$89,3,0)*VLOOKUP('Données projet'!$B$10,Paramètres!$A$1:$I$89,5,0)</f>
        <v>5.1431925385259088E-14</v>
      </c>
      <c r="AK116" s="13">
        <f t="shared" si="89"/>
        <v>8.3482866290946129E-13</v>
      </c>
      <c r="AL116" s="20">
        <f t="shared" si="58"/>
        <v>1.5435705246133045E-12</v>
      </c>
      <c r="AM116" s="59">
        <f t="shared" si="59"/>
        <v>293.33333333333485</v>
      </c>
      <c r="AN116" s="59">
        <f ca="1">AVERAGE(OFFSET($AM$3,0,0,'Données projet'!$E$10+1,1))-AVERAGE(OFFSET($H$3,0,0,'Données projet'!$E$10+1,1))</f>
        <v>244.25841067424</v>
      </c>
      <c r="AO116" s="59">
        <f t="shared" si="90"/>
        <v>538.53312094474745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15.489424943454857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15.489424943454857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-0.99999999999988631</v>
      </c>
      <c r="O117" s="13">
        <f>N117*VLOOKUP('Données projet'!$B$9,Paramètres!$A$1:$I$89,3,0)*VLOOKUP('Données projet'!$B$9,Paramètres!$A$1:$I$89,5,0)</f>
        <v>-0.59799999999993203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201.32564399503951</v>
      </c>
      <c r="T117" s="59">
        <f t="shared" si="88"/>
        <v>347.89731545007157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29.217972985411208</v>
      </c>
      <c r="AA117" s="21">
        <f>EXP(-LN(2)/25)*AA116+(1-EXP(-LN(2)/25))/(LN(2)/25)*Calculateur!V117*Calculateur!X117*VLOOKUP('Données projet'!$B$9,Paramètres!$A$1:$I$89,3,0)*0.475*44/12</f>
        <v>11.285162353805998</v>
      </c>
      <c r="AB117" s="21">
        <f>EXP(-LN(2)/2)*AB116+(1-EXP(-LN(2)/2))/(LN(2)/2)*V117*Y117*VLOOKUP('Données projet'!$B$9,Paramètres!$A$1:$I$89,3,0)*0.475*44/12</f>
        <v>1.0823767571347296E-8</v>
      </c>
      <c r="AC117" s="22">
        <f t="shared" si="57"/>
        <v>40.503135350040978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5.6843418860808015E-14</v>
      </c>
      <c r="AJ117" s="13">
        <f>AI117*VLOOKUP('Données projet'!$B$10,Paramètres!$A$1:$I$89,3,0)*VLOOKUP('Données projet'!$B$10,Paramètres!$A$1:$I$89,5,0)</f>
        <v>5.1431925385259088E-14</v>
      </c>
      <c r="AK117" s="13">
        <f t="shared" si="89"/>
        <v>8.3482866290946129E-13</v>
      </c>
      <c r="AL117" s="20">
        <f t="shared" si="58"/>
        <v>1.5435705246133045E-12</v>
      </c>
      <c r="AM117" s="59">
        <f t="shared" si="59"/>
        <v>293.33333333333485</v>
      </c>
      <c r="AN117" s="59">
        <f ca="1">AVERAGE(OFFSET($AM$3,0,0,'Données projet'!$E$10+1,1))-AVERAGE(OFFSET($H$3,0,0,'Données projet'!$E$10+1,1))</f>
        <v>244.25841067424</v>
      </c>
      <c r="AO117" s="59">
        <f t="shared" si="90"/>
        <v>538.53312094474745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15.185686767930049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15.185686767930049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-0.99999999999988631</v>
      </c>
      <c r="O118" s="13">
        <f>N118*VLOOKUP('Données projet'!$B$9,Paramètres!$A$1:$I$89,3,0)*VLOOKUP('Données projet'!$B$9,Paramètres!$A$1:$I$89,5,0)</f>
        <v>-0.59799999999993203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201.32564399503951</v>
      </c>
      <c r="T118" s="59">
        <f t="shared" si="88"/>
        <v>347.89731545007157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28.645026356371119</v>
      </c>
      <c r="AA118" s="21">
        <f>EXP(-LN(2)/25)*AA117+(1-EXP(-LN(2)/25))/(LN(2)/25)*Calculateur!V118*Calculateur!X118*VLOOKUP('Données projet'!$B$9,Paramètres!$A$1:$I$89,3,0)*0.475*44/12</f>
        <v>10.976568995780276</v>
      </c>
      <c r="AB118" s="21">
        <f>EXP(-LN(2)/2)*AB117+(1-EXP(-LN(2)/2))/(LN(2)/2)*V118*Y118*VLOOKUP('Données projet'!$B$9,Paramètres!$A$1:$I$89,3,0)*0.475*44/12</f>
        <v>7.6535594476867212E-9</v>
      </c>
      <c r="AC118" s="22">
        <f t="shared" si="57"/>
        <v>39.621595359804957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5.6843418860808015E-14</v>
      </c>
      <c r="AJ118" s="13">
        <f>AI118*VLOOKUP('Données projet'!$B$10,Paramètres!$A$1:$I$89,3,0)*VLOOKUP('Données projet'!$B$10,Paramètres!$A$1:$I$89,5,0)</f>
        <v>5.1431925385259088E-14</v>
      </c>
      <c r="AK118" s="13">
        <f t="shared" si="89"/>
        <v>8.3482866290946129E-13</v>
      </c>
      <c r="AL118" s="20">
        <f t="shared" si="58"/>
        <v>1.5435705246133045E-12</v>
      </c>
      <c r="AM118" s="59">
        <f t="shared" si="59"/>
        <v>293.33333333333485</v>
      </c>
      <c r="AN118" s="59">
        <f ca="1">AVERAGE(OFFSET($AM$3,0,0,'Données projet'!$E$10+1,1))-AVERAGE(OFFSET($H$3,0,0,'Données projet'!$E$10+1,1))</f>
        <v>244.25841067424</v>
      </c>
      <c r="AO118" s="59">
        <f t="shared" si="90"/>
        <v>538.53312094474745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14.887904712765287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14.887904712765287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-0.99999999999988631</v>
      </c>
      <c r="O119" s="13">
        <f>N119*VLOOKUP('Données projet'!$B$9,Paramètres!$A$1:$I$89,3,0)*VLOOKUP('Données projet'!$B$9,Paramètres!$A$1:$I$89,5,0)</f>
        <v>-0.59799999999993203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201.32564399503951</v>
      </c>
      <c r="T119" s="59">
        <f t="shared" si="88"/>
        <v>347.89731545007157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28.083314861263567</v>
      </c>
      <c r="AA119" s="21">
        <f>EXP(-LN(2)/25)*AA118+(1-EXP(-LN(2)/25))/(LN(2)/25)*Calculateur!V119*Calculateur!X119*VLOOKUP('Données projet'!$B$9,Paramètres!$A$1:$I$89,3,0)*0.475*44/12</f>
        <v>10.676414139357988</v>
      </c>
      <c r="AB119" s="21">
        <f>EXP(-LN(2)/2)*AB118+(1-EXP(-LN(2)/2))/(LN(2)/2)*V119*Y119*VLOOKUP('Données projet'!$B$9,Paramètres!$A$1:$I$89,3,0)*0.475*44/12</f>
        <v>5.411883785673648E-9</v>
      </c>
      <c r="AC119" s="22">
        <f t="shared" si="57"/>
        <v>38.759729006033439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5.6843418860808015E-14</v>
      </c>
      <c r="AJ119" s="13">
        <f>AI119*VLOOKUP('Données projet'!$B$10,Paramètres!$A$1:$I$89,3,0)*VLOOKUP('Données projet'!$B$10,Paramètres!$A$1:$I$89,5,0)</f>
        <v>5.1431925385259088E-14</v>
      </c>
      <c r="AK119" s="13">
        <f t="shared" si="89"/>
        <v>8.3482866290946129E-13</v>
      </c>
      <c r="AL119" s="20">
        <f t="shared" si="58"/>
        <v>1.5435705246133045E-12</v>
      </c>
      <c r="AM119" s="59">
        <f t="shared" si="59"/>
        <v>293.33333333333485</v>
      </c>
      <c r="AN119" s="59">
        <f ca="1">AVERAGE(OFFSET($AM$3,0,0,'Données projet'!$E$10+1,1))-AVERAGE(OFFSET($H$3,0,0,'Données projet'!$E$10+1,1))</f>
        <v>244.25841067424</v>
      </c>
      <c r="AO119" s="59">
        <f t="shared" si="90"/>
        <v>538.53312094474745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14.595961982073188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14.595961982073188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-0.99999999999988631</v>
      </c>
      <c r="O120" s="13">
        <f>N120*VLOOKUP('Données projet'!$B$9,Paramètres!$A$1:$I$89,3,0)*VLOOKUP('Données projet'!$B$9,Paramètres!$A$1:$I$89,5,0)</f>
        <v>-0.59799999999993203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201.32564399503951</v>
      </c>
      <c r="T120" s="59">
        <f t="shared" si="88"/>
        <v>347.89731545007157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27.532618185964893</v>
      </c>
      <c r="AA120" s="21">
        <f>EXP(-LN(2)/25)*AA119+(1-EXP(-LN(2)/25))/(LN(2)/25)*Calculateur!V120*Calculateur!X120*VLOOKUP('Données projet'!$B$9,Paramètres!$A$1:$I$89,3,0)*0.475*44/12</f>
        <v>10.384467033269026</v>
      </c>
      <c r="AB120" s="21">
        <f>EXP(-LN(2)/2)*AB119+(1-EXP(-LN(2)/2))/(LN(2)/2)*V120*Y120*VLOOKUP('Données projet'!$B$9,Paramètres!$A$1:$I$89,3,0)*0.475*44/12</f>
        <v>3.8267797238433606E-9</v>
      </c>
      <c r="AC120" s="22">
        <f t="shared" si="57"/>
        <v>37.917085223060695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5.6843418860808015E-14</v>
      </c>
      <c r="AJ120" s="13">
        <f>AI120*VLOOKUP('Données projet'!$B$10,Paramètres!$A$1:$I$89,3,0)*VLOOKUP('Données projet'!$B$10,Paramètres!$A$1:$I$89,5,0)</f>
        <v>5.1431925385259088E-14</v>
      </c>
      <c r="AK120" s="13">
        <f t="shared" si="89"/>
        <v>8.3482866290946129E-13</v>
      </c>
      <c r="AL120" s="20">
        <f t="shared" si="58"/>
        <v>1.5435705246133045E-12</v>
      </c>
      <c r="AM120" s="59">
        <f t="shared" si="59"/>
        <v>293.33333333333485</v>
      </c>
      <c r="AN120" s="59">
        <f ca="1">AVERAGE(OFFSET($AM$3,0,0,'Données projet'!$E$10+1,1))-AVERAGE(OFFSET($H$3,0,0,'Données projet'!$E$10+1,1))</f>
        <v>244.25841067424</v>
      </c>
      <c r="AO120" s="59">
        <f t="shared" si="90"/>
        <v>538.53312094474745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14.309744070262477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14.309744070262477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-0.99999999999988631</v>
      </c>
      <c r="O121" s="13">
        <f>N121*VLOOKUP('Données projet'!$B$9,Paramètres!$A$1:$I$89,3,0)*VLOOKUP('Données projet'!$B$9,Paramètres!$A$1:$I$89,5,0)</f>
        <v>-0.59799999999993203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201.32564399503951</v>
      </c>
      <c r="T121" s="59">
        <f t="shared" si="88"/>
        <v>347.89731545007157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26.992720336577019</v>
      </c>
      <c r="AA121" s="21">
        <f>EXP(-LN(2)/25)*AA120+(1-EXP(-LN(2)/25))/(LN(2)/25)*Calculateur!V121*Calculateur!X121*VLOOKUP('Données projet'!$B$9,Paramètres!$A$1:$I$89,3,0)*0.475*44/12</f>
        <v>10.100503236148898</v>
      </c>
      <c r="AB121" s="21">
        <f>EXP(-LN(2)/2)*AB120+(1-EXP(-LN(2)/2))/(LN(2)/2)*V121*Y121*VLOOKUP('Données projet'!$B$9,Paramètres!$A$1:$I$89,3,0)*0.475*44/12</f>
        <v>2.705941892836824E-9</v>
      </c>
      <c r="AC121" s="22">
        <f t="shared" si="57"/>
        <v>37.093223575431857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5.6843418860808015E-14</v>
      </c>
      <c r="AJ121" s="13">
        <f>AI121*VLOOKUP('Données projet'!$B$10,Paramètres!$A$1:$I$89,3,0)*VLOOKUP('Données projet'!$B$10,Paramètres!$A$1:$I$89,5,0)</f>
        <v>5.1431925385259088E-14</v>
      </c>
      <c r="AK121" s="13">
        <f t="shared" si="89"/>
        <v>8.3482866290946129E-13</v>
      </c>
      <c r="AL121" s="20">
        <f t="shared" si="58"/>
        <v>1.5435705246133045E-12</v>
      </c>
      <c r="AM121" s="59">
        <f t="shared" si="59"/>
        <v>293.33333333333485</v>
      </c>
      <c r="AN121" s="59">
        <f ca="1">AVERAGE(OFFSET($AM$3,0,0,'Données projet'!$E$10+1,1))-AVERAGE(OFFSET($H$3,0,0,'Données projet'!$E$10+1,1))</f>
        <v>244.25841067424</v>
      </c>
      <c r="AO121" s="59">
        <f t="shared" si="90"/>
        <v>538.53312094474745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14.029138717126687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14.029138717126687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-0.99999999999988631</v>
      </c>
      <c r="O122" s="13">
        <f>N122*VLOOKUP('Données projet'!$B$9,Paramètres!$A$1:$I$89,3,0)*VLOOKUP('Données projet'!$B$9,Paramètres!$A$1:$I$89,5,0)</f>
        <v>-0.59799999999993203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201.32564399503951</v>
      </c>
      <c r="T122" s="59">
        <f t="shared" si="88"/>
        <v>347.89731545007157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26.46340955471047</v>
      </c>
      <c r="AA122" s="21">
        <f>EXP(-LN(2)/25)*AA121+(1-EXP(-LN(2)/25))/(LN(2)/25)*Calculateur!V122*Calculateur!X122*VLOOKUP('Données projet'!$B$9,Paramètres!$A$1:$I$89,3,0)*0.475*44/12</f>
        <v>9.8243044439940252</v>
      </c>
      <c r="AB122" s="21">
        <f>EXP(-LN(2)/2)*AB121+(1-EXP(-LN(2)/2))/(LN(2)/2)*V122*Y122*VLOOKUP('Données projet'!$B$9,Paramètres!$A$1:$I$89,3,0)*0.475*44/12</f>
        <v>1.9133898619216803E-9</v>
      </c>
      <c r="AC122" s="22">
        <f t="shared" si="57"/>
        <v>36.287714000617889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5.6843418860808015E-14</v>
      </c>
      <c r="AJ122" s="13">
        <f>AI122*VLOOKUP('Données projet'!$B$10,Paramètres!$A$1:$I$89,3,0)*VLOOKUP('Données projet'!$B$10,Paramètres!$A$1:$I$89,5,0)</f>
        <v>5.1431925385259088E-14</v>
      </c>
      <c r="AK122" s="13">
        <f t="shared" si="89"/>
        <v>8.3482866290946129E-13</v>
      </c>
      <c r="AL122" s="20">
        <f t="shared" si="58"/>
        <v>1.5435705246133045E-12</v>
      </c>
      <c r="AM122" s="59">
        <f t="shared" si="59"/>
        <v>293.33333333333485</v>
      </c>
      <c r="AN122" s="59">
        <f ca="1">AVERAGE(OFFSET($AM$3,0,0,'Données projet'!$E$10+1,1))-AVERAGE(OFFSET($H$3,0,0,'Données projet'!$E$10+1,1))</f>
        <v>244.25841067424</v>
      </c>
      <c r="AO122" s="59">
        <f t="shared" si="90"/>
        <v>538.53312094474745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13.754035863813524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13.754035863813524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-0.99999999999988631</v>
      </c>
      <c r="O123" s="13">
        <f>N123*VLOOKUP('Données projet'!$B$9,Paramètres!$A$1:$I$89,3,0)*VLOOKUP('Données projet'!$B$9,Paramètres!$A$1:$I$89,5,0)</f>
        <v>-0.59799999999993203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201.32564399503951</v>
      </c>
      <c r="T123" s="59">
        <f t="shared" si="88"/>
        <v>347.89731545007157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25.944478234428626</v>
      </c>
      <c r="AA123" s="21">
        <f>EXP(-LN(2)/25)*AA122+(1-EXP(-LN(2)/25))/(LN(2)/25)*Calculateur!V123*Calculateur!X123*VLOOKUP('Données projet'!$B$9,Paramètres!$A$1:$I$89,3,0)*0.475*44/12</f>
        <v>9.555658322335292</v>
      </c>
      <c r="AB123" s="21">
        <f>EXP(-LN(2)/2)*AB122+(1-EXP(-LN(2)/2))/(LN(2)/2)*V123*Y123*VLOOKUP('Données projet'!$B$9,Paramètres!$A$1:$I$89,3,0)*0.475*44/12</f>
        <v>1.352970946418412E-9</v>
      </c>
      <c r="AC123" s="22">
        <f t="shared" si="57"/>
        <v>35.500136558116893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5.6843418860808015E-14</v>
      </c>
      <c r="AJ123" s="13">
        <f>AI123*VLOOKUP('Données projet'!$B$10,Paramètres!$A$1:$I$89,3,0)*VLOOKUP('Données projet'!$B$10,Paramètres!$A$1:$I$89,5,0)</f>
        <v>5.1431925385259088E-14</v>
      </c>
      <c r="AK123" s="13">
        <f t="shared" si="89"/>
        <v>8.3482866290946129E-13</v>
      </c>
      <c r="AL123" s="20">
        <f t="shared" si="58"/>
        <v>1.5435705246133045E-12</v>
      </c>
      <c r="AM123" s="59">
        <f t="shared" si="59"/>
        <v>293.33333333333485</v>
      </c>
      <c r="AN123" s="59">
        <f ca="1">AVERAGE(OFFSET($AM$3,0,0,'Données projet'!$E$10+1,1))-AVERAGE(OFFSET($H$3,0,0,'Données projet'!$E$10+1,1))</f>
        <v>244.25841067424</v>
      </c>
      <c r="AO123" s="59">
        <f t="shared" si="90"/>
        <v>538.53312094474745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13.48432760965766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13.48432760965766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-0.99999999999988631</v>
      </c>
      <c r="O124" s="13">
        <f>N124*VLOOKUP('Données projet'!$B$9,Paramètres!$A$1:$I$89,3,0)*VLOOKUP('Données projet'!$B$9,Paramètres!$A$1:$I$89,5,0)</f>
        <v>-0.59799999999993203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201.32564399503951</v>
      </c>
      <c r="T124" s="59">
        <f t="shared" si="88"/>
        <v>347.89731545007157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25.435722840820656</v>
      </c>
      <c r="AA124" s="21">
        <f>EXP(-LN(2)/25)*AA123+(1-EXP(-LN(2)/25))/(LN(2)/25)*Calculateur!V124*Calculateur!X124*VLOOKUP('Données projet'!$B$9,Paramètres!$A$1:$I$89,3,0)*0.475*44/12</f>
        <v>9.2943583430008019</v>
      </c>
      <c r="AB124" s="21">
        <f>EXP(-LN(2)/2)*AB123+(1-EXP(-LN(2)/2))/(LN(2)/2)*V124*Y124*VLOOKUP('Données projet'!$B$9,Paramètres!$A$1:$I$89,3,0)*0.475*44/12</f>
        <v>9.5669493096084015E-10</v>
      </c>
      <c r="AC124" s="22">
        <f t="shared" si="57"/>
        <v>34.73008118477815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5.6843418860808015E-14</v>
      </c>
      <c r="AJ124" s="13">
        <f>AI124*VLOOKUP('Données projet'!$B$10,Paramètres!$A$1:$I$89,3,0)*VLOOKUP('Données projet'!$B$10,Paramètres!$A$1:$I$89,5,0)</f>
        <v>5.1431925385259088E-14</v>
      </c>
      <c r="AK124" s="13">
        <f t="shared" si="89"/>
        <v>8.3482866290946129E-13</v>
      </c>
      <c r="AL124" s="20">
        <f t="shared" si="58"/>
        <v>1.5435705246133045E-12</v>
      </c>
      <c r="AM124" s="59">
        <f t="shared" si="59"/>
        <v>293.33333333333485</v>
      </c>
      <c r="AN124" s="59">
        <f ca="1">AVERAGE(OFFSET($AM$3,0,0,'Données projet'!$E$10+1,1))-AVERAGE(OFFSET($H$3,0,0,'Données projet'!$E$10+1,1))</f>
        <v>244.25841067424</v>
      </c>
      <c r="AO124" s="59">
        <f t="shared" si="90"/>
        <v>538.53312094474745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13.21990816986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13.21990816986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-0.99999999999988631</v>
      </c>
      <c r="O125" s="13">
        <f>N125*VLOOKUP('Données projet'!$B$9,Paramètres!$A$1:$I$89,3,0)*VLOOKUP('Données projet'!$B$9,Paramètres!$A$1:$I$89,5,0)</f>
        <v>-0.59799999999993203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201.32564399503951</v>
      </c>
      <c r="T125" s="59">
        <f t="shared" si="88"/>
        <v>347.89731545007157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24.936943830171192</v>
      </c>
      <c r="AA125" s="21">
        <f>EXP(-LN(2)/25)*AA124+(1-EXP(-LN(2)/25))/(LN(2)/25)*Calculateur!V125*Calculateur!X125*VLOOKUP('Données projet'!$B$9,Paramètres!$A$1:$I$89,3,0)*0.475*44/12</f>
        <v>9.0402036253423823</v>
      </c>
      <c r="AB125" s="21">
        <f>EXP(-LN(2)/2)*AB124+(1-EXP(-LN(2)/2))/(LN(2)/2)*V125*Y125*VLOOKUP('Données projet'!$B$9,Paramètres!$A$1:$I$89,3,0)*0.475*44/12</f>
        <v>6.76485473209206E-10</v>
      </c>
      <c r="AC125" s="22">
        <f t="shared" si="57"/>
        <v>33.97714745619006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5.6843418860808015E-14</v>
      </c>
      <c r="AJ125" s="13">
        <f>AI125*VLOOKUP('Données projet'!$B$10,Paramètres!$A$1:$I$89,3,0)*VLOOKUP('Données projet'!$B$10,Paramètres!$A$1:$I$89,5,0)</f>
        <v>5.1431925385259088E-14</v>
      </c>
      <c r="AK125" s="13">
        <f t="shared" si="89"/>
        <v>8.3482866290946129E-13</v>
      </c>
      <c r="AL125" s="20">
        <f t="shared" si="58"/>
        <v>1.5435705246133045E-12</v>
      </c>
      <c r="AM125" s="59">
        <f t="shared" si="59"/>
        <v>293.33333333333485</v>
      </c>
      <c r="AN125" s="59">
        <f ca="1">AVERAGE(OFFSET($AM$3,0,0,'Données projet'!$E$10+1,1))-AVERAGE(OFFSET($H$3,0,0,'Données projet'!$E$10+1,1))</f>
        <v>244.25841067424</v>
      </c>
      <c r="AO125" s="59">
        <f t="shared" si="90"/>
        <v>538.53312094474745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12.960673833996839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12.960673833996839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-0.99999999999988631</v>
      </c>
      <c r="O126" s="13">
        <f>N126*VLOOKUP('Données projet'!$B$9,Paramètres!$A$1:$I$89,3,0)*VLOOKUP('Données projet'!$B$9,Paramètres!$A$1:$I$89,5,0)</f>
        <v>-0.59799999999993203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201.32564399503951</v>
      </c>
      <c r="T126" s="59">
        <f t="shared" si="88"/>
        <v>347.89731545007157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24.447945571695406</v>
      </c>
      <c r="AA126" s="21">
        <f>EXP(-LN(2)/25)*AA125+(1-EXP(-LN(2)/25))/(LN(2)/25)*Calculateur!V126*Calculateur!X126*VLOOKUP('Données projet'!$B$9,Paramètres!$A$1:$I$89,3,0)*0.475*44/12</f>
        <v>8.7929987818037478</v>
      </c>
      <c r="AB126" s="21">
        <f>EXP(-LN(2)/2)*AB125+(1-EXP(-LN(2)/2))/(LN(2)/2)*V126*Y126*VLOOKUP('Données projet'!$B$9,Paramètres!$A$1:$I$89,3,0)*0.475*44/12</f>
        <v>4.7834746548042007E-10</v>
      </c>
      <c r="AC126" s="22">
        <f t="shared" si="57"/>
        <v>33.240944353977497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5.6843418860808015E-14</v>
      </c>
      <c r="AJ126" s="13">
        <f>AI126*VLOOKUP('Données projet'!$B$10,Paramètres!$A$1:$I$89,3,0)*VLOOKUP('Données projet'!$B$10,Paramètres!$A$1:$I$89,5,0)</f>
        <v>5.1431925385259088E-14</v>
      </c>
      <c r="AK126" s="13">
        <f t="shared" si="89"/>
        <v>8.3482866290946129E-13</v>
      </c>
      <c r="AL126" s="20">
        <f t="shared" si="58"/>
        <v>1.5435705246133045E-12</v>
      </c>
      <c r="AM126" s="59">
        <f t="shared" si="59"/>
        <v>293.33333333333485</v>
      </c>
      <c r="AN126" s="59">
        <f ca="1">AVERAGE(OFFSET($AM$3,0,0,'Données projet'!$E$10+1,1))-AVERAGE(OFFSET($H$3,0,0,'Données projet'!$E$10+1,1))</f>
        <v>244.25841067424</v>
      </c>
      <c r="AO126" s="59">
        <f t="shared" si="90"/>
        <v>538.53312094474745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12.706522925342624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12.706522925342624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-0.99999999999988631</v>
      </c>
      <c r="O127" s="13">
        <f>N127*VLOOKUP('Données projet'!$B$9,Paramètres!$A$1:$I$89,3,0)*VLOOKUP('Données projet'!$B$9,Paramètres!$A$1:$I$89,5,0)</f>
        <v>-0.59799999999993203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201.32564399503951</v>
      </c>
      <c r="T127" s="59">
        <f t="shared" si="88"/>
        <v>347.89731545007157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23.968536270808844</v>
      </c>
      <c r="AA127" s="21">
        <f>EXP(-LN(2)/25)*AA126+(1-EXP(-LN(2)/25))/(LN(2)/25)*Calculateur!V127*Calculateur!X127*VLOOKUP('Données projet'!$B$9,Paramètres!$A$1:$I$89,3,0)*0.475*44/12</f>
        <v>8.5525537677116148</v>
      </c>
      <c r="AB127" s="21">
        <f>EXP(-LN(2)/2)*AB126+(1-EXP(-LN(2)/2))/(LN(2)/2)*V127*Y127*VLOOKUP('Données projet'!$B$9,Paramètres!$A$1:$I$89,3,0)*0.475*44/12</f>
        <v>3.38242736604603E-10</v>
      </c>
      <c r="AC127" s="22">
        <f t="shared" si="57"/>
        <v>32.521090038858695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5.6843418860808015E-14</v>
      </c>
      <c r="AJ127" s="13">
        <f>AI127*VLOOKUP('Données projet'!$B$10,Paramètres!$A$1:$I$89,3,0)*VLOOKUP('Données projet'!$B$10,Paramètres!$A$1:$I$89,5,0)</f>
        <v>5.1431925385259088E-14</v>
      </c>
      <c r="AK127" s="13">
        <f t="shared" si="89"/>
        <v>8.3482866290946129E-13</v>
      </c>
      <c r="AL127" s="20">
        <f t="shared" si="58"/>
        <v>1.5435705246133045E-12</v>
      </c>
      <c r="AM127" s="59">
        <f t="shared" si="59"/>
        <v>293.33333333333485</v>
      </c>
      <c r="AN127" s="59">
        <f ca="1">AVERAGE(OFFSET($AM$3,0,0,'Données projet'!$E$10+1,1))-AVERAGE(OFFSET($H$3,0,0,'Données projet'!$E$10+1,1))</f>
        <v>244.25841067424</v>
      </c>
      <c r="AO127" s="59">
        <f t="shared" si="90"/>
        <v>538.53312094474745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12.457355760990369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12.457355760990369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-0.99999999999988631</v>
      </c>
      <c r="O128" s="13">
        <f>N128*VLOOKUP('Données projet'!$B$9,Paramètres!$A$1:$I$89,3,0)*VLOOKUP('Données projet'!$B$9,Paramètres!$A$1:$I$89,5,0)</f>
        <v>-0.59799999999993203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201.32564399503951</v>
      </c>
      <c r="T128" s="59">
        <f t="shared" si="88"/>
        <v>347.89731545007157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23.498527893901866</v>
      </c>
      <c r="AA128" s="21">
        <f>EXP(-LN(2)/25)*AA127+(1-EXP(-LN(2)/25))/(LN(2)/25)*Calculateur!V128*Calculateur!X128*VLOOKUP('Données projet'!$B$9,Paramètres!$A$1:$I$89,3,0)*0.475*44/12</f>
        <v>8.3186837351742859</v>
      </c>
      <c r="AB128" s="21">
        <f>EXP(-LN(2)/2)*AB127+(1-EXP(-LN(2)/2))/(LN(2)/2)*V128*Y128*VLOOKUP('Données projet'!$B$9,Paramètres!$A$1:$I$89,3,0)*0.475*44/12</f>
        <v>2.3917373274021004E-10</v>
      </c>
      <c r="AC128" s="22">
        <f t="shared" si="57"/>
        <v>31.817211629315324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5.6843418860808015E-14</v>
      </c>
      <c r="AJ128" s="13">
        <f>AI128*VLOOKUP('Données projet'!$B$10,Paramètres!$A$1:$I$89,3,0)*VLOOKUP('Données projet'!$B$10,Paramètres!$A$1:$I$89,5,0)</f>
        <v>5.1431925385259088E-14</v>
      </c>
      <c r="AK128" s="13">
        <f t="shared" si="89"/>
        <v>8.3482866290946129E-13</v>
      </c>
      <c r="AL128" s="20">
        <f t="shared" si="58"/>
        <v>1.5435705246133045E-12</v>
      </c>
      <c r="AM128" s="59">
        <f t="shared" si="59"/>
        <v>293.33333333333485</v>
      </c>
      <c r="AN128" s="59">
        <f ca="1">AVERAGE(OFFSET($AM$3,0,0,'Données projet'!$E$10+1,1))-AVERAGE(OFFSET($H$3,0,0,'Données projet'!$E$10+1,1))</f>
        <v>244.25841067424</v>
      </c>
      <c r="AO128" s="59">
        <f t="shared" si="90"/>
        <v>538.53312094474745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12.213074612754099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12.213074612754099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-0.99999999999988631</v>
      </c>
      <c r="O129" s="13">
        <f>N129*VLOOKUP('Données projet'!$B$9,Paramètres!$A$1:$I$89,3,0)*VLOOKUP('Données projet'!$B$9,Paramètres!$A$1:$I$89,5,0)</f>
        <v>-0.59799999999993203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201.32564399503951</v>
      </c>
      <c r="T129" s="59">
        <f t="shared" si="88"/>
        <v>347.89731545007157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23.037736094589231</v>
      </c>
      <c r="AA129" s="21">
        <f>EXP(-LN(2)/25)*AA128+(1-EXP(-LN(2)/25))/(LN(2)/25)*Calculateur!V129*Calculateur!X129*VLOOKUP('Données projet'!$B$9,Paramètres!$A$1:$I$89,3,0)*0.475*44/12</f>
        <v>8.0912088909753805</v>
      </c>
      <c r="AB129" s="21">
        <f>EXP(-LN(2)/2)*AB128+(1-EXP(-LN(2)/2))/(LN(2)/2)*V129*Y129*VLOOKUP('Données projet'!$B$9,Paramètres!$A$1:$I$89,3,0)*0.475*44/12</f>
        <v>1.691213683023015E-10</v>
      </c>
      <c r="AC129" s="22">
        <f t="shared" si="57"/>
        <v>31.128944985733732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5.6843418860808015E-14</v>
      </c>
      <c r="AJ129" s="13">
        <f>AI129*VLOOKUP('Données projet'!$B$10,Paramètres!$A$1:$I$89,3,0)*VLOOKUP('Données projet'!$B$10,Paramètres!$A$1:$I$89,5,0)</f>
        <v>5.1431925385259088E-14</v>
      </c>
      <c r="AK129" s="13">
        <f t="shared" si="89"/>
        <v>8.3482866290946129E-13</v>
      </c>
      <c r="AL129" s="20">
        <f t="shared" si="58"/>
        <v>1.5435705246133045E-12</v>
      </c>
      <c r="AM129" s="59">
        <f t="shared" si="59"/>
        <v>293.33333333333485</v>
      </c>
      <c r="AN129" s="59">
        <f ca="1">AVERAGE(OFFSET($AM$3,0,0,'Données projet'!$E$10+1,1))-AVERAGE(OFFSET($H$3,0,0,'Données projet'!$E$10+1,1))</f>
        <v>244.25841067424</v>
      </c>
      <c r="AO129" s="59">
        <f t="shared" si="90"/>
        <v>538.53312094474745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11.973583668837954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11.973583668837954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-0.99999999999988631</v>
      </c>
      <c r="O130" s="13">
        <f>N130*VLOOKUP('Données projet'!$B$9,Paramètres!$A$1:$I$89,3,0)*VLOOKUP('Données projet'!$B$9,Paramètres!$A$1:$I$89,5,0)</f>
        <v>-0.59799999999993203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201.32564399503951</v>
      </c>
      <c r="T130" s="59">
        <f t="shared" si="88"/>
        <v>347.89731545007157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22.585980141405869</v>
      </c>
      <c r="AA130" s="21">
        <f>EXP(-LN(2)/25)*AA129+(1-EXP(-LN(2)/25))/(LN(2)/25)*Calculateur!V130*Calculateur!X130*VLOOKUP('Données projet'!$B$9,Paramètres!$A$1:$I$89,3,0)*0.475*44/12</f>
        <v>7.8699543583534757</v>
      </c>
      <c r="AB130" s="21">
        <f>EXP(-LN(2)/2)*AB129+(1-EXP(-LN(2)/2))/(LN(2)/2)*V130*Y130*VLOOKUP('Données projet'!$B$9,Paramètres!$A$1:$I$89,3,0)*0.475*44/12</f>
        <v>1.1958686637010502E-10</v>
      </c>
      <c r="AC130" s="22">
        <f t="shared" si="57"/>
        <v>30.455934499878932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5.6843418860808015E-14</v>
      </c>
      <c r="AJ130" s="13">
        <f>AI130*VLOOKUP('Données projet'!$B$10,Paramètres!$A$1:$I$89,3,0)*VLOOKUP('Données projet'!$B$10,Paramètres!$A$1:$I$89,5,0)</f>
        <v>5.1431925385259088E-14</v>
      </c>
      <c r="AK130" s="13">
        <f t="shared" si="89"/>
        <v>8.3482866290946129E-13</v>
      </c>
      <c r="AL130" s="20">
        <f t="shared" si="58"/>
        <v>1.5435705246133045E-12</v>
      </c>
      <c r="AM130" s="59">
        <f t="shared" si="59"/>
        <v>293.33333333333485</v>
      </c>
      <c r="AN130" s="59">
        <f ca="1">AVERAGE(OFFSET($AM$3,0,0,'Données projet'!$E$10+1,1))-AVERAGE(OFFSET($H$3,0,0,'Données projet'!$E$10+1,1))</f>
        <v>244.25841067424</v>
      </c>
      <c r="AO130" s="59">
        <f t="shared" si="90"/>
        <v>538.53312094474745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11.738788996256952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11.738788996256952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-0.99999999999988631</v>
      </c>
      <c r="O131" s="13">
        <f>N131*VLOOKUP('Données projet'!$B$9,Paramètres!$A$1:$I$89,3,0)*VLOOKUP('Données projet'!$B$9,Paramètres!$A$1:$I$89,5,0)</f>
        <v>-0.59799999999993203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201.32564399503951</v>
      </c>
      <c r="T131" s="59">
        <f t="shared" si="88"/>
        <v>347.89731545007157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22.14308284692051</v>
      </c>
      <c r="AA131" s="21">
        <f>EXP(-LN(2)/25)*AA130+(1-EXP(-LN(2)/25))/(LN(2)/25)*Calculateur!V131*Calculateur!X131*VLOOKUP('Données projet'!$B$9,Paramètres!$A$1:$I$89,3,0)*0.475*44/12</f>
        <v>7.6547500425613872</v>
      </c>
      <c r="AB131" s="21">
        <f>EXP(-LN(2)/2)*AB130+(1-EXP(-LN(2)/2))/(LN(2)/2)*V131*Y131*VLOOKUP('Données projet'!$B$9,Paramètres!$A$1:$I$89,3,0)*0.475*44/12</f>
        <v>8.4560684151150749E-11</v>
      </c>
      <c r="AC131" s="22">
        <f t="shared" si="57"/>
        <v>29.797832889566457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5.6843418860808015E-14</v>
      </c>
      <c r="AJ131" s="13">
        <f>AI131*VLOOKUP('Données projet'!$B$10,Paramètres!$A$1:$I$89,3,0)*VLOOKUP('Données projet'!$B$10,Paramètres!$A$1:$I$89,5,0)</f>
        <v>5.1431925385259088E-14</v>
      </c>
      <c r="AK131" s="13">
        <f t="shared" si="89"/>
        <v>8.3482866290946129E-13</v>
      </c>
      <c r="AL131" s="20">
        <f t="shared" si="58"/>
        <v>1.5435705246133045E-12</v>
      </c>
      <c r="AM131" s="59">
        <f t="shared" si="59"/>
        <v>293.33333333333485</v>
      </c>
      <c r="AN131" s="59">
        <f ca="1">AVERAGE(OFFSET($AM$3,0,0,'Données projet'!$E$10+1,1))-AVERAGE(OFFSET($H$3,0,0,'Données projet'!$E$10+1,1))</f>
        <v>244.25841067424</v>
      </c>
      <c r="AO131" s="59">
        <f t="shared" si="90"/>
        <v>538.53312094474745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11.508598503994655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11.508598503994655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-0.99999999999988631</v>
      </c>
      <c r="O132" s="13">
        <f>N132*VLOOKUP('Données projet'!$B$9,Paramètres!$A$1:$I$89,3,0)*VLOOKUP('Données projet'!$B$9,Paramètres!$A$1:$I$89,5,0)</f>
        <v>-0.59799999999993203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201.32564399503951</v>
      </c>
      <c r="T132" s="59">
        <f t="shared" si="88"/>
        <v>347.89731545007157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21.708870498239335</v>
      </c>
      <c r="AA132" s="21">
        <f>EXP(-LN(2)/25)*AA131+(1-EXP(-LN(2)/25))/(LN(2)/25)*Calculateur!V132*Calculateur!X132*VLOOKUP('Données projet'!$B$9,Paramètres!$A$1:$I$89,3,0)*0.475*44/12</f>
        <v>7.4454305001017369</v>
      </c>
      <c r="AB132" s="21">
        <f>EXP(-LN(2)/2)*AB131+(1-EXP(-LN(2)/2))/(LN(2)/2)*V132*Y132*VLOOKUP('Données projet'!$B$9,Paramètres!$A$1:$I$89,3,0)*0.475*44/12</f>
        <v>5.9793433185052509E-11</v>
      </c>
      <c r="AC132" s="22">
        <f t="shared" ref="AC132:AC153" si="111">SUM(Z132:AB132)</f>
        <v>29.154300998400863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5.6843418860808015E-14</v>
      </c>
      <c r="AJ132" s="13">
        <f>AI132*VLOOKUP('Données projet'!$B$10,Paramètres!$A$1:$I$89,3,0)*VLOOKUP('Données projet'!$B$10,Paramètres!$A$1:$I$89,5,0)</f>
        <v>5.1431925385259088E-14</v>
      </c>
      <c r="AK132" s="13">
        <f t="shared" si="89"/>
        <v>8.3482866290946129E-13</v>
      </c>
      <c r="AL132" s="20">
        <f t="shared" ref="AL132:AL153" si="112">(AJ132+AK132)*0.475*44/12</f>
        <v>1.5435705246133045E-12</v>
      </c>
      <c r="AM132" s="59">
        <f t="shared" ref="AM132:AM195" si="113">AL132+(AD132+AE132)*44/12</f>
        <v>293.33333333333485</v>
      </c>
      <c r="AN132" s="59">
        <f ca="1">AVERAGE(OFFSET($AM$3,0,0,'Données projet'!$E$10+1,1))-AVERAGE(OFFSET($H$3,0,0,'Données projet'!$E$10+1,1))</f>
        <v>244.25841067424</v>
      </c>
      <c r="AO132" s="59">
        <f t="shared" si="90"/>
        <v>538.53312094474745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11.282921906883285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11.282921906883285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-0.99999999999988631</v>
      </c>
      <c r="O133" s="13">
        <f>N133*VLOOKUP('Données projet'!$B$9,Paramètres!$A$1:$I$89,3,0)*VLOOKUP('Données projet'!$B$9,Paramètres!$A$1:$I$89,5,0)</f>
        <v>-0.59799999999993203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201.32564399503951</v>
      </c>
      <c r="T133" s="59">
        <f t="shared" ref="T133:T196" si="142">$T$3</f>
        <v>347.89731545007157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21.283172788872417</v>
      </c>
      <c r="AA133" s="21">
        <f>EXP(-LN(2)/25)*AA132+(1-EXP(-LN(2)/25))/(LN(2)/25)*Calculateur!V133*Calculateur!X133*VLOOKUP('Données projet'!$B$9,Paramètres!$A$1:$I$89,3,0)*0.475*44/12</f>
        <v>7.2418348115382818</v>
      </c>
      <c r="AB133" s="21">
        <f>EXP(-LN(2)/2)*AB132+(1-EXP(-LN(2)/2))/(LN(2)/2)*V133*Y133*VLOOKUP('Données projet'!$B$9,Paramètres!$A$1:$I$89,3,0)*0.475*44/12</f>
        <v>4.2280342075575375E-11</v>
      </c>
      <c r="AC133" s="22">
        <f t="shared" si="111"/>
        <v>28.52500760045298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5.6843418860808015E-14</v>
      </c>
      <c r="AJ133" s="13">
        <f>AI133*VLOOKUP('Données projet'!$B$10,Paramètres!$A$1:$I$89,3,0)*VLOOKUP('Données projet'!$B$10,Paramètres!$A$1:$I$89,5,0)</f>
        <v>5.1431925385259088E-14</v>
      </c>
      <c r="AK133" s="13">
        <f t="shared" ref="AK133:AK153" si="143">EXP(-1.0587+0.8836*LN(AJ133)+0.284)</f>
        <v>8.3482866290946129E-13</v>
      </c>
      <c r="AL133" s="20">
        <f t="shared" si="112"/>
        <v>1.5435705246133045E-12</v>
      </c>
      <c r="AM133" s="59">
        <f t="shared" si="113"/>
        <v>293.33333333333485</v>
      </c>
      <c r="AN133" s="59">
        <f ca="1">AVERAGE(OFFSET($AM$3,0,0,'Données projet'!$E$10+1,1))-AVERAGE(OFFSET($H$3,0,0,'Données projet'!$E$10+1,1))</f>
        <v>244.25841067424</v>
      </c>
      <c r="AO133" s="59">
        <f t="shared" ref="AO133:AO196" si="144">$AO$3</f>
        <v>538.53312094474745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11.061670690192136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11.061670690192136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-0.99999999999988631</v>
      </c>
      <c r="O134" s="13">
        <f>N134*VLOOKUP('Données projet'!$B$9,Paramètres!$A$1:$I$89,3,0)*VLOOKUP('Données projet'!$B$9,Paramètres!$A$1:$I$89,5,0)</f>
        <v>-0.59799999999993203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201.32564399503951</v>
      </c>
      <c r="T134" s="59">
        <f t="shared" si="142"/>
        <v>347.89731545007157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20.865822751936218</v>
      </c>
      <c r="AA134" s="21">
        <f>EXP(-LN(2)/25)*AA133+(1-EXP(-LN(2)/25))/(LN(2)/25)*Calculateur!V134*Calculateur!X134*VLOOKUP('Données projet'!$B$9,Paramètres!$A$1:$I$89,3,0)*0.475*44/12</f>
        <v>7.0438064577852257</v>
      </c>
      <c r="AB134" s="21">
        <f>EXP(-LN(2)/2)*AB133+(1-EXP(-LN(2)/2))/(LN(2)/2)*V134*Y134*VLOOKUP('Données projet'!$B$9,Paramètres!$A$1:$I$89,3,0)*0.475*44/12</f>
        <v>2.9896716592526255E-11</v>
      </c>
      <c r="AC134" s="22">
        <f t="shared" si="111"/>
        <v>27.909629209751341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5.6843418860808015E-14</v>
      </c>
      <c r="AJ134" s="13">
        <f>AI134*VLOOKUP('Données projet'!$B$10,Paramètres!$A$1:$I$89,3,0)*VLOOKUP('Données projet'!$B$10,Paramètres!$A$1:$I$89,5,0)</f>
        <v>5.1431925385259088E-14</v>
      </c>
      <c r="AK134" s="13">
        <f t="shared" si="143"/>
        <v>8.3482866290946129E-13</v>
      </c>
      <c r="AL134" s="20">
        <f t="shared" si="112"/>
        <v>1.5435705246133045E-12</v>
      </c>
      <c r="AM134" s="59">
        <f t="shared" si="113"/>
        <v>293.33333333333485</v>
      </c>
      <c r="AN134" s="59">
        <f ca="1">AVERAGE(OFFSET($AM$3,0,0,'Données projet'!$E$10+1,1))-AVERAGE(OFFSET($H$3,0,0,'Données projet'!$E$10+1,1))</f>
        <v>244.25841067424</v>
      </c>
      <c r="AO134" s="59">
        <f t="shared" si="144"/>
        <v>538.53312094474745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10.844758074910382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10.844758074910382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-0.99999999999988631</v>
      </c>
      <c r="O135" s="13">
        <f>N135*VLOOKUP('Données projet'!$B$9,Paramètres!$A$1:$I$89,3,0)*VLOOKUP('Données projet'!$B$9,Paramètres!$A$1:$I$89,5,0)</f>
        <v>-0.59799999999993203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201.32564399503951</v>
      </c>
      <c r="T135" s="59">
        <f t="shared" si="142"/>
        <v>347.89731545007157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20.456656694665952</v>
      </c>
      <c r="AA135" s="21">
        <f>EXP(-LN(2)/25)*AA134+(1-EXP(-LN(2)/25))/(LN(2)/25)*Calculateur!V135*Calculateur!X135*VLOOKUP('Données projet'!$B$9,Paramètres!$A$1:$I$89,3,0)*0.475*44/12</f>
        <v>6.8511931997794058</v>
      </c>
      <c r="AB135" s="21">
        <f>EXP(-LN(2)/2)*AB134+(1-EXP(-LN(2)/2))/(LN(2)/2)*V135*Y135*VLOOKUP('Données projet'!$B$9,Paramètres!$A$1:$I$89,3,0)*0.475*44/12</f>
        <v>2.1140171037787687E-11</v>
      </c>
      <c r="AC135" s="22">
        <f t="shared" si="111"/>
        <v>27.307849894466496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5.6843418860808015E-14</v>
      </c>
      <c r="AJ135" s="13">
        <f>AI135*VLOOKUP('Données projet'!$B$10,Paramètres!$A$1:$I$89,3,0)*VLOOKUP('Données projet'!$B$10,Paramètres!$A$1:$I$89,5,0)</f>
        <v>5.1431925385259088E-14</v>
      </c>
      <c r="AK135" s="13">
        <f t="shared" si="143"/>
        <v>8.3482866290946129E-13</v>
      </c>
      <c r="AL135" s="20">
        <f t="shared" si="112"/>
        <v>1.5435705246133045E-12</v>
      </c>
      <c r="AM135" s="59">
        <f t="shared" si="113"/>
        <v>293.33333333333485</v>
      </c>
      <c r="AN135" s="59">
        <f ca="1">AVERAGE(OFFSET($AM$3,0,0,'Données projet'!$E$10+1,1))-AVERAGE(OFFSET($H$3,0,0,'Données projet'!$E$10+1,1))</f>
        <v>244.25841067424</v>
      </c>
      <c r="AO135" s="59">
        <f t="shared" si="144"/>
        <v>538.53312094474745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10.632098983710673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10.632098983710673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-0.99999999999988631</v>
      </c>
      <c r="O136" s="13">
        <f>N136*VLOOKUP('Données projet'!$B$9,Paramètres!$A$1:$I$89,3,0)*VLOOKUP('Données projet'!$B$9,Paramètres!$A$1:$I$89,5,0)</f>
        <v>-0.59799999999993203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201.32564399503951</v>
      </c>
      <c r="T136" s="59">
        <f t="shared" si="142"/>
        <v>347.89731545007157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20.055514134212103</v>
      </c>
      <c r="AA136" s="21">
        <f>EXP(-LN(2)/25)*AA135+(1-EXP(-LN(2)/25))/(LN(2)/25)*Calculateur!V136*Calculateur!X136*VLOOKUP('Données projet'!$B$9,Paramètres!$A$1:$I$89,3,0)*0.475*44/12</f>
        <v>6.6638469614428457</v>
      </c>
      <c r="AB136" s="21">
        <f>EXP(-LN(2)/2)*AB135+(1-EXP(-LN(2)/2))/(LN(2)/2)*V136*Y136*VLOOKUP('Données projet'!$B$9,Paramètres!$A$1:$I$89,3,0)*0.475*44/12</f>
        <v>1.4948358296263127E-11</v>
      </c>
      <c r="AC136" s="22">
        <f t="shared" si="111"/>
        <v>26.7193610956699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5.6843418860808015E-14</v>
      </c>
      <c r="AJ136" s="13">
        <f>AI136*VLOOKUP('Données projet'!$B$10,Paramètres!$A$1:$I$89,3,0)*VLOOKUP('Données projet'!$B$10,Paramètres!$A$1:$I$89,5,0)</f>
        <v>5.1431925385259088E-14</v>
      </c>
      <c r="AK136" s="13">
        <f t="shared" si="143"/>
        <v>8.3482866290946129E-13</v>
      </c>
      <c r="AL136" s="20">
        <f t="shared" si="112"/>
        <v>1.5435705246133045E-12</v>
      </c>
      <c r="AM136" s="59">
        <f t="shared" si="113"/>
        <v>293.33333333333485</v>
      </c>
      <c r="AN136" s="59">
        <f ca="1">AVERAGE(OFFSET($AM$3,0,0,'Données projet'!$E$10+1,1))-AVERAGE(OFFSET($H$3,0,0,'Données projet'!$E$10+1,1))</f>
        <v>244.25841067424</v>
      </c>
      <c r="AO136" s="59">
        <f t="shared" si="144"/>
        <v>538.53312094474745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10.423610007580152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10.423610007580152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-0.99999999999988631</v>
      </c>
      <c r="O137" s="13">
        <f>N137*VLOOKUP('Données projet'!$B$9,Paramètres!$A$1:$I$89,3,0)*VLOOKUP('Données projet'!$B$9,Paramètres!$A$1:$I$89,5,0)</f>
        <v>-0.59799999999993203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201.32564399503951</v>
      </c>
      <c r="T137" s="59">
        <f t="shared" si="142"/>
        <v>347.89731545007157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19.66223773469595</v>
      </c>
      <c r="AA137" s="21">
        <f>EXP(-LN(2)/25)*AA136+(1-EXP(-LN(2)/25))/(LN(2)/25)*Calculateur!V137*Calculateur!X137*VLOOKUP('Données projet'!$B$9,Paramètres!$A$1:$I$89,3,0)*0.475*44/12</f>
        <v>6.4816237158457097</v>
      </c>
      <c r="AB137" s="21">
        <f>EXP(-LN(2)/2)*AB136+(1-EXP(-LN(2)/2))/(LN(2)/2)*V137*Y137*VLOOKUP('Données projet'!$B$9,Paramètres!$A$1:$I$89,3,0)*0.475*44/12</f>
        <v>1.0570085518893844E-11</v>
      </c>
      <c r="AC137" s="22">
        <f t="shared" si="111"/>
        <v>26.14386145055223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5.6843418860808015E-14</v>
      </c>
      <c r="AJ137" s="13">
        <f>AI137*VLOOKUP('Données projet'!$B$10,Paramètres!$A$1:$I$89,3,0)*VLOOKUP('Données projet'!$B$10,Paramètres!$A$1:$I$89,5,0)</f>
        <v>5.1431925385259088E-14</v>
      </c>
      <c r="AK137" s="13">
        <f t="shared" si="143"/>
        <v>8.3482866290946129E-13</v>
      </c>
      <c r="AL137" s="20">
        <f t="shared" si="112"/>
        <v>1.5435705246133045E-12</v>
      </c>
      <c r="AM137" s="59">
        <f t="shared" si="113"/>
        <v>293.33333333333485</v>
      </c>
      <c r="AN137" s="59">
        <f ca="1">AVERAGE(OFFSET($AM$3,0,0,'Données projet'!$E$10+1,1))-AVERAGE(OFFSET($H$3,0,0,'Données projet'!$E$10+1,1))</f>
        <v>244.25841067424</v>
      </c>
      <c r="AO137" s="59">
        <f t="shared" si="144"/>
        <v>538.53312094474745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10.219209373105832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10.219209373105832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-0.99999999999988631</v>
      </c>
      <c r="O138" s="13">
        <f>N138*VLOOKUP('Données projet'!$B$9,Paramètres!$A$1:$I$89,3,0)*VLOOKUP('Données projet'!$B$9,Paramètres!$A$1:$I$89,5,0)</f>
        <v>-0.59799999999993203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201.32564399503951</v>
      </c>
      <c r="T138" s="59">
        <f t="shared" si="142"/>
        <v>347.89731545007157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19.276673245499392</v>
      </c>
      <c r="AA138" s="21">
        <f>EXP(-LN(2)/25)*AA137+(1-EXP(-LN(2)/25))/(LN(2)/25)*Calculateur!V138*Calculateur!X138*VLOOKUP('Données projet'!$B$9,Paramètres!$A$1:$I$89,3,0)*0.475*44/12</f>
        <v>6.3043833744821312</v>
      </c>
      <c r="AB138" s="21">
        <f>EXP(-LN(2)/2)*AB137+(1-EXP(-LN(2)/2))/(LN(2)/2)*V138*Y138*VLOOKUP('Données projet'!$B$9,Paramètres!$A$1:$I$89,3,0)*0.475*44/12</f>
        <v>7.4741791481315637E-12</v>
      </c>
      <c r="AC138" s="22">
        <f t="shared" si="111"/>
        <v>25.581056619988999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5.6843418860808015E-14</v>
      </c>
      <c r="AJ138" s="13">
        <f>AI138*VLOOKUP('Données projet'!$B$10,Paramètres!$A$1:$I$89,3,0)*VLOOKUP('Données projet'!$B$10,Paramètres!$A$1:$I$89,5,0)</f>
        <v>5.1431925385259088E-14</v>
      </c>
      <c r="AK138" s="13">
        <f t="shared" si="143"/>
        <v>8.3482866290946129E-13</v>
      </c>
      <c r="AL138" s="20">
        <f t="shared" si="112"/>
        <v>1.5435705246133045E-12</v>
      </c>
      <c r="AM138" s="59">
        <f t="shared" si="113"/>
        <v>293.33333333333485</v>
      </c>
      <c r="AN138" s="59">
        <f ca="1">AVERAGE(OFFSET($AM$3,0,0,'Données projet'!$E$10+1,1))-AVERAGE(OFFSET($H$3,0,0,'Données projet'!$E$10+1,1))</f>
        <v>244.25841067424</v>
      </c>
      <c r="AO138" s="59">
        <f t="shared" si="144"/>
        <v>538.53312094474745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10.018816910401476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10.018816910401476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-0.99999999999988631</v>
      </c>
      <c r="O139" s="13">
        <f>N139*VLOOKUP('Données projet'!$B$9,Paramètres!$A$1:$I$89,3,0)*VLOOKUP('Données projet'!$B$9,Paramètres!$A$1:$I$89,5,0)</f>
        <v>-0.59799999999993203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201.32564399503951</v>
      </c>
      <c r="T139" s="59">
        <f t="shared" si="142"/>
        <v>347.89731545007157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18.898669440764863</v>
      </c>
      <c r="AA139" s="21">
        <f>EXP(-LN(2)/25)*AA138+(1-EXP(-LN(2)/25))/(LN(2)/25)*Calculateur!V139*Calculateur!X139*VLOOKUP('Données projet'!$B$9,Paramètres!$A$1:$I$89,3,0)*0.475*44/12</f>
        <v>6.1319896795738043</v>
      </c>
      <c r="AB139" s="21">
        <f>EXP(-LN(2)/2)*AB138+(1-EXP(-LN(2)/2))/(LN(2)/2)*V139*Y139*VLOOKUP('Données projet'!$B$9,Paramètres!$A$1:$I$89,3,0)*0.475*44/12</f>
        <v>5.2850427594469218E-12</v>
      </c>
      <c r="AC139" s="22">
        <f t="shared" si="111"/>
        <v>25.030659120343955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5.6843418860808015E-14</v>
      </c>
      <c r="AJ139" s="13">
        <f>AI139*VLOOKUP('Données projet'!$B$10,Paramètres!$A$1:$I$89,3,0)*VLOOKUP('Données projet'!$B$10,Paramètres!$A$1:$I$89,5,0)</f>
        <v>5.1431925385259088E-14</v>
      </c>
      <c r="AK139" s="13">
        <f t="shared" si="143"/>
        <v>8.3482866290946129E-13</v>
      </c>
      <c r="AL139" s="20">
        <f t="shared" si="112"/>
        <v>1.5435705246133045E-12</v>
      </c>
      <c r="AM139" s="59">
        <f t="shared" si="113"/>
        <v>293.33333333333485</v>
      </c>
      <c r="AN139" s="59">
        <f ca="1">AVERAGE(OFFSET($AM$3,0,0,'Données projet'!$E$10+1,1))-AVERAGE(OFFSET($H$3,0,0,'Données projet'!$E$10+1,1))</f>
        <v>244.25841067424</v>
      </c>
      <c r="AO139" s="59">
        <f t="shared" si="144"/>
        <v>538.53312094474745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9.8223540216634202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9.8223540216634202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-0.99999999999988631</v>
      </c>
      <c r="O140" s="13">
        <f>N140*VLOOKUP('Données projet'!$B$9,Paramètres!$A$1:$I$89,3,0)*VLOOKUP('Données projet'!$B$9,Paramètres!$A$1:$I$89,5,0)</f>
        <v>-0.59799999999993203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201.32564399503951</v>
      </c>
      <c r="T140" s="59">
        <f t="shared" si="142"/>
        <v>347.89731545007157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18.528078060081622</v>
      </c>
      <c r="AA140" s="21">
        <f>EXP(-LN(2)/25)*AA139+(1-EXP(-LN(2)/25))/(LN(2)/25)*Calculateur!V140*Calculateur!X140*VLOOKUP('Données projet'!$B$9,Paramètres!$A$1:$I$89,3,0)*0.475*44/12</f>
        <v>5.9643100993185358</v>
      </c>
      <c r="AB140" s="21">
        <f>EXP(-LN(2)/2)*AB139+(1-EXP(-LN(2)/2))/(LN(2)/2)*V140*Y140*VLOOKUP('Données projet'!$B$9,Paramètres!$A$1:$I$89,3,0)*0.475*44/12</f>
        <v>3.7370895740657818E-12</v>
      </c>
      <c r="AC140" s="22">
        <f t="shared" si="111"/>
        <v>24.492388159403895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5.6843418860808015E-14</v>
      </c>
      <c r="AJ140" s="13">
        <f>AI140*VLOOKUP('Données projet'!$B$10,Paramètres!$A$1:$I$89,3,0)*VLOOKUP('Données projet'!$B$10,Paramètres!$A$1:$I$89,5,0)</f>
        <v>5.1431925385259088E-14</v>
      </c>
      <c r="AK140" s="13">
        <f t="shared" si="143"/>
        <v>8.3482866290946129E-13</v>
      </c>
      <c r="AL140" s="20">
        <f t="shared" si="112"/>
        <v>1.5435705246133045E-12</v>
      </c>
      <c r="AM140" s="59">
        <f t="shared" si="113"/>
        <v>293.33333333333485</v>
      </c>
      <c r="AN140" s="59">
        <f ca="1">AVERAGE(OFFSET($AM$3,0,0,'Données projet'!$E$10+1,1))-AVERAGE(OFFSET($H$3,0,0,'Données projet'!$E$10+1,1))</f>
        <v>244.25841067424</v>
      </c>
      <c r="AO140" s="59">
        <f t="shared" si="144"/>
        <v>538.53312094474745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9.6297436503429878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9.6297436503429878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-0.99999999999988631</v>
      </c>
      <c r="O141" s="13">
        <f>N141*VLOOKUP('Données projet'!$B$9,Paramètres!$A$1:$I$89,3,0)*VLOOKUP('Données projet'!$B$9,Paramètres!$A$1:$I$89,5,0)</f>
        <v>-0.59799999999993203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201.32564399503951</v>
      </c>
      <c r="T141" s="59">
        <f t="shared" si="142"/>
        <v>347.89731545007157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18.164753750335155</v>
      </c>
      <c r="AA141" s="21">
        <f>EXP(-LN(2)/25)*AA140+(1-EXP(-LN(2)/25))/(LN(2)/25)*Calculateur!V141*Calculateur!X141*VLOOKUP('Données projet'!$B$9,Paramètres!$A$1:$I$89,3,0)*0.475*44/12</f>
        <v>5.8012157260032335</v>
      </c>
      <c r="AB141" s="21">
        <f>EXP(-LN(2)/2)*AB140+(1-EXP(-LN(2)/2))/(LN(2)/2)*V141*Y141*VLOOKUP('Données projet'!$B$9,Paramètres!$A$1:$I$89,3,0)*0.475*44/12</f>
        <v>2.6425213797234609E-12</v>
      </c>
      <c r="AC141" s="22">
        <f t="shared" si="111"/>
        <v>23.96596947634103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5.6843418860808015E-14</v>
      </c>
      <c r="AJ141" s="13">
        <f>AI141*VLOOKUP('Données projet'!$B$10,Paramètres!$A$1:$I$89,3,0)*VLOOKUP('Données projet'!$B$10,Paramètres!$A$1:$I$89,5,0)</f>
        <v>5.1431925385259088E-14</v>
      </c>
      <c r="AK141" s="13">
        <f t="shared" si="143"/>
        <v>8.3482866290946129E-13</v>
      </c>
      <c r="AL141" s="20">
        <f t="shared" si="112"/>
        <v>1.5435705246133045E-12</v>
      </c>
      <c r="AM141" s="59">
        <f t="shared" si="113"/>
        <v>293.33333333333485</v>
      </c>
      <c r="AN141" s="59">
        <f ca="1">AVERAGE(OFFSET($AM$3,0,0,'Données projet'!$E$10+1,1))-AVERAGE(OFFSET($H$3,0,0,'Données projet'!$E$10+1,1))</f>
        <v>244.25841067424</v>
      </c>
      <c r="AO141" s="59">
        <f t="shared" si="144"/>
        <v>538.53312094474745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9.4409102509234231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9.4409102509234231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-0.99999999999988631</v>
      </c>
      <c r="O142" s="13">
        <f>N142*VLOOKUP('Données projet'!$B$9,Paramètres!$A$1:$I$89,3,0)*VLOOKUP('Données projet'!$B$9,Paramètres!$A$1:$I$89,5,0)</f>
        <v>-0.59799999999993203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201.32564399503951</v>
      </c>
      <c r="T142" s="59">
        <f t="shared" si="142"/>
        <v>347.89731545007157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17.80855400869687</v>
      </c>
      <c r="AA142" s="21">
        <f>EXP(-LN(2)/25)*AA141+(1-EXP(-LN(2)/25))/(LN(2)/25)*Calculateur!V142*Calculateur!X142*VLOOKUP('Données projet'!$B$9,Paramètres!$A$1:$I$89,3,0)*0.475*44/12</f>
        <v>5.6425811769029988</v>
      </c>
      <c r="AB142" s="21">
        <f>EXP(-LN(2)/2)*AB141+(1-EXP(-LN(2)/2))/(LN(2)/2)*V142*Y142*VLOOKUP('Données projet'!$B$9,Paramètres!$A$1:$I$89,3,0)*0.475*44/12</f>
        <v>1.8685447870328909E-12</v>
      </c>
      <c r="AC142" s="22">
        <f t="shared" si="111"/>
        <v>23.451135185601736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5.6843418860808015E-14</v>
      </c>
      <c r="AJ142" s="13">
        <f>AI142*VLOOKUP('Données projet'!$B$10,Paramètres!$A$1:$I$89,3,0)*VLOOKUP('Données projet'!$B$10,Paramètres!$A$1:$I$89,5,0)</f>
        <v>5.1431925385259088E-14</v>
      </c>
      <c r="AK142" s="13">
        <f t="shared" si="143"/>
        <v>8.3482866290946129E-13</v>
      </c>
      <c r="AL142" s="20">
        <f t="shared" si="112"/>
        <v>1.5435705246133045E-12</v>
      </c>
      <c r="AM142" s="59">
        <f t="shared" si="113"/>
        <v>293.33333333333485</v>
      </c>
      <c r="AN142" s="59">
        <f ca="1">AVERAGE(OFFSET($AM$3,0,0,'Données projet'!$E$10+1,1))-AVERAGE(OFFSET($H$3,0,0,'Données projet'!$E$10+1,1))</f>
        <v>244.25841067424</v>
      </c>
      <c r="AO142" s="59">
        <f t="shared" si="144"/>
        <v>538.53312094474745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9.2557797592894744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9.2557797592894744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-0.99999999999988631</v>
      </c>
      <c r="O143" s="13">
        <f>N143*VLOOKUP('Données projet'!$B$9,Paramètres!$A$1:$I$89,3,0)*VLOOKUP('Données projet'!$B$9,Paramètres!$A$1:$I$89,5,0)</f>
        <v>-0.59799999999993203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201.32564399503951</v>
      </c>
      <c r="T143" s="59">
        <f t="shared" si="142"/>
        <v>347.89731545007157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17.45933912673172</v>
      </c>
      <c r="AA143" s="21">
        <f>EXP(-LN(2)/25)*AA142+(1-EXP(-LN(2)/25))/(LN(2)/25)*Calculateur!V143*Calculateur!X143*VLOOKUP('Données projet'!$B$9,Paramètres!$A$1:$I$89,3,0)*0.475*44/12</f>
        <v>5.4882844978901382</v>
      </c>
      <c r="AB143" s="21">
        <f>EXP(-LN(2)/2)*AB142+(1-EXP(-LN(2)/2))/(LN(2)/2)*V143*Y143*VLOOKUP('Données projet'!$B$9,Paramètres!$A$1:$I$89,3,0)*0.475*44/12</f>
        <v>1.3212606898617305E-12</v>
      </c>
      <c r="AC143" s="22">
        <f t="shared" si="111"/>
        <v>22.94762362462318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5.6843418860808015E-14</v>
      </c>
      <c r="AJ143" s="13">
        <f>AI143*VLOOKUP('Données projet'!$B$10,Paramètres!$A$1:$I$89,3,0)*VLOOKUP('Données projet'!$B$10,Paramètres!$A$1:$I$89,5,0)</f>
        <v>5.1431925385259088E-14</v>
      </c>
      <c r="AK143" s="13">
        <f t="shared" si="143"/>
        <v>8.3482866290946129E-13</v>
      </c>
      <c r="AL143" s="20">
        <f t="shared" si="112"/>
        <v>1.5435705246133045E-12</v>
      </c>
      <c r="AM143" s="59">
        <f t="shared" si="113"/>
        <v>293.33333333333485</v>
      </c>
      <c r="AN143" s="59">
        <f ca="1">AVERAGE(OFFSET($AM$3,0,0,'Données projet'!$E$10+1,1))-AVERAGE(OFFSET($H$3,0,0,'Données projet'!$E$10+1,1))</f>
        <v>244.25841067424</v>
      </c>
      <c r="AO143" s="59">
        <f t="shared" si="144"/>
        <v>538.53312094474745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9.0742795636780169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9.0742795636780169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-0.99999999999988631</v>
      </c>
      <c r="O144" s="13">
        <f>N144*VLOOKUP('Données projet'!$B$9,Paramètres!$A$1:$I$89,3,0)*VLOOKUP('Données projet'!$B$9,Paramètres!$A$1:$I$89,5,0)</f>
        <v>-0.59799999999993203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201.32564399503951</v>
      </c>
      <c r="T144" s="59">
        <f t="shared" si="142"/>
        <v>347.89731545007157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17.116972135601863</v>
      </c>
      <c r="AA144" s="21">
        <f>EXP(-LN(2)/25)*AA143+(1-EXP(-LN(2)/25))/(LN(2)/25)*Calculateur!V144*Calculateur!X144*VLOOKUP('Données projet'!$B$9,Paramètres!$A$1:$I$89,3,0)*0.475*44/12</f>
        <v>5.3382070696789938</v>
      </c>
      <c r="AB144" s="21">
        <f>EXP(-LN(2)/2)*AB143+(1-EXP(-LN(2)/2))/(LN(2)/2)*V144*Y144*VLOOKUP('Données projet'!$B$9,Paramètres!$A$1:$I$89,3,0)*0.475*44/12</f>
        <v>9.3427239351644546E-13</v>
      </c>
      <c r="AC144" s="22">
        <f t="shared" si="111"/>
        <v>22.455179205281791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5.6843418860808015E-14</v>
      </c>
      <c r="AJ144" s="13">
        <f>AI144*VLOOKUP('Données projet'!$B$10,Paramètres!$A$1:$I$89,3,0)*VLOOKUP('Données projet'!$B$10,Paramètres!$A$1:$I$89,5,0)</f>
        <v>5.1431925385259088E-14</v>
      </c>
      <c r="AK144" s="13">
        <f t="shared" si="143"/>
        <v>8.3482866290946129E-13</v>
      </c>
      <c r="AL144" s="20">
        <f t="shared" si="112"/>
        <v>1.5435705246133045E-12</v>
      </c>
      <c r="AM144" s="59">
        <f t="shared" si="113"/>
        <v>293.33333333333485</v>
      </c>
      <c r="AN144" s="59">
        <f ca="1">AVERAGE(OFFSET($AM$3,0,0,'Données projet'!$E$10+1,1))-AVERAGE(OFFSET($H$3,0,0,'Données projet'!$E$10+1,1))</f>
        <v>244.25841067424</v>
      </c>
      <c r="AO144" s="59">
        <f t="shared" si="144"/>
        <v>538.53312094474745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8.8963384761983129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8.8963384761983129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-0.99999999999988631</v>
      </c>
      <c r="O145" s="13">
        <f>N145*VLOOKUP('Données projet'!$B$9,Paramètres!$A$1:$I$89,3,0)*VLOOKUP('Données projet'!$B$9,Paramètres!$A$1:$I$89,5,0)</f>
        <v>-0.59799999999993203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201.32564399503951</v>
      </c>
      <c r="T145" s="59">
        <f t="shared" si="142"/>
        <v>347.89731545007157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16.781318752344816</v>
      </c>
      <c r="AA145" s="21">
        <f>EXP(-LN(2)/25)*AA144+(1-EXP(-LN(2)/25))/(LN(2)/25)*Calculateur!V145*Calculateur!X145*VLOOKUP('Données projet'!$B$9,Paramètres!$A$1:$I$89,3,0)*0.475*44/12</f>
        <v>5.1922335166345128</v>
      </c>
      <c r="AB145" s="21">
        <f>EXP(-LN(2)/2)*AB144+(1-EXP(-LN(2)/2))/(LN(2)/2)*V145*Y145*VLOOKUP('Données projet'!$B$9,Paramètres!$A$1:$I$89,3,0)*0.475*44/12</f>
        <v>6.6063034493086523E-13</v>
      </c>
      <c r="AC145" s="22">
        <f t="shared" si="111"/>
        <v>21.97355226897999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5.6843418860808015E-14</v>
      </c>
      <c r="AJ145" s="13">
        <f>AI145*VLOOKUP('Données projet'!$B$10,Paramètres!$A$1:$I$89,3,0)*VLOOKUP('Données projet'!$B$10,Paramètres!$A$1:$I$89,5,0)</f>
        <v>5.1431925385259088E-14</v>
      </c>
      <c r="AK145" s="13">
        <f t="shared" si="143"/>
        <v>8.3482866290946129E-13</v>
      </c>
      <c r="AL145" s="20">
        <f t="shared" si="112"/>
        <v>1.5435705246133045E-12</v>
      </c>
      <c r="AM145" s="59">
        <f t="shared" si="113"/>
        <v>293.33333333333485</v>
      </c>
      <c r="AN145" s="59">
        <f ca="1">AVERAGE(OFFSET($AM$3,0,0,'Données projet'!$E$10+1,1))-AVERAGE(OFFSET($H$3,0,0,'Données projet'!$E$10+1,1))</f>
        <v>244.25841067424</v>
      </c>
      <c r="AO145" s="59">
        <f t="shared" si="144"/>
        <v>538.53312094474745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8.7218867049107391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8.7218867049107391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-0.99999999999988631</v>
      </c>
      <c r="O146" s="13">
        <f>N146*VLOOKUP('Données projet'!$B$9,Paramètres!$A$1:$I$89,3,0)*VLOOKUP('Données projet'!$B$9,Paramètres!$A$1:$I$89,5,0)</f>
        <v>-0.59799999999993203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201.32564399503951</v>
      </c>
      <c r="T146" s="59">
        <f t="shared" si="142"/>
        <v>347.89731545007157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16.452247327205093</v>
      </c>
      <c r="AA146" s="21">
        <f>EXP(-LN(2)/25)*AA145+(1-EXP(-LN(2)/25))/(LN(2)/25)*Calculateur!V146*Calculateur!X146*VLOOKUP('Données projet'!$B$9,Paramètres!$A$1:$I$89,3,0)*0.475*44/12</f>
        <v>5.0502516180744488</v>
      </c>
      <c r="AB146" s="21">
        <f>EXP(-LN(2)/2)*AB145+(1-EXP(-LN(2)/2))/(LN(2)/2)*V146*Y146*VLOOKUP('Données projet'!$B$9,Paramètres!$A$1:$I$89,3,0)*0.475*44/12</f>
        <v>4.6713619675822273E-13</v>
      </c>
      <c r="AC146" s="22">
        <f t="shared" si="111"/>
        <v>21.502498945280006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5.6843418860808015E-14</v>
      </c>
      <c r="AJ146" s="13">
        <f>AI146*VLOOKUP('Données projet'!$B$10,Paramètres!$A$1:$I$89,3,0)*VLOOKUP('Données projet'!$B$10,Paramètres!$A$1:$I$89,5,0)</f>
        <v>5.1431925385259088E-14</v>
      </c>
      <c r="AK146" s="13">
        <f t="shared" si="143"/>
        <v>8.3482866290946129E-13</v>
      </c>
      <c r="AL146" s="20">
        <f t="shared" si="112"/>
        <v>1.5435705246133045E-12</v>
      </c>
      <c r="AM146" s="59">
        <f t="shared" si="113"/>
        <v>293.33333333333485</v>
      </c>
      <c r="AN146" s="59">
        <f ca="1">AVERAGE(OFFSET($AM$3,0,0,'Données projet'!$E$10+1,1))-AVERAGE(OFFSET($H$3,0,0,'Données projet'!$E$10+1,1))</f>
        <v>244.25841067424</v>
      </c>
      <c r="AO146" s="59">
        <f t="shared" si="144"/>
        <v>538.53312094474745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8.5508558264530397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8.5508558264530397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-0.99999999999988631</v>
      </c>
      <c r="O147" s="13">
        <f>N147*VLOOKUP('Données projet'!$B$9,Paramètres!$A$1:$I$89,3,0)*VLOOKUP('Données projet'!$B$9,Paramètres!$A$1:$I$89,5,0)</f>
        <v>-0.59799999999993203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201.32564399503951</v>
      </c>
      <c r="T147" s="59">
        <f t="shared" si="142"/>
        <v>347.89731545007157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16.129628791998609</v>
      </c>
      <c r="AA147" s="21">
        <f>EXP(-LN(2)/25)*AA146+(1-EXP(-LN(2)/25))/(LN(2)/25)*Calculateur!V147*Calculateur!X147*VLOOKUP('Données projet'!$B$9,Paramètres!$A$1:$I$89,3,0)*0.475*44/12</f>
        <v>4.9121522219970126</v>
      </c>
      <c r="AB147" s="21">
        <f>EXP(-LN(2)/2)*AB146+(1-EXP(-LN(2)/2))/(LN(2)/2)*V147*Y147*VLOOKUP('Données projet'!$B$9,Paramètres!$A$1:$I$89,3,0)*0.475*44/12</f>
        <v>3.3031517246543262E-13</v>
      </c>
      <c r="AC147" s="22">
        <f t="shared" si="111"/>
        <v>21.041781013995951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5.6843418860808015E-14</v>
      </c>
      <c r="AJ147" s="13">
        <f>AI147*VLOOKUP('Données projet'!$B$10,Paramètres!$A$1:$I$89,3,0)*VLOOKUP('Données projet'!$B$10,Paramètres!$A$1:$I$89,5,0)</f>
        <v>5.1431925385259088E-14</v>
      </c>
      <c r="AK147" s="13">
        <f t="shared" si="143"/>
        <v>8.3482866290946129E-13</v>
      </c>
      <c r="AL147" s="20">
        <f t="shared" si="112"/>
        <v>1.5435705246133045E-12</v>
      </c>
      <c r="AM147" s="59">
        <f t="shared" si="113"/>
        <v>293.33333333333485</v>
      </c>
      <c r="AN147" s="59">
        <f ca="1">AVERAGE(OFFSET($AM$3,0,0,'Données projet'!$E$10+1,1))-AVERAGE(OFFSET($H$3,0,0,'Données projet'!$E$10+1,1))</f>
        <v>244.25841067424</v>
      </c>
      <c r="AO147" s="59">
        <f t="shared" si="144"/>
        <v>538.53312094474745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8.3831787592033606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8.3831787592033606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-0.99999999999988631</v>
      </c>
      <c r="O148" s="13">
        <f>N148*VLOOKUP('Données projet'!$B$9,Paramètres!$A$1:$I$89,3,0)*VLOOKUP('Données projet'!$B$9,Paramètres!$A$1:$I$89,5,0)</f>
        <v>-0.59799999999993203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201.32564399503951</v>
      </c>
      <c r="T148" s="59">
        <f t="shared" si="142"/>
        <v>347.89731545007157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15.813336609489648</v>
      </c>
      <c r="AA148" s="21">
        <f>EXP(-LN(2)/25)*AA147+(1-EXP(-LN(2)/25))/(LN(2)/25)*Calculateur!V148*Calculateur!X148*VLOOKUP('Données projet'!$B$9,Paramètres!$A$1:$I$89,3,0)*0.475*44/12</f>
        <v>4.777829161167646</v>
      </c>
      <c r="AB148" s="21">
        <f>EXP(-LN(2)/2)*AB147+(1-EXP(-LN(2)/2))/(LN(2)/2)*V148*Y148*VLOOKUP('Données projet'!$B$9,Paramètres!$A$1:$I$89,3,0)*0.475*44/12</f>
        <v>2.3356809837911136E-13</v>
      </c>
      <c r="AC148" s="22">
        <f t="shared" si="111"/>
        <v>20.591165770657529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5.6843418860808015E-14</v>
      </c>
      <c r="AJ148" s="13">
        <f>AI148*VLOOKUP('Données projet'!$B$10,Paramètres!$A$1:$I$89,3,0)*VLOOKUP('Données projet'!$B$10,Paramètres!$A$1:$I$89,5,0)</f>
        <v>5.1431925385259088E-14</v>
      </c>
      <c r="AK148" s="13">
        <f t="shared" si="143"/>
        <v>8.3482866290946129E-13</v>
      </c>
      <c r="AL148" s="20">
        <f t="shared" si="112"/>
        <v>1.5435705246133045E-12</v>
      </c>
      <c r="AM148" s="59">
        <f t="shared" si="113"/>
        <v>293.33333333333485</v>
      </c>
      <c r="AN148" s="59">
        <f ca="1">AVERAGE(OFFSET($AM$3,0,0,'Données projet'!$E$10+1,1))-AVERAGE(OFFSET($H$3,0,0,'Données projet'!$E$10+1,1))</f>
        <v>244.25841067424</v>
      </c>
      <c r="AO148" s="59">
        <f t="shared" si="144"/>
        <v>538.53312094474745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8.2187897369695353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8.2187897369695353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-0.99999999999988631</v>
      </c>
      <c r="O149" s="13">
        <f>N149*VLOOKUP('Données projet'!$B$9,Paramètres!$A$1:$I$89,3,0)*VLOOKUP('Données projet'!$B$9,Paramètres!$A$1:$I$89,5,0)</f>
        <v>-0.59799999999993203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201.32564399503951</v>
      </c>
      <c r="T149" s="59">
        <f t="shared" si="142"/>
        <v>347.89731545007157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15.503246723760505</v>
      </c>
      <c r="AA149" s="21">
        <f>EXP(-LN(2)/25)*AA148+(1-EXP(-LN(2)/25))/(LN(2)/25)*Calculateur!V149*Calculateur!X149*VLOOKUP('Données projet'!$B$9,Paramètres!$A$1:$I$89,3,0)*0.475*44/12</f>
        <v>4.6471791715004009</v>
      </c>
      <c r="AB149" s="21">
        <f>EXP(-LN(2)/2)*AB148+(1-EXP(-LN(2)/2))/(LN(2)/2)*V149*Y149*VLOOKUP('Données projet'!$B$9,Paramètres!$A$1:$I$89,3,0)*0.475*44/12</f>
        <v>1.6515758623271631E-13</v>
      </c>
      <c r="AC149" s="22">
        <f t="shared" si="111"/>
        <v>20.150425895261069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5.6843418860808015E-14</v>
      </c>
      <c r="AJ149" s="13">
        <f>AI149*VLOOKUP('Données projet'!$B$10,Paramètres!$A$1:$I$89,3,0)*VLOOKUP('Données projet'!$B$10,Paramètres!$A$1:$I$89,5,0)</f>
        <v>5.1431925385259088E-14</v>
      </c>
      <c r="AK149" s="13">
        <f t="shared" si="143"/>
        <v>8.3482866290946129E-13</v>
      </c>
      <c r="AL149" s="20">
        <f t="shared" si="112"/>
        <v>1.5435705246133045E-12</v>
      </c>
      <c r="AM149" s="59">
        <f t="shared" si="113"/>
        <v>293.33333333333485</v>
      </c>
      <c r="AN149" s="59">
        <f ca="1">AVERAGE(OFFSET($AM$3,0,0,'Données projet'!$E$10+1,1))-AVERAGE(OFFSET($H$3,0,0,'Données projet'!$E$10+1,1))</f>
        <v>244.25841067424</v>
      </c>
      <c r="AO149" s="59">
        <f t="shared" si="144"/>
        <v>538.53312094474745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8.057624283194313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8.057624283194313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-0.99999999999988631</v>
      </c>
      <c r="O150" s="13">
        <f>N150*VLOOKUP('Données projet'!$B$9,Paramètres!$A$1:$I$89,3,0)*VLOOKUP('Données projet'!$B$9,Paramètres!$A$1:$I$89,5,0)</f>
        <v>-0.59799999999993203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201.32564399503951</v>
      </c>
      <c r="T150" s="59">
        <f t="shared" si="142"/>
        <v>347.89731545007157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15.199237511554356</v>
      </c>
      <c r="AA150" s="21">
        <f>EXP(-LN(2)/25)*AA149+(1-EXP(-LN(2)/25))/(LN(2)/25)*Calculateur!V150*Calculateur!X150*VLOOKUP('Données projet'!$B$9,Paramètres!$A$1:$I$89,3,0)*0.475*44/12</f>
        <v>4.5201018126711912</v>
      </c>
      <c r="AB150" s="21">
        <f>EXP(-LN(2)/2)*AB149+(1-EXP(-LN(2)/2))/(LN(2)/2)*V150*Y150*VLOOKUP('Données projet'!$B$9,Paramètres!$A$1:$I$89,3,0)*0.475*44/12</f>
        <v>1.1678404918955568E-13</v>
      </c>
      <c r="AC150" s="22">
        <f t="shared" si="111"/>
        <v>19.719339324225665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5.6843418860808015E-14</v>
      </c>
      <c r="AJ150" s="13">
        <f>AI150*VLOOKUP('Données projet'!$B$10,Paramètres!$A$1:$I$89,3,0)*VLOOKUP('Données projet'!$B$10,Paramètres!$A$1:$I$89,5,0)</f>
        <v>5.1431925385259088E-14</v>
      </c>
      <c r="AK150" s="13">
        <f t="shared" si="143"/>
        <v>8.3482866290946129E-13</v>
      </c>
      <c r="AL150" s="20">
        <f t="shared" si="112"/>
        <v>1.5435705246133045E-12</v>
      </c>
      <c r="AM150" s="59">
        <f t="shared" si="113"/>
        <v>293.33333333333485</v>
      </c>
      <c r="AN150" s="59">
        <f ca="1">AVERAGE(OFFSET($AM$3,0,0,'Données projet'!$E$10+1,1))-AVERAGE(OFFSET($H$3,0,0,'Données projet'!$E$10+1,1))</f>
        <v>244.25841067424</v>
      </c>
      <c r="AO150" s="59">
        <f t="shared" si="144"/>
        <v>538.53312094474745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7.8996191856664026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7.8996191856664026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-0.99999999999988631</v>
      </c>
      <c r="O151" s="13">
        <f>N151*VLOOKUP('Données projet'!$B$9,Paramètres!$A$1:$I$89,3,0)*VLOOKUP('Données projet'!$B$9,Paramètres!$A$1:$I$89,5,0)</f>
        <v>-0.59799999999993203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201.32564399503951</v>
      </c>
      <c r="T151" s="59">
        <f t="shared" si="142"/>
        <v>347.89731545007157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14.901189734572259</v>
      </c>
      <c r="AA151" s="21">
        <f>EXP(-LN(2)/25)*AA150+(1-EXP(-LN(2)/25))/(LN(2)/25)*Calculateur!V151*Calculateur!X151*VLOOKUP('Données projet'!$B$9,Paramètres!$A$1:$I$89,3,0)*0.475*44/12</f>
        <v>4.3964993909018739</v>
      </c>
      <c r="AB151" s="21">
        <f>EXP(-LN(2)/2)*AB150+(1-EXP(-LN(2)/2))/(LN(2)/2)*V151*Y151*VLOOKUP('Données projet'!$B$9,Paramètres!$A$1:$I$89,3,0)*0.475*44/12</f>
        <v>8.2578793116358154E-14</v>
      </c>
      <c r="AC151" s="22">
        <f t="shared" si="111"/>
        <v>19.297689125474214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5.6843418860808015E-14</v>
      </c>
      <c r="AJ151" s="13">
        <f>AI151*VLOOKUP('Données projet'!$B$10,Paramètres!$A$1:$I$89,3,0)*VLOOKUP('Données projet'!$B$10,Paramètres!$A$1:$I$89,5,0)</f>
        <v>5.1431925385259088E-14</v>
      </c>
      <c r="AK151" s="13">
        <f t="shared" si="143"/>
        <v>8.3482866290946129E-13</v>
      </c>
      <c r="AL151" s="20">
        <f t="shared" si="112"/>
        <v>1.5435705246133045E-12</v>
      </c>
      <c r="AM151" s="59">
        <f t="shared" si="113"/>
        <v>293.33333333333485</v>
      </c>
      <c r="AN151" s="59">
        <f ca="1">AVERAGE(OFFSET($AM$3,0,0,'Données projet'!$E$10+1,1))-AVERAGE(OFFSET($H$3,0,0,'Données projet'!$E$10+1,1))</f>
        <v>244.25841067424</v>
      </c>
      <c r="AO151" s="59">
        <f t="shared" si="144"/>
        <v>538.53312094474745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7.7447124717274205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7.7447124717274205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-0.99999999999988631</v>
      </c>
      <c r="O152" s="13">
        <f>N152*VLOOKUP('Données projet'!$B$9,Paramètres!$A$1:$I$89,3,0)*VLOOKUP('Données projet'!$B$9,Paramètres!$A$1:$I$89,5,0)</f>
        <v>-0.59799999999993203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201.32564399503951</v>
      </c>
      <c r="T152" s="59">
        <f t="shared" si="142"/>
        <v>347.89731545007157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14.608986492705588</v>
      </c>
      <c r="AA152" s="21">
        <f>EXP(-LN(2)/25)*AA151+(1-EXP(-LN(2)/25))/(LN(2)/25)*Calculateur!V152*Calculateur!X152*VLOOKUP('Données projet'!$B$9,Paramètres!$A$1:$I$89,3,0)*0.475*44/12</f>
        <v>4.2762768838558074</v>
      </c>
      <c r="AB152" s="21">
        <f>EXP(-LN(2)/2)*AB151+(1-EXP(-LN(2)/2))/(LN(2)/2)*V152*Y152*VLOOKUP('Données projet'!$B$9,Paramètres!$A$1:$I$89,3,0)*0.475*44/12</f>
        <v>5.8392024594777841E-14</v>
      </c>
      <c r="AC152" s="22">
        <f t="shared" si="111"/>
        <v>18.885263376561454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5.6843418860808015E-14</v>
      </c>
      <c r="AJ152" s="13">
        <f>AI152*VLOOKUP('Données projet'!$B$10,Paramètres!$A$1:$I$89,3,0)*VLOOKUP('Données projet'!$B$10,Paramètres!$A$1:$I$89,5,0)</f>
        <v>5.1431925385259088E-14</v>
      </c>
      <c r="AK152" s="13">
        <f t="shared" si="143"/>
        <v>8.3482866290946129E-13</v>
      </c>
      <c r="AL152" s="20">
        <f t="shared" si="112"/>
        <v>1.5435705246133045E-12</v>
      </c>
      <c r="AM152" s="59">
        <f t="shared" si="113"/>
        <v>293.33333333333485</v>
      </c>
      <c r="AN152" s="59">
        <f ca="1">AVERAGE(OFFSET($AM$3,0,0,'Données projet'!$E$10+1,1))-AVERAGE(OFFSET($H$3,0,0,'Données projet'!$E$10+1,1))</f>
        <v>244.25841067424</v>
      </c>
      <c r="AO152" s="59">
        <f t="shared" si="144"/>
        <v>538.53312094474745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7.5928433839650165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7.5928433839650165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-0.99999999999988631</v>
      </c>
      <c r="O153" s="13">
        <f>N153*VLOOKUP('Données projet'!$B$9,Paramètres!$A$1:$I$89,3,0)*VLOOKUP('Données projet'!$B$9,Paramètres!$A$1:$I$89,5,0)</f>
        <v>-0.59799999999993203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201.32564399503951</v>
      </c>
      <c r="T153" s="59">
        <f t="shared" si="142"/>
        <v>347.89731545007157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14.322513178185543</v>
      </c>
      <c r="AA153" s="21">
        <f>EXP(-LN(2)/25)*AA152+(1-EXP(-LN(2)/25))/(LN(2)/25)*Calculateur!V153*Calculateur!X153*VLOOKUP('Données projet'!$B$9,Paramètres!$A$1:$I$89,3,0)*0.475*44/12</f>
        <v>4.159341867587143</v>
      </c>
      <c r="AB153" s="21">
        <f>EXP(-LN(2)/2)*AB152+(1-EXP(-LN(2)/2))/(LN(2)/2)*V153*Y153*VLOOKUP('Données projet'!$B$9,Paramètres!$A$1:$I$89,3,0)*0.475*44/12</f>
        <v>4.1289396558179077E-14</v>
      </c>
      <c r="AC153" s="22">
        <f t="shared" si="111"/>
        <v>18.481855045772729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5.6843418860808015E-14</v>
      </c>
      <c r="AJ153" s="13">
        <f>AI153*VLOOKUP('Données projet'!$B$10,Paramètres!$A$1:$I$89,3,0)*VLOOKUP('Données projet'!$B$10,Paramètres!$A$1:$I$89,5,0)</f>
        <v>5.1431925385259088E-14</v>
      </c>
      <c r="AK153" s="13">
        <f t="shared" si="143"/>
        <v>8.3482866290946129E-13</v>
      </c>
      <c r="AL153" s="20">
        <f t="shared" si="112"/>
        <v>1.5435705246133045E-12</v>
      </c>
      <c r="AM153" s="59">
        <f t="shared" si="113"/>
        <v>293.33333333333485</v>
      </c>
      <c r="AN153" s="59">
        <f ca="1">AVERAGE(OFFSET($AM$3,0,0,'Données projet'!$E$10+1,1))-AVERAGE(OFFSET($H$3,0,0,'Données projet'!$E$10+1,1))</f>
        <v>244.25841067424</v>
      </c>
      <c r="AO153" s="59">
        <f t="shared" si="144"/>
        <v>538.53312094474745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7.4439523563826357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7.4439523563826357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-0.99999999999988631</v>
      </c>
      <c r="O154" s="13">
        <f>N154*VLOOKUP('Données projet'!$B$9,Paramètres!$A$1:$I$89,3,0)*VLOOKUP('Données projet'!$B$9,Paramètres!$A$1:$I$89,5,0)</f>
        <v>-0.59799999999993203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201.32564399503951</v>
      </c>
      <c r="T154" s="59">
        <f t="shared" si="142"/>
        <v>347.89731545007157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14.041657430631767</v>
      </c>
      <c r="AA154" s="21">
        <f>EXP(-LN(2)/25)*AA153+(1-EXP(-LN(2)/25))/(LN(2)/25)*Calculateur!V154*Calculateur!X154*VLOOKUP('Données projet'!$B$9,Paramètres!$A$1:$I$89,3,0)*0.475*44/12</f>
        <v>4.0456044454876903</v>
      </c>
      <c r="AB154" s="21">
        <f>EXP(-LN(2)/2)*AB153+(1-EXP(-LN(2)/2))/(LN(2)/2)*V154*Y154*VLOOKUP('Données projet'!$B$9,Paramètres!$A$1:$I$89,3,0)*0.475*44/12</f>
        <v>2.9196012297388921E-14</v>
      </c>
      <c r="AC154" s="22">
        <f t="shared" ref="AC154:AC203" si="163">SUM(Z154:AB154)</f>
        <v>18.087261876119484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5.1431925385259088E-14</v>
      </c>
      <c r="AK154" s="13">
        <f t="shared" ref="AK154:AK203" si="164">EXP(-1.0587+0.8836*LN(AJ154)+0.284)</f>
        <v>8.3482866290946129E-13</v>
      </c>
      <c r="AL154" s="20">
        <f t="shared" ref="AL154:AL203" si="165">(AJ154+AK154)*0.475*44/12</f>
        <v>1.5435705246133045E-12</v>
      </c>
      <c r="AM154" s="59">
        <f t="shared" si="113"/>
        <v>293.33333333333485</v>
      </c>
      <c r="AN154" s="59">
        <f ca="1">AVERAGE(OFFSET($AM$3,0,0,'Données projet'!$E$10+1,1))-AVERAGE(OFFSET($H$3,0,0,'Données projet'!$E$10+1,1))</f>
        <v>244.25841067424</v>
      </c>
      <c r="AO154" s="59">
        <f t="shared" si="144"/>
        <v>538.53312094474745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7.297980991036586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7.297980991036586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-0.99999999999988631</v>
      </c>
      <c r="O155" s="13">
        <f>N155*VLOOKUP('Données projet'!$B$9,Paramètres!$A$1:$I$89,3,0)*VLOOKUP('Données projet'!$B$9,Paramètres!$A$1:$I$89,5,0)</f>
        <v>-0.59799999999993203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201.32564399503951</v>
      </c>
      <c r="T155" s="59">
        <f t="shared" si="142"/>
        <v>347.89731545007157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13.76630909298243</v>
      </c>
      <c r="AA155" s="21">
        <f>EXP(-LN(2)/25)*AA154+(1-EXP(-LN(2)/25))/(LN(2)/25)*Calculateur!V155*Calculateur!X155*VLOOKUP('Données projet'!$B$9,Paramètres!$A$1:$I$89,3,0)*0.475*44/12</f>
        <v>3.9349771791767378</v>
      </c>
      <c r="AB155" s="21">
        <f>EXP(-LN(2)/2)*AB154+(1-EXP(-LN(2)/2))/(LN(2)/2)*V155*Y155*VLOOKUP('Données projet'!$B$9,Paramètres!$A$1:$I$89,3,0)*0.475*44/12</f>
        <v>2.0644698279089538E-14</v>
      </c>
      <c r="AC155" s="22">
        <f t="shared" si="163"/>
        <v>17.701286272159191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5.1431925385259088E-14</v>
      </c>
      <c r="AK155" s="13">
        <f t="shared" si="164"/>
        <v>8.3482866290946129E-13</v>
      </c>
      <c r="AL155" s="20">
        <f t="shared" si="165"/>
        <v>1.5435705246133045E-12</v>
      </c>
      <c r="AM155" s="59">
        <f t="shared" si="113"/>
        <v>293.33333333333485</v>
      </c>
      <c r="AN155" s="59">
        <f ca="1">AVERAGE(OFFSET($AM$3,0,0,'Données projet'!$E$10+1,1))-AVERAGE(OFFSET($H$3,0,0,'Données projet'!$E$10+1,1))</f>
        <v>244.25841067424</v>
      </c>
      <c r="AO155" s="59">
        <f t="shared" si="144"/>
        <v>538.53312094474745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7.1548720351312305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7.1548720351312305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-0.99999999999988631</v>
      </c>
      <c r="O156" s="13">
        <f>N156*VLOOKUP('Données projet'!$B$9,Paramètres!$A$1:$I$89,3,0)*VLOOKUP('Données projet'!$B$9,Paramètres!$A$1:$I$89,5,0)</f>
        <v>-0.59799999999993203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201.32564399503951</v>
      </c>
      <c r="T156" s="59">
        <f t="shared" si="142"/>
        <v>347.89731545007157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13.496360168288493</v>
      </c>
      <c r="AA156" s="21">
        <f>EXP(-LN(2)/25)*AA155+(1-EXP(-LN(2)/25))/(LN(2)/25)*Calculateur!V156*Calculateur!X156*VLOOKUP('Données projet'!$B$9,Paramètres!$A$1:$I$89,3,0)*0.475*44/12</f>
        <v>3.8273750212806936</v>
      </c>
      <c r="AB156" s="21">
        <f>EXP(-LN(2)/2)*AB155+(1-EXP(-LN(2)/2))/(LN(2)/2)*V156*Y156*VLOOKUP('Données projet'!$B$9,Paramètres!$A$1:$I$89,3,0)*0.475*44/12</f>
        <v>1.459800614869446E-14</v>
      </c>
      <c r="AC156" s="22">
        <f t="shared" si="163"/>
        <v>17.323735189569202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5.1431925385259088E-14</v>
      </c>
      <c r="AK156" s="13">
        <f t="shared" si="164"/>
        <v>8.3482866290946129E-13</v>
      </c>
      <c r="AL156" s="20">
        <f t="shared" si="165"/>
        <v>1.5435705246133045E-12</v>
      </c>
      <c r="AM156" s="59">
        <f t="shared" si="113"/>
        <v>293.33333333333485</v>
      </c>
      <c r="AN156" s="59">
        <f ca="1">AVERAGE(OFFSET($AM$3,0,0,'Données projet'!$E$10+1,1))-AVERAGE(OFFSET($H$3,0,0,'Données projet'!$E$10+1,1))</f>
        <v>244.25841067424</v>
      </c>
      <c r="AO156" s="59">
        <f t="shared" si="144"/>
        <v>538.53312094474745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7.0145693585633353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7.0145693585633353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-0.99999999999988631</v>
      </c>
      <c r="O157" s="13">
        <f>N157*VLOOKUP('Données projet'!$B$9,Paramètres!$A$1:$I$89,3,0)*VLOOKUP('Données projet'!$B$9,Paramètres!$A$1:$I$89,5,0)</f>
        <v>-0.59799999999993203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201.32564399503951</v>
      </c>
      <c r="T157" s="59">
        <f t="shared" si="142"/>
        <v>347.89731545007157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13.231704777355219</v>
      </c>
      <c r="AA157" s="21">
        <f>EXP(-LN(2)/25)*AA156+(1-EXP(-LN(2)/25))/(LN(2)/25)*Calculateur!V157*Calculateur!X157*VLOOKUP('Données projet'!$B$9,Paramètres!$A$1:$I$89,3,0)*0.475*44/12</f>
        <v>3.7227152500508685</v>
      </c>
      <c r="AB157" s="21">
        <f>EXP(-LN(2)/2)*AB156+(1-EXP(-LN(2)/2))/(LN(2)/2)*V157*Y157*VLOOKUP('Données projet'!$B$9,Paramètres!$A$1:$I$89,3,0)*0.475*44/12</f>
        <v>1.0322349139544769E-14</v>
      </c>
      <c r="AC157" s="22">
        <f t="shared" si="163"/>
        <v>16.954420027406098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5.1431925385259088E-14</v>
      </c>
      <c r="AK157" s="13">
        <f t="shared" si="164"/>
        <v>8.3482866290946129E-13</v>
      </c>
      <c r="AL157" s="20">
        <f t="shared" si="165"/>
        <v>1.5435705246133045E-12</v>
      </c>
      <c r="AM157" s="59">
        <f t="shared" si="113"/>
        <v>293.33333333333485</v>
      </c>
      <c r="AN157" s="59">
        <f ca="1">AVERAGE(OFFSET($AM$3,0,0,'Données projet'!$E$10+1,1))-AVERAGE(OFFSET($H$3,0,0,'Données projet'!$E$10+1,1))</f>
        <v>244.25841067424</v>
      </c>
      <c r="AO157" s="59">
        <f t="shared" si="144"/>
        <v>538.53312094474745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6.8770179319067539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6.8770179319067539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-0.99999999999988631</v>
      </c>
      <c r="O158" s="13">
        <f>N158*VLOOKUP('Données projet'!$B$9,Paramètres!$A$1:$I$89,3,0)*VLOOKUP('Données projet'!$B$9,Paramètres!$A$1:$I$89,5,0)</f>
        <v>-0.59799999999993203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201.32564399503951</v>
      </c>
      <c r="T158" s="59">
        <f t="shared" si="142"/>
        <v>347.89731545007157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12.972239117214297</v>
      </c>
      <c r="AA158" s="21">
        <f>EXP(-LN(2)/25)*AA157+(1-EXP(-LN(2)/25))/(LN(2)/25)*Calculateur!V158*Calculateur!X158*VLOOKUP('Données projet'!$B$9,Paramètres!$A$1:$I$89,3,0)*0.475*44/12</f>
        <v>3.6209174057691409</v>
      </c>
      <c r="AB158" s="21">
        <f>EXP(-LN(2)/2)*AB157+(1-EXP(-LN(2)/2))/(LN(2)/2)*V158*Y158*VLOOKUP('Données projet'!$B$9,Paramètres!$A$1:$I$89,3,0)*0.475*44/12</f>
        <v>7.2990030743472301E-15</v>
      </c>
      <c r="AC158" s="22">
        <f t="shared" si="163"/>
        <v>16.593156522983445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5.1431925385259088E-14</v>
      </c>
      <c r="AK158" s="13">
        <f t="shared" si="164"/>
        <v>8.3482866290946129E-13</v>
      </c>
      <c r="AL158" s="20">
        <f t="shared" si="165"/>
        <v>1.5435705246133045E-12</v>
      </c>
      <c r="AM158" s="59">
        <f t="shared" si="113"/>
        <v>293.33333333333485</v>
      </c>
      <c r="AN158" s="59">
        <f ca="1">AVERAGE(OFFSET($AM$3,0,0,'Données projet'!$E$10+1,1))-AVERAGE(OFFSET($H$3,0,0,'Données projet'!$E$10+1,1))</f>
        <v>244.25841067424</v>
      </c>
      <c r="AO158" s="59">
        <f t="shared" si="144"/>
        <v>538.53312094474745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6.7421638048288219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6.7421638048288219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-0.99999999999988631</v>
      </c>
      <c r="O159" s="13">
        <f>N159*VLOOKUP('Données projet'!$B$9,Paramètres!$A$1:$I$89,3,0)*VLOOKUP('Données projet'!$B$9,Paramètres!$A$1:$I$89,5,0)</f>
        <v>-0.59799999999993203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201.32564399503951</v>
      </c>
      <c r="T159" s="59">
        <f t="shared" si="142"/>
        <v>347.89731545007157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12.717861420410314</v>
      </c>
      <c r="AA159" s="21">
        <f>EXP(-LN(2)/25)*AA158+(1-EXP(-LN(2)/25))/(LN(2)/25)*Calculateur!V159*Calculateur!X159*VLOOKUP('Données projet'!$B$9,Paramètres!$A$1:$I$89,3,0)*0.475*44/12</f>
        <v>3.5219032288926129</v>
      </c>
      <c r="AB159" s="21">
        <f>EXP(-LN(2)/2)*AB158+(1-EXP(-LN(2)/2))/(LN(2)/2)*V159*Y159*VLOOKUP('Données projet'!$B$9,Paramètres!$A$1:$I$89,3,0)*0.475*44/12</f>
        <v>5.1611745697723846E-15</v>
      </c>
      <c r="AC159" s="22">
        <f t="shared" si="163"/>
        <v>16.239764649302931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5.1431925385259088E-14</v>
      </c>
      <c r="AK159" s="13">
        <f t="shared" si="164"/>
        <v>8.3482866290946129E-13</v>
      </c>
      <c r="AL159" s="20">
        <f t="shared" si="165"/>
        <v>1.5435705246133045E-12</v>
      </c>
      <c r="AM159" s="59">
        <f t="shared" si="113"/>
        <v>293.33333333333485</v>
      </c>
      <c r="AN159" s="59">
        <f ca="1">AVERAGE(OFFSET($AM$3,0,0,'Données projet'!$E$10+1,1))-AVERAGE(OFFSET($H$3,0,0,'Données projet'!$E$10+1,1))</f>
        <v>244.25841067424</v>
      </c>
      <c r="AO159" s="59">
        <f t="shared" si="144"/>
        <v>538.53312094474745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6.609954084929992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6.609954084929992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-0.99999999999988631</v>
      </c>
      <c r="O160" s="13">
        <f>N160*VLOOKUP('Données projet'!$B$9,Paramètres!$A$1:$I$89,3,0)*VLOOKUP('Données projet'!$B$9,Paramètres!$A$1:$I$89,5,0)</f>
        <v>-0.59799999999993203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201.32564399503951</v>
      </c>
      <c r="T160" s="59">
        <f t="shared" si="142"/>
        <v>347.89731545007157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12.468471915085582</v>
      </c>
      <c r="AA160" s="21">
        <f>EXP(-LN(2)/25)*AA159+(1-EXP(-LN(2)/25))/(LN(2)/25)*Calculateur!V160*Calculateur!X160*VLOOKUP('Données projet'!$B$9,Paramètres!$A$1:$I$89,3,0)*0.475*44/12</f>
        <v>3.4255965998897029</v>
      </c>
      <c r="AB160" s="21">
        <f>EXP(-LN(2)/2)*AB159+(1-EXP(-LN(2)/2))/(LN(2)/2)*V160*Y160*VLOOKUP('Données projet'!$B$9,Paramètres!$A$1:$I$89,3,0)*0.475*44/12</f>
        <v>3.6495015371736151E-15</v>
      </c>
      <c r="AC160" s="22">
        <f t="shared" si="163"/>
        <v>15.894068514975288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5.1431925385259088E-14</v>
      </c>
      <c r="AK160" s="13">
        <f t="shared" si="164"/>
        <v>8.3482866290946129E-13</v>
      </c>
      <c r="AL160" s="20">
        <f t="shared" si="165"/>
        <v>1.5435705246133045E-12</v>
      </c>
      <c r="AM160" s="59">
        <f t="shared" si="113"/>
        <v>293.33333333333485</v>
      </c>
      <c r="AN160" s="59">
        <f ca="1">AVERAGE(OFFSET($AM$3,0,0,'Données projet'!$E$10+1,1))-AVERAGE(OFFSET($H$3,0,0,'Données projet'!$E$10+1,1))</f>
        <v>244.25841067424</v>
      </c>
      <c r="AO160" s="59">
        <f t="shared" si="144"/>
        <v>538.53312094474745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6.4803369169984117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6.4803369169984117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-0.99999999999988631</v>
      </c>
      <c r="O161" s="13">
        <f>N161*VLOOKUP('Données projet'!$B$9,Paramètres!$A$1:$I$89,3,0)*VLOOKUP('Données projet'!$B$9,Paramètres!$A$1:$I$89,5,0)</f>
        <v>-0.59799999999993203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201.32564399503951</v>
      </c>
      <c r="T161" s="59">
        <f t="shared" si="142"/>
        <v>347.89731545007157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12.223972785847689</v>
      </c>
      <c r="AA161" s="21">
        <f>EXP(-LN(2)/25)*AA160+(1-EXP(-LN(2)/25))/(LN(2)/25)*Calculateur!V161*Calculateur!X161*VLOOKUP('Données projet'!$B$9,Paramètres!$A$1:$I$89,3,0)*0.475*44/12</f>
        <v>3.3319234807214229</v>
      </c>
      <c r="AB161" s="21">
        <f>EXP(-LN(2)/2)*AB160+(1-EXP(-LN(2)/2))/(LN(2)/2)*V161*Y161*VLOOKUP('Données projet'!$B$9,Paramètres!$A$1:$I$89,3,0)*0.475*44/12</f>
        <v>2.5805872848861923E-15</v>
      </c>
      <c r="AC161" s="22">
        <f t="shared" si="163"/>
        <v>15.555896266569114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5.1431925385259088E-14</v>
      </c>
      <c r="AK161" s="13">
        <f t="shared" si="164"/>
        <v>8.3482866290946129E-13</v>
      </c>
      <c r="AL161" s="20">
        <f t="shared" si="165"/>
        <v>1.5435705246133045E-12</v>
      </c>
      <c r="AM161" s="59">
        <f t="shared" si="113"/>
        <v>293.33333333333485</v>
      </c>
      <c r="AN161" s="59">
        <f ca="1">AVERAGE(OFFSET($AM$3,0,0,'Données projet'!$E$10+1,1))-AVERAGE(OFFSET($H$3,0,0,'Données projet'!$E$10+1,1))</f>
        <v>244.25841067424</v>
      </c>
      <c r="AO161" s="59">
        <f t="shared" si="144"/>
        <v>538.53312094474745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6.3532614626713038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6.3532614626713038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-0.99999999999988631</v>
      </c>
      <c r="O162" s="13">
        <f>N162*VLOOKUP('Données projet'!$B$9,Paramètres!$A$1:$I$89,3,0)*VLOOKUP('Données projet'!$B$9,Paramètres!$A$1:$I$89,5,0)</f>
        <v>-0.59799999999993203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201.32564399503951</v>
      </c>
      <c r="T162" s="59">
        <f t="shared" si="142"/>
        <v>347.89731545007157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11.984268135404408</v>
      </c>
      <c r="AA162" s="21">
        <f>EXP(-LN(2)/25)*AA161+(1-EXP(-LN(2)/25))/(LN(2)/25)*Calculateur!V162*Calculateur!X162*VLOOKUP('Données projet'!$B$9,Paramètres!$A$1:$I$89,3,0)*0.475*44/12</f>
        <v>3.2408118579228549</v>
      </c>
      <c r="AB162" s="21">
        <f>EXP(-LN(2)/2)*AB161+(1-EXP(-LN(2)/2))/(LN(2)/2)*V162*Y162*VLOOKUP('Données projet'!$B$9,Paramètres!$A$1:$I$89,3,0)*0.475*44/12</f>
        <v>1.8247507685868075E-15</v>
      </c>
      <c r="AC162" s="22">
        <f t="shared" si="163"/>
        <v>15.225079993327265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5.1431925385259088E-14</v>
      </c>
      <c r="AK162" s="13">
        <f t="shared" si="164"/>
        <v>8.3482866290946129E-13</v>
      </c>
      <c r="AL162" s="20">
        <f t="shared" si="165"/>
        <v>1.5435705246133045E-12</v>
      </c>
      <c r="AM162" s="59">
        <f t="shared" si="113"/>
        <v>293.33333333333485</v>
      </c>
      <c r="AN162" s="59">
        <f ca="1">AVERAGE(OFFSET($AM$3,0,0,'Données projet'!$E$10+1,1))-AVERAGE(OFFSET($H$3,0,0,'Données projet'!$E$10+1,1))</f>
        <v>244.25841067424</v>
      </c>
      <c r="AO162" s="59">
        <f t="shared" si="144"/>
        <v>538.53312094474745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6.2286778804951766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6.2286778804951766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-0.99999999999988631</v>
      </c>
      <c r="O163" s="13">
        <f>N163*VLOOKUP('Données projet'!$B$9,Paramètres!$A$1:$I$89,3,0)*VLOOKUP('Données projet'!$B$9,Paramètres!$A$1:$I$89,5,0)</f>
        <v>-0.59799999999993203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201.32564399503951</v>
      </c>
      <c r="T163" s="59">
        <f t="shared" si="142"/>
        <v>347.89731545007157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11.749263946950919</v>
      </c>
      <c r="AA163" s="21">
        <f>EXP(-LN(2)/25)*AA162+(1-EXP(-LN(2)/25))/(LN(2)/25)*Calculateur!V163*Calculateur!X163*VLOOKUP('Données projet'!$B$9,Paramètres!$A$1:$I$89,3,0)*0.475*44/12</f>
        <v>3.1521916872410656</v>
      </c>
      <c r="AB163" s="21">
        <f>EXP(-LN(2)/2)*AB162+(1-EXP(-LN(2)/2))/(LN(2)/2)*V163*Y163*VLOOKUP('Données projet'!$B$9,Paramètres!$A$1:$I$89,3,0)*0.475*44/12</f>
        <v>1.2902936424430962E-15</v>
      </c>
      <c r="AC163" s="22">
        <f t="shared" si="163"/>
        <v>14.901455634191986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5.1431925385259088E-14</v>
      </c>
      <c r="AK163" s="13">
        <f t="shared" si="164"/>
        <v>8.3482866290946129E-13</v>
      </c>
      <c r="AL163" s="20">
        <f t="shared" si="165"/>
        <v>1.5435705246133045E-12</v>
      </c>
      <c r="AM163" s="59">
        <f t="shared" si="113"/>
        <v>293.33333333333485</v>
      </c>
      <c r="AN163" s="59">
        <f ca="1">AVERAGE(OFFSET($AM$3,0,0,'Données projet'!$E$10+1,1))-AVERAGE(OFFSET($H$3,0,0,'Données projet'!$E$10+1,1))</f>
        <v>244.25841067424</v>
      </c>
      <c r="AO163" s="59">
        <f t="shared" si="144"/>
        <v>538.53312094474745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6.1065373063770414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6.1065373063770414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-0.99999999999988631</v>
      </c>
      <c r="O164" s="13">
        <f>N164*VLOOKUP('Données projet'!$B$9,Paramètres!$A$1:$I$89,3,0)*VLOOKUP('Données projet'!$B$9,Paramètres!$A$1:$I$89,5,0)</f>
        <v>-0.59799999999993203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201.32564399503951</v>
      </c>
      <c r="T164" s="59">
        <f t="shared" si="142"/>
        <v>347.89731545007157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11.518868047294601</v>
      </c>
      <c r="AA164" s="21">
        <f>EXP(-LN(2)/25)*AA163+(1-EXP(-LN(2)/25))/(LN(2)/25)*Calculateur!V164*Calculateur!X164*VLOOKUP('Données projet'!$B$9,Paramètres!$A$1:$I$89,3,0)*0.475*44/12</f>
        <v>3.0659948397869021</v>
      </c>
      <c r="AB164" s="21">
        <f>EXP(-LN(2)/2)*AB163+(1-EXP(-LN(2)/2))/(LN(2)/2)*V164*Y164*VLOOKUP('Données projet'!$B$9,Paramètres!$A$1:$I$89,3,0)*0.475*44/12</f>
        <v>9.1237538429340377E-16</v>
      </c>
      <c r="AC164" s="22">
        <f t="shared" si="163"/>
        <v>14.584862887081504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5.1431925385259088E-14</v>
      </c>
      <c r="AK164" s="13">
        <f t="shared" si="164"/>
        <v>8.3482866290946129E-13</v>
      </c>
      <c r="AL164" s="20">
        <f t="shared" si="165"/>
        <v>1.5435705246133045E-12</v>
      </c>
      <c r="AM164" s="59">
        <f t="shared" si="113"/>
        <v>293.33333333333485</v>
      </c>
      <c r="AN164" s="59">
        <f ca="1">AVERAGE(OFFSET($AM$3,0,0,'Données projet'!$E$10+1,1))-AVERAGE(OFFSET($H$3,0,0,'Données projet'!$E$10+1,1))</f>
        <v>244.25841067424</v>
      </c>
      <c r="AO164" s="59">
        <f t="shared" si="144"/>
        <v>538.53312094474745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5.9867918344189688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5.9867918344189688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-0.99999999999988631</v>
      </c>
      <c r="O165" s="13">
        <f>N165*VLOOKUP('Données projet'!$B$9,Paramètres!$A$1:$I$89,3,0)*VLOOKUP('Données projet'!$B$9,Paramètres!$A$1:$I$89,5,0)</f>
        <v>-0.59799999999993203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201.32564399503951</v>
      </c>
      <c r="T165" s="59">
        <f t="shared" si="142"/>
        <v>347.89731545007157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11.292990070702922</v>
      </c>
      <c r="AA165" s="21">
        <f>EXP(-LN(2)/25)*AA164+(1-EXP(-LN(2)/25))/(LN(2)/25)*Calculateur!V165*Calculateur!X165*VLOOKUP('Données projet'!$B$9,Paramètres!$A$1:$I$89,3,0)*0.475*44/12</f>
        <v>2.9821550496592679</v>
      </c>
      <c r="AB165" s="21">
        <f>EXP(-LN(2)/2)*AB164+(1-EXP(-LN(2)/2))/(LN(2)/2)*V165*Y165*VLOOKUP('Données projet'!$B$9,Paramètres!$A$1:$I$89,3,0)*0.475*44/12</f>
        <v>6.4514682122154808E-16</v>
      </c>
      <c r="AC165" s="22">
        <f t="shared" si="163"/>
        <v>14.27514512036219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5.1431925385259088E-14</v>
      </c>
      <c r="AK165" s="13">
        <f t="shared" si="164"/>
        <v>8.3482866290946129E-13</v>
      </c>
      <c r="AL165" s="20">
        <f t="shared" si="165"/>
        <v>1.5435705246133045E-12</v>
      </c>
      <c r="AM165" s="59">
        <f t="shared" si="113"/>
        <v>293.33333333333485</v>
      </c>
      <c r="AN165" s="59">
        <f ca="1">AVERAGE(OFFSET($AM$3,0,0,'Données projet'!$E$10+1,1))-AVERAGE(OFFSET($H$3,0,0,'Données projet'!$E$10+1,1))</f>
        <v>244.25841067424</v>
      </c>
      <c r="AO165" s="59">
        <f t="shared" si="144"/>
        <v>538.53312094474745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5.869394498128468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5.869394498128468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-0.99999999999988631</v>
      </c>
      <c r="O166" s="13">
        <f>N166*VLOOKUP('Données projet'!$B$9,Paramètres!$A$1:$I$89,3,0)*VLOOKUP('Données projet'!$B$9,Paramètres!$A$1:$I$89,5,0)</f>
        <v>-0.59799999999993203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201.32564399503951</v>
      </c>
      <c r="T166" s="59">
        <f t="shared" si="142"/>
        <v>347.89731545007157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11.071541423460243</v>
      </c>
      <c r="AA166" s="21">
        <f>EXP(-LN(2)/25)*AA165+(1-EXP(-LN(2)/25))/(LN(2)/25)*Calculateur!V166*Calculateur!X166*VLOOKUP('Données projet'!$B$9,Paramètres!$A$1:$I$89,3,0)*0.475*44/12</f>
        <v>2.9006078630016168</v>
      </c>
      <c r="AB166" s="21">
        <f>EXP(-LN(2)/2)*AB165+(1-EXP(-LN(2)/2))/(LN(2)/2)*V166*Y166*VLOOKUP('Données projet'!$B$9,Paramètres!$A$1:$I$89,3,0)*0.475*44/12</f>
        <v>4.5618769214670188E-16</v>
      </c>
      <c r="AC166" s="22">
        <f t="shared" si="163"/>
        <v>13.97214928646186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5.1431925385259088E-14</v>
      </c>
      <c r="AK166" s="13">
        <f t="shared" si="164"/>
        <v>8.3482866290946129E-13</v>
      </c>
      <c r="AL166" s="20">
        <f t="shared" si="165"/>
        <v>1.5435705246133045E-12</v>
      </c>
      <c r="AM166" s="59">
        <f t="shared" si="113"/>
        <v>293.33333333333485</v>
      </c>
      <c r="AN166" s="59">
        <f ca="1">AVERAGE(OFFSET($AM$3,0,0,'Données projet'!$E$10+1,1))-AVERAGE(OFFSET($H$3,0,0,'Données projet'!$E$10+1,1))</f>
        <v>244.25841067424</v>
      </c>
      <c r="AO166" s="59">
        <f t="shared" si="144"/>
        <v>538.53312094474745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5.7542992519973195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5.7542992519973195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-0.99999999999988631</v>
      </c>
      <c r="O167" s="13">
        <f>N167*VLOOKUP('Données projet'!$B$9,Paramètres!$A$1:$I$89,3,0)*VLOOKUP('Données projet'!$B$9,Paramètres!$A$1:$I$89,5,0)</f>
        <v>-0.59799999999993203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201.32564399503951</v>
      </c>
      <c r="T167" s="59">
        <f t="shared" si="142"/>
        <v>347.89731545007157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10.854435249119655</v>
      </c>
      <c r="AA167" s="21">
        <f>EXP(-LN(2)/25)*AA166+(1-EXP(-LN(2)/25))/(LN(2)/25)*Calculateur!V167*Calculateur!X167*VLOOKUP('Données projet'!$B$9,Paramètres!$A$1:$I$89,3,0)*0.475*44/12</f>
        <v>2.8212905884514994</v>
      </c>
      <c r="AB167" s="21">
        <f>EXP(-LN(2)/2)*AB166+(1-EXP(-LN(2)/2))/(LN(2)/2)*V167*Y167*VLOOKUP('Données projet'!$B$9,Paramètres!$A$1:$I$89,3,0)*0.475*44/12</f>
        <v>3.2257341061077404E-16</v>
      </c>
      <c r="AC167" s="22">
        <f t="shared" si="163"/>
        <v>13.675725837571154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5.1431925385259088E-14</v>
      </c>
      <c r="AK167" s="13">
        <f t="shared" si="164"/>
        <v>8.3482866290946129E-13</v>
      </c>
      <c r="AL167" s="20">
        <f t="shared" si="165"/>
        <v>1.5435705246133045E-12</v>
      </c>
      <c r="AM167" s="59">
        <f t="shared" si="113"/>
        <v>293.33333333333485</v>
      </c>
      <c r="AN167" s="59">
        <f ca="1">AVERAGE(OFFSET($AM$3,0,0,'Données projet'!$E$10+1,1))-AVERAGE(OFFSET($H$3,0,0,'Données projet'!$E$10+1,1))</f>
        <v>244.25841067424</v>
      </c>
      <c r="AO167" s="59">
        <f t="shared" si="144"/>
        <v>538.53312094474745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5.6414609534416345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5.6414609534416345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-0.99999999999988631</v>
      </c>
      <c r="O168" s="13">
        <f>N168*VLOOKUP('Données projet'!$B$9,Paramètres!$A$1:$I$89,3,0)*VLOOKUP('Données projet'!$B$9,Paramètres!$A$1:$I$89,5,0)</f>
        <v>-0.59799999999993203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201.32564399503951</v>
      </c>
      <c r="T168" s="59">
        <f t="shared" si="142"/>
        <v>347.89731545007157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10.641586394436196</v>
      </c>
      <c r="AA168" s="21">
        <f>EXP(-LN(2)/25)*AA167+(1-EXP(-LN(2)/25))/(LN(2)/25)*Calculateur!V168*Calculateur!X168*VLOOKUP('Données projet'!$B$9,Paramètres!$A$1:$I$89,3,0)*0.475*44/12</f>
        <v>2.7441422489450691</v>
      </c>
      <c r="AB168" s="21">
        <f>EXP(-LN(2)/2)*AB167+(1-EXP(-LN(2)/2))/(LN(2)/2)*V168*Y168*VLOOKUP('Données projet'!$B$9,Paramètres!$A$1:$I$89,3,0)*0.475*44/12</f>
        <v>2.2809384607335094E-16</v>
      </c>
      <c r="AC168" s="22">
        <f t="shared" si="163"/>
        <v>13.385728643381265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5.1431925385259088E-14</v>
      </c>
      <c r="AK168" s="13">
        <f t="shared" si="164"/>
        <v>8.3482866290946129E-13</v>
      </c>
      <c r="AL168" s="20">
        <f t="shared" si="165"/>
        <v>1.5435705246133045E-12</v>
      </c>
      <c r="AM168" s="59">
        <f t="shared" si="113"/>
        <v>293.33333333333485</v>
      </c>
      <c r="AN168" s="59">
        <f ca="1">AVERAGE(OFFSET($AM$3,0,0,'Données projet'!$E$10+1,1))-AVERAGE(OFFSET($H$3,0,0,'Données projet'!$E$10+1,1))</f>
        <v>244.25841067424</v>
      </c>
      <c r="AO168" s="59">
        <f t="shared" si="144"/>
        <v>538.53312094474745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5.5308353450960599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5.5308353450960599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-0.99999999999988631</v>
      </c>
      <c r="O169" s="13">
        <f>N169*VLOOKUP('Données projet'!$B$9,Paramètres!$A$1:$I$89,3,0)*VLOOKUP('Données projet'!$B$9,Paramètres!$A$1:$I$89,5,0)</f>
        <v>-0.59799999999993203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201.32564399503951</v>
      </c>
      <c r="T169" s="59">
        <f t="shared" si="142"/>
        <v>347.89731545007157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10.432911375968096</v>
      </c>
      <c r="AA169" s="21">
        <f>EXP(-LN(2)/25)*AA168+(1-EXP(-LN(2)/25))/(LN(2)/25)*Calculateur!V169*Calculateur!X169*VLOOKUP('Données projet'!$B$9,Paramètres!$A$1:$I$89,3,0)*0.475*44/12</f>
        <v>2.6691035348394969</v>
      </c>
      <c r="AB169" s="21">
        <f>EXP(-LN(2)/2)*AB168+(1-EXP(-LN(2)/2))/(LN(2)/2)*V169*Y169*VLOOKUP('Données projet'!$B$9,Paramètres!$A$1:$I$89,3,0)*0.475*44/12</f>
        <v>1.6128670530538702E-16</v>
      </c>
      <c r="AC169" s="22">
        <f t="shared" si="163"/>
        <v>13.102014910807593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5.1431925385259088E-14</v>
      </c>
      <c r="AK169" s="13">
        <f t="shared" si="164"/>
        <v>8.3482866290946129E-13</v>
      </c>
      <c r="AL169" s="20">
        <f t="shared" si="165"/>
        <v>1.5435705246133045E-12</v>
      </c>
      <c r="AM169" s="59">
        <f t="shared" si="113"/>
        <v>293.33333333333485</v>
      </c>
      <c r="AN169" s="59">
        <f ca="1">AVERAGE(OFFSET($AM$3,0,0,'Données projet'!$E$10+1,1))-AVERAGE(OFFSET($H$3,0,0,'Données projet'!$E$10+1,1))</f>
        <v>244.25841067424</v>
      </c>
      <c r="AO169" s="59">
        <f t="shared" si="144"/>
        <v>538.53312094474745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5.4223790374551832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5.4223790374551832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-0.99999999999988631</v>
      </c>
      <c r="O170" s="13">
        <f>N170*VLOOKUP('Données projet'!$B$9,Paramètres!$A$1:$I$89,3,0)*VLOOKUP('Données projet'!$B$9,Paramètres!$A$1:$I$89,5,0)</f>
        <v>-0.59799999999993203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201.32564399503951</v>
      </c>
      <c r="T170" s="59">
        <f t="shared" si="142"/>
        <v>347.89731545007157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10.228328347332964</v>
      </c>
      <c r="AA170" s="21">
        <f>EXP(-LN(2)/25)*AA169+(1-EXP(-LN(2)/25))/(LN(2)/25)*Calculateur!V170*Calculateur!X170*VLOOKUP('Données projet'!$B$9,Paramètres!$A$1:$I$89,3,0)*0.475*44/12</f>
        <v>2.5961167583172564</v>
      </c>
      <c r="AB170" s="21">
        <f>EXP(-LN(2)/2)*AB169+(1-EXP(-LN(2)/2))/(LN(2)/2)*V170*Y170*VLOOKUP('Données projet'!$B$9,Paramètres!$A$1:$I$89,3,0)*0.475*44/12</f>
        <v>1.1404692303667547E-16</v>
      </c>
      <c r="AC170" s="22">
        <f t="shared" si="163"/>
        <v>12.82444510565022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5.1431925385259088E-14</v>
      </c>
      <c r="AK170" s="13">
        <f t="shared" si="164"/>
        <v>8.3482866290946129E-13</v>
      </c>
      <c r="AL170" s="20">
        <f t="shared" si="165"/>
        <v>1.5435705246133045E-12</v>
      </c>
      <c r="AM170" s="59">
        <f t="shared" si="113"/>
        <v>293.33333333333485</v>
      </c>
      <c r="AN170" s="59">
        <f ca="1">AVERAGE(OFFSET($AM$3,0,0,'Données projet'!$E$10+1,1))-AVERAGE(OFFSET($H$3,0,0,'Données projet'!$E$10+1,1))</f>
        <v>244.25841067424</v>
      </c>
      <c r="AO170" s="59">
        <f t="shared" si="144"/>
        <v>538.53312094474745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5.3160494918553285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5.3160494918553285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-0.99999999999988631</v>
      </c>
      <c r="O171" s="13">
        <f>N171*VLOOKUP('Données projet'!$B$9,Paramètres!$A$1:$I$89,3,0)*VLOOKUP('Données projet'!$B$9,Paramètres!$A$1:$I$89,5,0)</f>
        <v>-0.59799999999993203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201.32564399503951</v>
      </c>
      <c r="T171" s="59">
        <f t="shared" si="142"/>
        <v>347.89731545007157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10.027757067106039</v>
      </c>
      <c r="AA171" s="21">
        <f>EXP(-LN(2)/25)*AA170+(1-EXP(-LN(2)/25))/(LN(2)/25)*Calculateur!V171*Calculateur!X171*VLOOKUP('Données projet'!$B$9,Paramètres!$A$1:$I$89,3,0)*0.475*44/12</f>
        <v>2.5251258090372244</v>
      </c>
      <c r="AB171" s="21">
        <f>EXP(-LN(2)/2)*AB170+(1-EXP(-LN(2)/2))/(LN(2)/2)*V171*Y171*VLOOKUP('Données projet'!$B$9,Paramètres!$A$1:$I$89,3,0)*0.475*44/12</f>
        <v>8.064335265269351E-17</v>
      </c>
      <c r="AC171" s="22">
        <f t="shared" si="163"/>
        <v>12.552882876143263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5.1431925385259088E-14</v>
      </c>
      <c r="AK171" s="13">
        <f t="shared" si="164"/>
        <v>8.3482866290946129E-13</v>
      </c>
      <c r="AL171" s="20">
        <f t="shared" si="165"/>
        <v>1.5435705246133045E-12</v>
      </c>
      <c r="AM171" s="59">
        <f t="shared" si="113"/>
        <v>293.33333333333485</v>
      </c>
      <c r="AN171" s="59">
        <f ca="1">AVERAGE(OFFSET($AM$3,0,0,'Données projet'!$E$10+1,1))-AVERAGE(OFFSET($H$3,0,0,'Données projet'!$E$10+1,1))</f>
        <v>244.25841067424</v>
      </c>
      <c r="AO171" s="59">
        <f t="shared" si="144"/>
        <v>538.53312094474745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5.2118050037900678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5.2118050037900678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-0.99999999999988631</v>
      </c>
      <c r="O172" s="13">
        <f>N172*VLOOKUP('Données projet'!$B$9,Paramètres!$A$1:$I$89,3,0)*VLOOKUP('Données projet'!$B$9,Paramètres!$A$1:$I$89,5,0)</f>
        <v>-0.59799999999993203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201.32564399503951</v>
      </c>
      <c r="T172" s="59">
        <f t="shared" si="142"/>
        <v>347.89731545007157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9.8311188673479641</v>
      </c>
      <c r="AA172" s="21">
        <f>EXP(-LN(2)/25)*AA171+(1-EXP(-LN(2)/25))/(LN(2)/25)*Calculateur!V172*Calculateur!X172*VLOOKUP('Données projet'!$B$9,Paramètres!$A$1:$I$89,3,0)*0.475*44/12</f>
        <v>2.4560761109985063</v>
      </c>
      <c r="AB172" s="21">
        <f>EXP(-LN(2)/2)*AB171+(1-EXP(-LN(2)/2))/(LN(2)/2)*V172*Y172*VLOOKUP('Données projet'!$B$9,Paramètres!$A$1:$I$89,3,0)*0.475*44/12</f>
        <v>5.7023461518337735E-17</v>
      </c>
      <c r="AC172" s="22">
        <f t="shared" si="163"/>
        <v>12.28719497834647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5.1431925385259088E-14</v>
      </c>
      <c r="AK172" s="13">
        <f t="shared" si="164"/>
        <v>8.3482866290946129E-13</v>
      </c>
      <c r="AL172" s="20">
        <f t="shared" si="165"/>
        <v>1.5435705246133045E-12</v>
      </c>
      <c r="AM172" s="59">
        <f t="shared" si="113"/>
        <v>293.33333333333485</v>
      </c>
      <c r="AN172" s="59">
        <f ca="1">AVERAGE(OFFSET($AM$3,0,0,'Données projet'!$E$10+1,1))-AVERAGE(OFFSET($H$3,0,0,'Données projet'!$E$10+1,1))</f>
        <v>244.25841067424</v>
      </c>
      <c r="AO172" s="59">
        <f t="shared" si="144"/>
        <v>538.53312094474745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5.1096046865529079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5.1096046865529079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-0.99999999999988631</v>
      </c>
      <c r="O173" s="13">
        <f>N173*VLOOKUP('Données projet'!$B$9,Paramètres!$A$1:$I$89,3,0)*VLOOKUP('Données projet'!$B$9,Paramètres!$A$1:$I$89,5,0)</f>
        <v>-0.59799999999993203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201.32564399503951</v>
      </c>
      <c r="T173" s="59">
        <f t="shared" si="142"/>
        <v>347.89731545007157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9.6383366227496854</v>
      </c>
      <c r="AA173" s="21">
        <f>EXP(-LN(2)/25)*AA172+(1-EXP(-LN(2)/25))/(LN(2)/25)*Calculateur!V173*Calculateur!X173*VLOOKUP('Données projet'!$B$9,Paramètres!$A$1:$I$89,3,0)*0.475*44/12</f>
        <v>2.388914580583823</v>
      </c>
      <c r="AB173" s="21">
        <f>EXP(-LN(2)/2)*AB172+(1-EXP(-LN(2)/2))/(LN(2)/2)*V173*Y173*VLOOKUP('Données projet'!$B$9,Paramètres!$A$1:$I$89,3,0)*0.475*44/12</f>
        <v>4.0321676326346755E-17</v>
      </c>
      <c r="AC173" s="22">
        <f t="shared" si="163"/>
        <v>12.027251203333508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5.1431925385259088E-14</v>
      </c>
      <c r="AK173" s="13">
        <f t="shared" si="164"/>
        <v>8.3482866290946129E-13</v>
      </c>
      <c r="AL173" s="20">
        <f t="shared" si="165"/>
        <v>1.5435705246133045E-12</v>
      </c>
      <c r="AM173" s="59">
        <f t="shared" si="113"/>
        <v>293.33333333333485</v>
      </c>
      <c r="AN173" s="59">
        <f ca="1">AVERAGE(OFFSET($AM$3,0,0,'Données projet'!$E$10+1,1))-AVERAGE(OFFSET($H$3,0,0,'Données projet'!$E$10+1,1))</f>
        <v>244.25841067424</v>
      </c>
      <c r="AO173" s="59">
        <f t="shared" si="144"/>
        <v>538.53312094474745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5.0094084552007301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5.0094084552007301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-0.99999999999988631</v>
      </c>
      <c r="O174" s="13">
        <f>N174*VLOOKUP('Données projet'!$B$9,Paramètres!$A$1:$I$89,3,0)*VLOOKUP('Données projet'!$B$9,Paramètres!$A$1:$I$89,5,0)</f>
        <v>-0.59799999999993203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201.32564399503951</v>
      </c>
      <c r="T174" s="59">
        <f t="shared" si="142"/>
        <v>347.89731545007157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9.4493347203824207</v>
      </c>
      <c r="AA174" s="21">
        <f>EXP(-LN(2)/25)*AA173+(1-EXP(-LN(2)/25))/(LN(2)/25)*Calculateur!V174*Calculateur!X174*VLOOKUP('Données projet'!$B$9,Paramètres!$A$1:$I$89,3,0)*0.475*44/12</f>
        <v>2.3235895857502005</v>
      </c>
      <c r="AB174" s="21">
        <f>EXP(-LN(2)/2)*AB173+(1-EXP(-LN(2)/2))/(LN(2)/2)*V174*Y174*VLOOKUP('Données projet'!$B$9,Paramètres!$A$1:$I$89,3,0)*0.475*44/12</f>
        <v>2.8511730759168868E-17</v>
      </c>
      <c r="AC174" s="22">
        <f t="shared" si="163"/>
        <v>11.772924306132621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5.1431925385259088E-14</v>
      </c>
      <c r="AK174" s="13">
        <f t="shared" si="164"/>
        <v>8.3482866290946129E-13</v>
      </c>
      <c r="AL174" s="20">
        <f t="shared" si="165"/>
        <v>1.5435705246133045E-12</v>
      </c>
      <c r="AM174" s="59">
        <f t="shared" si="113"/>
        <v>293.33333333333485</v>
      </c>
      <c r="AN174" s="59">
        <f ca="1">AVERAGE(OFFSET($AM$3,0,0,'Données projet'!$E$10+1,1))-AVERAGE(OFFSET($H$3,0,0,'Données projet'!$E$10+1,1))</f>
        <v>244.25841067424</v>
      </c>
      <c r="AO174" s="59">
        <f t="shared" si="144"/>
        <v>538.53312094474745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4.9111770108317021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4.9111770108317021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-0.99999999999988631</v>
      </c>
      <c r="O175" s="13">
        <f>N175*VLOOKUP('Données projet'!$B$9,Paramètres!$A$1:$I$89,3,0)*VLOOKUP('Données projet'!$B$9,Paramètres!$A$1:$I$89,5,0)</f>
        <v>-0.59799999999993203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201.32564399503951</v>
      </c>
      <c r="T175" s="59">
        <f t="shared" si="142"/>
        <v>347.89731545007157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9.2640390300408004</v>
      </c>
      <c r="AA175" s="21">
        <f>EXP(-LN(2)/25)*AA174+(1-EXP(-LN(2)/25))/(LN(2)/25)*Calculateur!V175*Calculateur!X175*VLOOKUP('Données projet'!$B$9,Paramètres!$A$1:$I$89,3,0)*0.475*44/12</f>
        <v>2.2600509063355956</v>
      </c>
      <c r="AB175" s="21">
        <f>EXP(-LN(2)/2)*AB174+(1-EXP(-LN(2)/2))/(LN(2)/2)*V175*Y175*VLOOKUP('Données projet'!$B$9,Paramètres!$A$1:$I$89,3,0)*0.475*44/12</f>
        <v>2.0160838163173377E-17</v>
      </c>
      <c r="AC175" s="22">
        <f t="shared" si="163"/>
        <v>11.524089936376395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5.1431925385259088E-14</v>
      </c>
      <c r="AK175" s="13">
        <f t="shared" si="164"/>
        <v>8.3482866290946129E-13</v>
      </c>
      <c r="AL175" s="20">
        <f t="shared" si="165"/>
        <v>1.5435705246133045E-12</v>
      </c>
      <c r="AM175" s="59">
        <f t="shared" si="113"/>
        <v>293.33333333333485</v>
      </c>
      <c r="AN175" s="59">
        <f ca="1">AVERAGE(OFFSET($AM$3,0,0,'Données projet'!$E$10+1,1))-AVERAGE(OFFSET($H$3,0,0,'Données projet'!$E$10+1,1))</f>
        <v>244.25841067424</v>
      </c>
      <c r="AO175" s="59">
        <f t="shared" si="144"/>
        <v>538.53312094474745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4.8148718251714859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4.8148718251714859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-0.99999999999988631</v>
      </c>
      <c r="O176" s="13">
        <f>N176*VLOOKUP('Données projet'!$B$9,Paramètres!$A$1:$I$89,3,0)*VLOOKUP('Données projet'!$B$9,Paramètres!$A$1:$I$89,5,0)</f>
        <v>-0.59799999999993203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201.32564399503951</v>
      </c>
      <c r="T176" s="59">
        <f t="shared" si="142"/>
        <v>347.89731545007157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9.0823768751675669</v>
      </c>
      <c r="AA176" s="21">
        <f>EXP(-LN(2)/25)*AA175+(1-EXP(-LN(2)/25))/(LN(2)/25)*Calculateur!V176*Calculateur!X176*VLOOKUP('Données projet'!$B$9,Paramètres!$A$1:$I$89,3,0)*0.475*44/12</f>
        <v>2.198249695450937</v>
      </c>
      <c r="AB176" s="21">
        <f>EXP(-LN(2)/2)*AB175+(1-EXP(-LN(2)/2))/(LN(2)/2)*V176*Y176*VLOOKUP('Données projet'!$B$9,Paramètres!$A$1:$I$89,3,0)*0.475*44/12</f>
        <v>1.4255865379584434E-17</v>
      </c>
      <c r="AC176" s="22">
        <f t="shared" si="163"/>
        <v>11.280626570618503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5.1431925385259088E-14</v>
      </c>
      <c r="AK176" s="13">
        <f t="shared" si="164"/>
        <v>8.3482866290946129E-13</v>
      </c>
      <c r="AL176" s="20">
        <f t="shared" si="165"/>
        <v>1.5435705246133045E-12</v>
      </c>
      <c r="AM176" s="59">
        <f t="shared" si="113"/>
        <v>293.33333333333485</v>
      </c>
      <c r="AN176" s="59">
        <f ca="1">AVERAGE(OFFSET($AM$3,0,0,'Données projet'!$E$10+1,1))-AVERAGE(OFFSET($H$3,0,0,'Données projet'!$E$10+1,1))</f>
        <v>244.25841067424</v>
      </c>
      <c r="AO176" s="59">
        <f t="shared" si="144"/>
        <v>538.53312094474745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4.7204551254617035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4.7204551254617035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-0.99999999999988631</v>
      </c>
      <c r="O177" s="13">
        <f>N177*VLOOKUP('Données projet'!$B$9,Paramètres!$A$1:$I$89,3,0)*VLOOKUP('Données projet'!$B$9,Paramètres!$A$1:$I$89,5,0)</f>
        <v>-0.59799999999993203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201.32564399503951</v>
      </c>
      <c r="T177" s="59">
        <f t="shared" si="142"/>
        <v>347.89731545007157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8.9042770043484243</v>
      </c>
      <c r="AA177" s="21">
        <f>EXP(-LN(2)/25)*AA176+(1-EXP(-LN(2)/25))/(LN(2)/25)*Calculateur!V177*Calculateur!X177*VLOOKUP('Données projet'!$B$9,Paramètres!$A$1:$I$89,3,0)*0.475*44/12</f>
        <v>2.1381384419279037</v>
      </c>
      <c r="AB177" s="21">
        <f>EXP(-LN(2)/2)*AB176+(1-EXP(-LN(2)/2))/(LN(2)/2)*V177*Y177*VLOOKUP('Données projet'!$B$9,Paramètres!$A$1:$I$89,3,0)*0.475*44/12</f>
        <v>1.0080419081586689E-17</v>
      </c>
      <c r="AC177" s="22">
        <f t="shared" si="163"/>
        <v>11.042415446276328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5.1431925385259088E-14</v>
      </c>
      <c r="AK177" s="13">
        <f t="shared" si="164"/>
        <v>8.3482866290946129E-13</v>
      </c>
      <c r="AL177" s="20">
        <f t="shared" si="165"/>
        <v>1.5435705246133045E-12</v>
      </c>
      <c r="AM177" s="59">
        <f t="shared" si="113"/>
        <v>293.33333333333485</v>
      </c>
      <c r="AN177" s="59">
        <f ca="1">AVERAGE(OFFSET($AM$3,0,0,'Données projet'!$E$10+1,1))-AVERAGE(OFFSET($H$3,0,0,'Données projet'!$E$10+1,1))</f>
        <v>244.25841067424</v>
      </c>
      <c r="AO177" s="59">
        <f t="shared" si="144"/>
        <v>538.53312094474745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4.6278898796447292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4.6278898796447292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-0.99999999999988631</v>
      </c>
      <c r="O178" s="13">
        <f>N178*VLOOKUP('Données projet'!$B$9,Paramètres!$A$1:$I$89,3,0)*VLOOKUP('Données projet'!$B$9,Paramètres!$A$1:$I$89,5,0)</f>
        <v>-0.59799999999993203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201.32564399503951</v>
      </c>
      <c r="T178" s="59">
        <f t="shared" si="142"/>
        <v>347.89731545007157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8.7296695633658512</v>
      </c>
      <c r="AA178" s="21">
        <f>EXP(-LN(2)/25)*AA177+(1-EXP(-LN(2)/25))/(LN(2)/25)*Calculateur!V178*Calculateur!X178*VLOOKUP('Données projet'!$B$9,Paramètres!$A$1:$I$89,3,0)*0.475*44/12</f>
        <v>2.0796709337935715</v>
      </c>
      <c r="AB178" s="21">
        <f>EXP(-LN(2)/2)*AB177+(1-EXP(-LN(2)/2))/(LN(2)/2)*V178*Y178*VLOOKUP('Données projet'!$B$9,Paramètres!$A$1:$I$89,3,0)*0.475*44/12</f>
        <v>7.1279326897922169E-18</v>
      </c>
      <c r="AC178" s="22">
        <f t="shared" si="163"/>
        <v>10.809340497159422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5.1431925385259088E-14</v>
      </c>
      <c r="AK178" s="13">
        <f t="shared" si="164"/>
        <v>8.3482866290946129E-13</v>
      </c>
      <c r="AL178" s="20">
        <f t="shared" si="165"/>
        <v>1.5435705246133045E-12</v>
      </c>
      <c r="AM178" s="59">
        <f t="shared" si="113"/>
        <v>293.33333333333485</v>
      </c>
      <c r="AN178" s="59">
        <f ca="1">AVERAGE(OFFSET($AM$3,0,0,'Données projet'!$E$10+1,1))-AVERAGE(OFFSET($H$3,0,0,'Données projet'!$E$10+1,1))</f>
        <v>244.25841067424</v>
      </c>
      <c r="AO178" s="59">
        <f t="shared" si="144"/>
        <v>538.53312094474745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4.5371397818390005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4.5371397818390005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-0.99999999999988631</v>
      </c>
      <c r="O179" s="13">
        <f>N179*VLOOKUP('Données projet'!$B$9,Paramètres!$A$1:$I$89,3,0)*VLOOKUP('Données projet'!$B$9,Paramètres!$A$1:$I$89,5,0)</f>
        <v>-0.59799999999993203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201.32564399503951</v>
      </c>
      <c r="T179" s="59">
        <f t="shared" si="142"/>
        <v>347.89731545007157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8.5584860678009225</v>
      </c>
      <c r="AA179" s="21">
        <f>EXP(-LN(2)/25)*AA178+(1-EXP(-LN(2)/25))/(LN(2)/25)*Calculateur!V179*Calculateur!X179*VLOOKUP('Données projet'!$B$9,Paramètres!$A$1:$I$89,3,0)*0.475*44/12</f>
        <v>2.0228022227438451</v>
      </c>
      <c r="AB179" s="21">
        <f>EXP(-LN(2)/2)*AB178+(1-EXP(-LN(2)/2))/(LN(2)/2)*V179*Y179*VLOOKUP('Données projet'!$B$9,Paramètres!$A$1:$I$89,3,0)*0.475*44/12</f>
        <v>5.0402095407933443E-18</v>
      </c>
      <c r="AC179" s="22">
        <f t="shared" si="163"/>
        <v>10.581288290544768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5.1431925385259088E-14</v>
      </c>
      <c r="AK179" s="13">
        <f t="shared" si="164"/>
        <v>8.3482866290946129E-13</v>
      </c>
      <c r="AL179" s="20">
        <f t="shared" si="165"/>
        <v>1.5435705246133045E-12</v>
      </c>
      <c r="AM179" s="59">
        <f t="shared" si="113"/>
        <v>293.33333333333485</v>
      </c>
      <c r="AN179" s="59">
        <f ca="1">AVERAGE(OFFSET($AM$3,0,0,'Données projet'!$E$10+1,1))-AVERAGE(OFFSET($H$3,0,0,'Données projet'!$E$10+1,1))</f>
        <v>244.25841067424</v>
      </c>
      <c r="AO179" s="59">
        <f t="shared" si="144"/>
        <v>538.53312094474745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4.4481692380991484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4.4481692380991484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-0.99999999999988631</v>
      </c>
      <c r="O180" s="13">
        <f>N180*VLOOKUP('Données projet'!$B$9,Paramètres!$A$1:$I$89,3,0)*VLOOKUP('Données projet'!$B$9,Paramètres!$A$1:$I$89,5,0)</f>
        <v>-0.59799999999993203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201.32564399503951</v>
      </c>
      <c r="T180" s="59">
        <f t="shared" si="142"/>
        <v>347.89731545007157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8.3906593761723993</v>
      </c>
      <c r="AA180" s="21">
        <f>EXP(-LN(2)/25)*AA179+(1-EXP(-LN(2)/25))/(LN(2)/25)*Calculateur!V180*Calculateur!X180*VLOOKUP('Données projet'!$B$9,Paramètres!$A$1:$I$89,3,0)*0.475*44/12</f>
        <v>1.9674885895883689</v>
      </c>
      <c r="AB180" s="21">
        <f>EXP(-LN(2)/2)*AB179+(1-EXP(-LN(2)/2))/(LN(2)/2)*V180*Y180*VLOOKUP('Données projet'!$B$9,Paramètres!$A$1:$I$89,3,0)*0.475*44/12</f>
        <v>3.5639663448961085E-18</v>
      </c>
      <c r="AC180" s="22">
        <f t="shared" si="163"/>
        <v>10.358147965760768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5.1431925385259088E-14</v>
      </c>
      <c r="AK180" s="13">
        <f t="shared" si="164"/>
        <v>8.3482866290946129E-13</v>
      </c>
      <c r="AL180" s="20">
        <f t="shared" si="165"/>
        <v>1.5435705246133045E-12</v>
      </c>
      <c r="AM180" s="59">
        <f t="shared" si="113"/>
        <v>293.33333333333485</v>
      </c>
      <c r="AN180" s="59">
        <f ca="1">AVERAGE(OFFSET($AM$3,0,0,'Données projet'!$E$10+1,1))-AVERAGE(OFFSET($H$3,0,0,'Données projet'!$E$10+1,1))</f>
        <v>244.25841067424</v>
      </c>
      <c r="AO180" s="59">
        <f t="shared" si="144"/>
        <v>538.53312094474745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4.3609433524553616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4.3609433524553616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-0.99999999999988631</v>
      </c>
      <c r="O181" s="13">
        <f>N181*VLOOKUP('Données projet'!$B$9,Paramètres!$A$1:$I$89,3,0)*VLOOKUP('Données projet'!$B$9,Paramètres!$A$1:$I$89,5,0)</f>
        <v>-0.59799999999993203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201.32564399503951</v>
      </c>
      <c r="T181" s="59">
        <f t="shared" si="142"/>
        <v>347.89731545007157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8.2261236636025377</v>
      </c>
      <c r="AA181" s="21">
        <f>EXP(-LN(2)/25)*AA180+(1-EXP(-LN(2)/25))/(LN(2)/25)*Calculateur!V181*Calculateur!X181*VLOOKUP('Données projet'!$B$9,Paramètres!$A$1:$I$89,3,0)*0.475*44/12</f>
        <v>1.9136875106403468</v>
      </c>
      <c r="AB181" s="21">
        <f>EXP(-LN(2)/2)*AB180+(1-EXP(-LN(2)/2))/(LN(2)/2)*V181*Y181*VLOOKUP('Données projet'!$B$9,Paramètres!$A$1:$I$89,3,0)*0.475*44/12</f>
        <v>2.5201047703966722E-18</v>
      </c>
      <c r="AC181" s="22">
        <f t="shared" si="163"/>
        <v>10.139811174242885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5.1431925385259088E-14</v>
      </c>
      <c r="AK181" s="13">
        <f t="shared" si="164"/>
        <v>8.3482866290946129E-13</v>
      </c>
      <c r="AL181" s="20">
        <f t="shared" si="165"/>
        <v>1.5435705246133045E-12</v>
      </c>
      <c r="AM181" s="59">
        <f t="shared" si="113"/>
        <v>293.33333333333485</v>
      </c>
      <c r="AN181" s="59">
        <f ca="1">AVERAGE(OFFSET($AM$3,0,0,'Données projet'!$E$10+1,1))-AVERAGE(OFFSET($H$3,0,0,'Données projet'!$E$10+1,1))</f>
        <v>244.25841067424</v>
      </c>
      <c r="AO181" s="59">
        <f t="shared" si="144"/>
        <v>538.53312094474745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4.2754279132265127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4.2754279132265127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-0.99999999999988631</v>
      </c>
      <c r="O182" s="13">
        <f>N182*VLOOKUP('Données projet'!$B$9,Paramètres!$A$1:$I$89,3,0)*VLOOKUP('Données projet'!$B$9,Paramètres!$A$1:$I$89,5,0)</f>
        <v>-0.59799999999993203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201.32564399503951</v>
      </c>
      <c r="T182" s="59">
        <f t="shared" si="142"/>
        <v>347.89731545007157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8.0648143959992957</v>
      </c>
      <c r="AA182" s="21">
        <f>EXP(-LN(2)/25)*AA181+(1-EXP(-LN(2)/25))/(LN(2)/25)*Calculateur!V182*Calculateur!X182*VLOOKUP('Données projet'!$B$9,Paramètres!$A$1:$I$89,3,0)*0.475*44/12</f>
        <v>1.8613576250254342</v>
      </c>
      <c r="AB182" s="21">
        <f>EXP(-LN(2)/2)*AB181+(1-EXP(-LN(2)/2))/(LN(2)/2)*V182*Y182*VLOOKUP('Données projet'!$B$9,Paramètres!$A$1:$I$89,3,0)*0.475*44/12</f>
        <v>1.7819831724480542E-18</v>
      </c>
      <c r="AC182" s="22">
        <f t="shared" si="163"/>
        <v>9.9261720210247297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5.1431925385259088E-14</v>
      </c>
      <c r="AK182" s="13">
        <f t="shared" si="164"/>
        <v>8.3482866290946129E-13</v>
      </c>
      <c r="AL182" s="20">
        <f t="shared" si="165"/>
        <v>1.5435705246133045E-12</v>
      </c>
      <c r="AM182" s="59">
        <f t="shared" si="113"/>
        <v>293.33333333333485</v>
      </c>
      <c r="AN182" s="59">
        <f ca="1">AVERAGE(OFFSET($AM$3,0,0,'Données projet'!$E$10+1,1))-AVERAGE(OFFSET($H$3,0,0,'Données projet'!$E$10+1,1))</f>
        <v>244.25841067424</v>
      </c>
      <c r="AO182" s="59">
        <f t="shared" si="144"/>
        <v>538.53312094474745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4.1915893796016732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4.1915893796016732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-0.99999999999988631</v>
      </c>
      <c r="O183" s="13">
        <f>N183*VLOOKUP('Données projet'!$B$9,Paramètres!$A$1:$I$89,3,0)*VLOOKUP('Données projet'!$B$9,Paramètres!$A$1:$I$89,5,0)</f>
        <v>-0.59799999999993203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201.32564399503951</v>
      </c>
      <c r="T183" s="59">
        <f t="shared" si="142"/>
        <v>347.89731545007157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7.906668304744815</v>
      </c>
      <c r="AA183" s="21">
        <f>EXP(-LN(2)/25)*AA182+(1-EXP(-LN(2)/25))/(LN(2)/25)*Calculateur!V183*Calculateur!X183*VLOOKUP('Données projet'!$B$9,Paramètres!$A$1:$I$89,3,0)*0.475*44/12</f>
        <v>1.8104587028845704</v>
      </c>
      <c r="AB183" s="21">
        <f>EXP(-LN(2)/2)*AB182+(1-EXP(-LN(2)/2))/(LN(2)/2)*V183*Y183*VLOOKUP('Données projet'!$B$9,Paramètres!$A$1:$I$89,3,0)*0.475*44/12</f>
        <v>1.2600523851983361E-18</v>
      </c>
      <c r="AC183" s="22">
        <f t="shared" si="163"/>
        <v>9.7171270076293847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5.1431925385259088E-14</v>
      </c>
      <c r="AK183" s="13">
        <f t="shared" si="164"/>
        <v>8.3482866290946129E-13</v>
      </c>
      <c r="AL183" s="20">
        <f t="shared" si="165"/>
        <v>1.5435705246133045E-12</v>
      </c>
      <c r="AM183" s="59">
        <f t="shared" si="113"/>
        <v>293.33333333333485</v>
      </c>
      <c r="AN183" s="59">
        <f ca="1">AVERAGE(OFFSET($AM$3,0,0,'Données projet'!$E$10+1,1))-AVERAGE(OFFSET($H$3,0,0,'Données projet'!$E$10+1,1))</f>
        <v>244.25841067424</v>
      </c>
      <c r="AO183" s="59">
        <f t="shared" si="144"/>
        <v>538.53312094474745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4.1093948684847614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4.1093948684847614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-0.99999999999988631</v>
      </c>
      <c r="O184" s="13">
        <f>N184*VLOOKUP('Données projet'!$B$9,Paramètres!$A$1:$I$89,3,0)*VLOOKUP('Données projet'!$B$9,Paramètres!$A$1:$I$89,5,0)</f>
        <v>-0.59799999999993203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201.32564399503951</v>
      </c>
      <c r="T184" s="59">
        <f t="shared" si="142"/>
        <v>347.89731545007157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7.7516233618802435</v>
      </c>
      <c r="AA184" s="21">
        <f>EXP(-LN(2)/25)*AA183+(1-EXP(-LN(2)/25))/(LN(2)/25)*Calculateur!V184*Calculateur!X184*VLOOKUP('Données projet'!$B$9,Paramètres!$A$1:$I$89,3,0)*0.475*44/12</f>
        <v>1.7609516144463064</v>
      </c>
      <c r="AB184" s="21">
        <f>EXP(-LN(2)/2)*AB183+(1-EXP(-LN(2)/2))/(LN(2)/2)*V184*Y184*VLOOKUP('Données projet'!$B$9,Paramètres!$A$1:$I$89,3,0)*0.475*44/12</f>
        <v>8.9099158622402712E-19</v>
      </c>
      <c r="AC184" s="22">
        <f t="shared" si="163"/>
        <v>9.5125749763265492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5.1431925385259088E-14</v>
      </c>
      <c r="AK184" s="13">
        <f t="shared" si="164"/>
        <v>8.3482866290946129E-13</v>
      </c>
      <c r="AL184" s="20">
        <f t="shared" si="165"/>
        <v>1.5435705246133045E-12</v>
      </c>
      <c r="AM184" s="59">
        <f t="shared" si="113"/>
        <v>293.33333333333485</v>
      </c>
      <c r="AN184" s="59">
        <f ca="1">AVERAGE(OFFSET($AM$3,0,0,'Données projet'!$E$10+1,1))-AVERAGE(OFFSET($H$3,0,0,'Données projet'!$E$10+1,1))</f>
        <v>244.25841067424</v>
      </c>
      <c r="AO184" s="59">
        <f t="shared" si="144"/>
        <v>538.53312094474745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4.0288121415971503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4.0288121415971503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-0.99999999999988631</v>
      </c>
      <c r="O185" s="13">
        <f>N185*VLOOKUP('Données projet'!$B$9,Paramètres!$A$1:$I$89,3,0)*VLOOKUP('Données projet'!$B$9,Paramètres!$A$1:$I$89,5,0)</f>
        <v>-0.59799999999993203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201.32564399503951</v>
      </c>
      <c r="T185" s="59">
        <f t="shared" si="142"/>
        <v>347.89731545007157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7.5996187557771693</v>
      </c>
      <c r="AA185" s="21">
        <f>EXP(-LN(2)/25)*AA184+(1-EXP(-LN(2)/25))/(LN(2)/25)*Calculateur!V185*Calculateur!X185*VLOOKUP('Données projet'!$B$9,Paramètres!$A$1:$I$89,3,0)*0.475*44/12</f>
        <v>1.7127982999448514</v>
      </c>
      <c r="AB185" s="21">
        <f>EXP(-LN(2)/2)*AB184+(1-EXP(-LN(2)/2))/(LN(2)/2)*V185*Y185*VLOOKUP('Données projet'!$B$9,Paramètres!$A$1:$I$89,3,0)*0.475*44/12</f>
        <v>6.3002619259916804E-19</v>
      </c>
      <c r="AC185" s="22">
        <f t="shared" si="163"/>
        <v>9.3124170557220207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5.1431925385259088E-14</v>
      </c>
      <c r="AK185" s="13">
        <f t="shared" si="164"/>
        <v>8.3482866290946129E-13</v>
      </c>
      <c r="AL185" s="20">
        <f t="shared" si="165"/>
        <v>1.5435705246133045E-12</v>
      </c>
      <c r="AM185" s="59">
        <f t="shared" si="113"/>
        <v>293.33333333333485</v>
      </c>
      <c r="AN185" s="59">
        <f ca="1">AVERAGE(OFFSET($AM$3,0,0,'Données projet'!$E$10+1,1))-AVERAGE(OFFSET($H$3,0,0,'Données projet'!$E$10+1,1))</f>
        <v>244.25841067424</v>
      </c>
      <c r="AO185" s="59">
        <f t="shared" si="144"/>
        <v>538.53312094474745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3.9498095928331951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3.9498095928331951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-0.99999999999988631</v>
      </c>
      <c r="O186" s="13">
        <f>N186*VLOOKUP('Données projet'!$B$9,Paramètres!$A$1:$I$89,3,0)*VLOOKUP('Données projet'!$B$9,Paramètres!$A$1:$I$89,5,0)</f>
        <v>-0.59799999999993203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201.32564399503951</v>
      </c>
      <c r="T186" s="59">
        <f t="shared" si="142"/>
        <v>347.89731545007157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7.4505948672861209</v>
      </c>
      <c r="AA186" s="21">
        <f>EXP(-LN(2)/25)*AA185+(1-EXP(-LN(2)/25))/(LN(2)/25)*Calculateur!V186*Calculateur!X186*VLOOKUP('Données projet'!$B$9,Paramètres!$A$1:$I$89,3,0)*0.475*44/12</f>
        <v>1.6659617403607114</v>
      </c>
      <c r="AB186" s="21">
        <f>EXP(-LN(2)/2)*AB185+(1-EXP(-LN(2)/2))/(LN(2)/2)*V186*Y186*VLOOKUP('Données projet'!$B$9,Paramètres!$A$1:$I$89,3,0)*0.475*44/12</f>
        <v>4.4549579311201356E-19</v>
      </c>
      <c r="AC186" s="22">
        <f t="shared" si="163"/>
        <v>9.1165566076468316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5.1431925385259088E-14</v>
      </c>
      <c r="AK186" s="13">
        <f t="shared" si="164"/>
        <v>8.3482866290946129E-13</v>
      </c>
      <c r="AL186" s="20">
        <f t="shared" si="165"/>
        <v>1.5435705246133045E-12</v>
      </c>
      <c r="AM186" s="59">
        <f t="shared" si="113"/>
        <v>293.33333333333485</v>
      </c>
      <c r="AN186" s="59">
        <f ca="1">AVERAGE(OFFSET($AM$3,0,0,'Données projet'!$E$10+1,1))-AVERAGE(OFFSET($H$3,0,0,'Données projet'!$E$10+1,1))</f>
        <v>244.25841067424</v>
      </c>
      <c r="AO186" s="59">
        <f t="shared" si="144"/>
        <v>538.53312094474745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3.8723562358637045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3.8723562358637045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-0.99999999999988631</v>
      </c>
      <c r="O187" s="13">
        <f>N187*VLOOKUP('Données projet'!$B$9,Paramètres!$A$1:$I$89,3,0)*VLOOKUP('Données projet'!$B$9,Paramètres!$A$1:$I$89,5,0)</f>
        <v>-0.59799999999993203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201.32564399503951</v>
      </c>
      <c r="T187" s="59">
        <f t="shared" si="142"/>
        <v>347.89731545007157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7.3044932463527852</v>
      </c>
      <c r="AA187" s="21">
        <f>EXP(-LN(2)/25)*AA186+(1-EXP(-LN(2)/25))/(LN(2)/25)*Calculateur!V187*Calculateur!X187*VLOOKUP('Données projet'!$B$9,Paramètres!$A$1:$I$89,3,0)*0.475*44/12</f>
        <v>1.6204059289614274</v>
      </c>
      <c r="AB187" s="21">
        <f>EXP(-LN(2)/2)*AB186+(1-EXP(-LN(2)/2))/(LN(2)/2)*V187*Y187*VLOOKUP('Données projet'!$B$9,Paramètres!$A$1:$I$89,3,0)*0.475*44/12</f>
        <v>3.1501309629958402E-19</v>
      </c>
      <c r="AC187" s="22">
        <f t="shared" si="163"/>
        <v>8.9248991753142128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5.1431925385259088E-14</v>
      </c>
      <c r="AK187" s="13">
        <f t="shared" si="164"/>
        <v>8.3482866290946129E-13</v>
      </c>
      <c r="AL187" s="20">
        <f t="shared" si="165"/>
        <v>1.5435705246133045E-12</v>
      </c>
      <c r="AM187" s="59">
        <f t="shared" si="113"/>
        <v>293.33333333333485</v>
      </c>
      <c r="AN187" s="59">
        <f ca="1">AVERAGE(OFFSET($AM$3,0,0,'Données projet'!$E$10+1,1))-AVERAGE(OFFSET($H$3,0,0,'Données projet'!$E$10+1,1))</f>
        <v>244.25841067424</v>
      </c>
      <c r="AO187" s="59">
        <f t="shared" si="144"/>
        <v>538.53312094474745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3.7964216919825025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3.7964216919825025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-0.99999999999988631</v>
      </c>
      <c r="O188" s="13">
        <f>N188*VLOOKUP('Données projet'!$B$9,Paramètres!$A$1:$I$89,3,0)*VLOOKUP('Données projet'!$B$9,Paramètres!$A$1:$I$89,5,0)</f>
        <v>-0.59799999999993203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201.32564399503951</v>
      </c>
      <c r="T188" s="59">
        <f t="shared" si="142"/>
        <v>347.89731545007157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7.1612565890927629</v>
      </c>
      <c r="AA188" s="21">
        <f>EXP(-LN(2)/25)*AA187+(1-EXP(-LN(2)/25))/(LN(2)/25)*Calculateur!V188*Calculateur!X188*VLOOKUP('Données projet'!$B$9,Paramètres!$A$1:$I$89,3,0)*0.475*44/12</f>
        <v>1.5760958436205328</v>
      </c>
      <c r="AB188" s="21">
        <f>EXP(-LN(2)/2)*AB187+(1-EXP(-LN(2)/2))/(LN(2)/2)*V188*Y188*VLOOKUP('Données projet'!$B$9,Paramètres!$A$1:$I$89,3,0)*0.475*44/12</f>
        <v>2.2274789655600678E-19</v>
      </c>
      <c r="AC188" s="22">
        <f t="shared" si="163"/>
        <v>8.7373524327132959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5.1431925385259088E-14</v>
      </c>
      <c r="AK188" s="13">
        <f t="shared" si="164"/>
        <v>8.3482866290946129E-13</v>
      </c>
      <c r="AL188" s="20">
        <f t="shared" si="165"/>
        <v>1.5435705246133045E-12</v>
      </c>
      <c r="AM188" s="59">
        <f t="shared" si="113"/>
        <v>293.33333333333485</v>
      </c>
      <c r="AN188" s="59">
        <f ca="1">AVERAGE(OFFSET($AM$3,0,0,'Données projet'!$E$10+1,1))-AVERAGE(OFFSET($H$3,0,0,'Données projet'!$E$10+1,1))</f>
        <v>244.25841067424</v>
      </c>
      <c r="AO188" s="59">
        <f t="shared" si="144"/>
        <v>538.53312094474745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3.7219761781913121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3.7219761781913121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-0.99999999999988631</v>
      </c>
      <c r="O189" s="13">
        <f>N189*VLOOKUP('Données projet'!$B$9,Paramètres!$A$1:$I$89,3,0)*VLOOKUP('Données projet'!$B$9,Paramètres!$A$1:$I$89,5,0)</f>
        <v>-0.59799999999993203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201.32564399503951</v>
      </c>
      <c r="T189" s="59">
        <f t="shared" si="142"/>
        <v>347.89731545007157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7.0208287153158757</v>
      </c>
      <c r="AA189" s="21">
        <f>EXP(-LN(2)/25)*AA188+(1-EXP(-LN(2)/25))/(LN(2)/25)*Calculateur!V189*Calculateur!X189*VLOOKUP('Données projet'!$B$9,Paramètres!$A$1:$I$89,3,0)*0.475*44/12</f>
        <v>1.5329974198934511</v>
      </c>
      <c r="AB189" s="21">
        <f>EXP(-LN(2)/2)*AB188+(1-EXP(-LN(2)/2))/(LN(2)/2)*V189*Y189*VLOOKUP('Données projet'!$B$9,Paramètres!$A$1:$I$89,3,0)*0.475*44/12</f>
        <v>1.5750654814979201E-19</v>
      </c>
      <c r="AC189" s="22">
        <f t="shared" si="163"/>
        <v>8.5538261352093272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5.1431925385259088E-14</v>
      </c>
      <c r="AK189" s="13">
        <f t="shared" si="164"/>
        <v>8.3482866290946129E-13</v>
      </c>
      <c r="AL189" s="20">
        <f t="shared" si="165"/>
        <v>1.5435705246133045E-12</v>
      </c>
      <c r="AM189" s="59">
        <f t="shared" si="113"/>
        <v>293.33333333333485</v>
      </c>
      <c r="AN189" s="59">
        <f ca="1">AVERAGE(OFFSET($AM$3,0,0,'Données projet'!$E$10+1,1))-AVERAGE(OFFSET($H$3,0,0,'Données projet'!$E$10+1,1))</f>
        <v>244.25841067424</v>
      </c>
      <c r="AO189" s="59">
        <f t="shared" si="144"/>
        <v>538.53312094474745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3.6489904955182872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3.6489904955182872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-0.99999999999988631</v>
      </c>
      <c r="O190" s="13">
        <f>N190*VLOOKUP('Données projet'!$B$9,Paramètres!$A$1:$I$89,3,0)*VLOOKUP('Données projet'!$B$9,Paramètres!$A$1:$I$89,5,0)</f>
        <v>-0.59799999999993203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201.32564399503951</v>
      </c>
      <c r="T190" s="59">
        <f t="shared" si="142"/>
        <v>347.89731545007157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6.8831545464912072</v>
      </c>
      <c r="AA190" s="21">
        <f>EXP(-LN(2)/25)*AA189+(1-EXP(-LN(2)/25))/(LN(2)/25)*Calculateur!V190*Calculateur!X190*VLOOKUP('Données projet'!$B$9,Paramètres!$A$1:$I$89,3,0)*0.475*44/12</f>
        <v>1.491077524829634</v>
      </c>
      <c r="AB190" s="21">
        <f>EXP(-LN(2)/2)*AB189+(1-EXP(-LN(2)/2))/(LN(2)/2)*V190*Y190*VLOOKUP('Données projet'!$B$9,Paramètres!$A$1:$I$89,3,0)*0.475*44/12</f>
        <v>1.1137394827800339E-19</v>
      </c>
      <c r="AC190" s="22">
        <f t="shared" si="163"/>
        <v>8.3742320713208418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5.1431925385259088E-14</v>
      </c>
      <c r="AK190" s="13">
        <f t="shared" si="164"/>
        <v>8.3482866290946129E-13</v>
      </c>
      <c r="AL190" s="20">
        <f t="shared" si="165"/>
        <v>1.5435705246133045E-12</v>
      </c>
      <c r="AM190" s="59">
        <f t="shared" si="113"/>
        <v>293.33333333333485</v>
      </c>
      <c r="AN190" s="59">
        <f ca="1">AVERAGE(OFFSET($AM$3,0,0,'Données projet'!$E$10+1,1))-AVERAGE(OFFSET($H$3,0,0,'Données projet'!$E$10+1,1))</f>
        <v>244.25841067424</v>
      </c>
      <c r="AO190" s="59">
        <f t="shared" si="144"/>
        <v>538.53312094474745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3.5774360175656099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3.5774360175656099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-0.99999999999988631</v>
      </c>
      <c r="O191" s="13">
        <f>N191*VLOOKUP('Données projet'!$B$9,Paramètres!$A$1:$I$89,3,0)*VLOOKUP('Données projet'!$B$9,Paramètres!$A$1:$I$89,5,0)</f>
        <v>-0.59799999999993203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201.32564399503951</v>
      </c>
      <c r="T191" s="59">
        <f t="shared" si="142"/>
        <v>347.89731545007157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6.7481800841442396</v>
      </c>
      <c r="AA191" s="21">
        <f>EXP(-LN(2)/25)*AA190+(1-EXP(-LN(2)/25))/(LN(2)/25)*Calculateur!V191*Calculateur!X191*VLOOKUP('Données projet'!$B$9,Paramètres!$A$1:$I$89,3,0)*0.475*44/12</f>
        <v>1.4503039315008084</v>
      </c>
      <c r="AB191" s="21">
        <f>EXP(-LN(2)/2)*AB190+(1-EXP(-LN(2)/2))/(LN(2)/2)*V191*Y191*VLOOKUP('Données projet'!$B$9,Paramètres!$A$1:$I$89,3,0)*0.475*44/12</f>
        <v>7.8753274074896005E-20</v>
      </c>
      <c r="AC191" s="22">
        <f t="shared" si="163"/>
        <v>8.1984840156450485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5.1431925385259088E-14</v>
      </c>
      <c r="AK191" s="13">
        <f t="shared" si="164"/>
        <v>8.3482866290946129E-13</v>
      </c>
      <c r="AL191" s="20">
        <f t="shared" si="165"/>
        <v>1.5435705246133045E-12</v>
      </c>
      <c r="AM191" s="59">
        <f t="shared" si="113"/>
        <v>293.33333333333485</v>
      </c>
      <c r="AN191" s="59">
        <f ca="1">AVERAGE(OFFSET($AM$3,0,0,'Données projet'!$E$10+1,1))-AVERAGE(OFFSET($H$3,0,0,'Données projet'!$E$10+1,1))</f>
        <v>244.25841067424</v>
      </c>
      <c r="AO191" s="59">
        <f t="shared" si="144"/>
        <v>538.53312094474745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3.5072846792816623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3.5072846792816623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-0.99999999999988631</v>
      </c>
      <c r="O192" s="13">
        <f>N192*VLOOKUP('Données projet'!$B$9,Paramètres!$A$1:$I$89,3,0)*VLOOKUP('Données projet'!$B$9,Paramètres!$A$1:$I$89,5,0)</f>
        <v>-0.59799999999993203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201.32564399503951</v>
      </c>
      <c r="T192" s="59">
        <f t="shared" si="142"/>
        <v>347.89731545007157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6.6158523886776024</v>
      </c>
      <c r="AA192" s="21">
        <f>EXP(-LN(2)/25)*AA191+(1-EXP(-LN(2)/25))/(LN(2)/25)*Calculateur!V192*Calculateur!X192*VLOOKUP('Données projet'!$B$9,Paramètres!$A$1:$I$89,3,0)*0.475*44/12</f>
        <v>1.4106452942257497</v>
      </c>
      <c r="AB192" s="21">
        <f>EXP(-LN(2)/2)*AB191+(1-EXP(-LN(2)/2))/(LN(2)/2)*V192*Y192*VLOOKUP('Données projet'!$B$9,Paramètres!$A$1:$I$89,3,0)*0.475*44/12</f>
        <v>5.5686974139001695E-20</v>
      </c>
      <c r="AC192" s="22">
        <f t="shared" si="163"/>
        <v>8.0264976829033525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5.1431925385259088E-14</v>
      </c>
      <c r="AK192" s="13">
        <f t="shared" si="164"/>
        <v>8.3482866290946129E-13</v>
      </c>
      <c r="AL192" s="20">
        <f t="shared" si="165"/>
        <v>1.5435705246133045E-12</v>
      </c>
      <c r="AM192" s="59">
        <f t="shared" si="113"/>
        <v>293.33333333333485</v>
      </c>
      <c r="AN192" s="59">
        <f ca="1">AVERAGE(OFFSET($AM$3,0,0,'Données projet'!$E$10+1,1))-AVERAGE(OFFSET($H$3,0,0,'Données projet'!$E$10+1,1))</f>
        <v>244.25841067424</v>
      </c>
      <c r="AO192" s="59">
        <f t="shared" si="144"/>
        <v>538.53312094474745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3.4385089659533716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3.4385089659533716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-0.99999999999988631</v>
      </c>
      <c r="O193" s="13">
        <f>N193*VLOOKUP('Données projet'!$B$9,Paramètres!$A$1:$I$89,3,0)*VLOOKUP('Données projet'!$B$9,Paramètres!$A$1:$I$89,5,0)</f>
        <v>-0.59799999999993203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201.32564399503951</v>
      </c>
      <c r="T193" s="59">
        <f t="shared" si="142"/>
        <v>347.89731545007157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6.4861195586071414</v>
      </c>
      <c r="AA193" s="21">
        <f>EXP(-LN(2)/25)*AA192+(1-EXP(-LN(2)/25))/(LN(2)/25)*Calculateur!V193*Calculateur!X193*VLOOKUP('Données projet'!$B$9,Paramètres!$A$1:$I$89,3,0)*0.475*44/12</f>
        <v>1.3720711244725345</v>
      </c>
      <c r="AB193" s="21">
        <f>EXP(-LN(2)/2)*AB192+(1-EXP(-LN(2)/2))/(LN(2)/2)*V193*Y193*VLOOKUP('Données projet'!$B$9,Paramètres!$A$1:$I$89,3,0)*0.475*44/12</f>
        <v>3.9376637037448003E-20</v>
      </c>
      <c r="AC193" s="22">
        <f t="shared" si="163"/>
        <v>7.8581906830796759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5.1431925385259088E-14</v>
      </c>
      <c r="AK193" s="13">
        <f t="shared" si="164"/>
        <v>8.3482866290946129E-13</v>
      </c>
      <c r="AL193" s="20">
        <f t="shared" si="165"/>
        <v>1.5435705246133045E-12</v>
      </c>
      <c r="AM193" s="59">
        <f t="shared" si="113"/>
        <v>293.33333333333485</v>
      </c>
      <c r="AN193" s="59">
        <f ca="1">AVERAGE(OFFSET($AM$3,0,0,'Données projet'!$E$10+1,1))-AVERAGE(OFFSET($H$3,0,0,'Données projet'!$E$10+1,1))</f>
        <v>244.25841067424</v>
      </c>
      <c r="AO193" s="59">
        <f t="shared" si="144"/>
        <v>538.53312094474745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3.3710819024144056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3.3710819024144056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-0.99999999999988631</v>
      </c>
      <c r="O194" s="13">
        <f>N194*VLOOKUP('Données projet'!$B$9,Paramètres!$A$1:$I$89,3,0)*VLOOKUP('Données projet'!$B$9,Paramètres!$A$1:$I$89,5,0)</f>
        <v>-0.59799999999993203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201.32564399503951</v>
      </c>
      <c r="T194" s="59">
        <f t="shared" si="142"/>
        <v>347.89731545007157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6.3589307102051498</v>
      </c>
      <c r="AA194" s="21">
        <f>EXP(-LN(2)/25)*AA193+(1-EXP(-LN(2)/25))/(LN(2)/25)*Calculateur!V194*Calculateur!X194*VLOOKUP('Données projet'!$B$9,Paramètres!$A$1:$I$89,3,0)*0.475*44/12</f>
        <v>1.3345517674197485</v>
      </c>
      <c r="AB194" s="21">
        <f>EXP(-LN(2)/2)*AB193+(1-EXP(-LN(2)/2))/(LN(2)/2)*V194*Y194*VLOOKUP('Données projet'!$B$9,Paramètres!$A$1:$I$89,3,0)*0.475*44/12</f>
        <v>2.7843487069500847E-20</v>
      </c>
      <c r="AC194" s="22">
        <f t="shared" si="163"/>
        <v>7.6934824776248982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5.1431925385259088E-14</v>
      </c>
      <c r="AK194" s="13">
        <f t="shared" si="164"/>
        <v>8.3482866290946129E-13</v>
      </c>
      <c r="AL194" s="20">
        <f t="shared" si="165"/>
        <v>1.5435705246133045E-12</v>
      </c>
      <c r="AM194" s="59">
        <f t="shared" si="113"/>
        <v>293.33333333333485</v>
      </c>
      <c r="AN194" s="59">
        <f ca="1">AVERAGE(OFFSET($AM$3,0,0,'Données projet'!$E$10+1,1))-AVERAGE(OFFSET($H$3,0,0,'Données projet'!$E$10+1,1))</f>
        <v>244.25841067424</v>
      </c>
      <c r="AO194" s="59">
        <f t="shared" si="144"/>
        <v>538.53312094474745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3.3049770424649911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3.3049770424649911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-0.99999999999988631</v>
      </c>
      <c r="O195" s="13">
        <f>N195*VLOOKUP('Données projet'!$B$9,Paramètres!$A$1:$I$89,3,0)*VLOOKUP('Données projet'!$B$9,Paramètres!$A$1:$I$89,5,0)</f>
        <v>-0.59799999999993203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201.32564399503951</v>
      </c>
      <c r="T195" s="59">
        <f t="shared" si="142"/>
        <v>347.89731545007157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6.2342359575427837</v>
      </c>
      <c r="AA195" s="21">
        <f>EXP(-LN(2)/25)*AA194+(1-EXP(-LN(2)/25))/(LN(2)/25)*Calculateur!V195*Calculateur!X195*VLOOKUP('Données projet'!$B$9,Paramètres!$A$1:$I$89,3,0)*0.475*44/12</f>
        <v>1.2980583791586282</v>
      </c>
      <c r="AB195" s="21">
        <f>EXP(-LN(2)/2)*AB194+(1-EXP(-LN(2)/2))/(LN(2)/2)*V195*Y195*VLOOKUP('Données projet'!$B$9,Paramètres!$A$1:$I$89,3,0)*0.475*44/12</f>
        <v>1.9688318518724001E-20</v>
      </c>
      <c r="AC195" s="22">
        <f t="shared" si="163"/>
        <v>7.5322943367014119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5.1431925385259088E-14</v>
      </c>
      <c r="AK195" s="13">
        <f t="shared" si="164"/>
        <v>8.3482866290946129E-13</v>
      </c>
      <c r="AL195" s="20">
        <f t="shared" si="165"/>
        <v>1.5435705246133045E-12</v>
      </c>
      <c r="AM195" s="59">
        <f t="shared" si="113"/>
        <v>293.33333333333485</v>
      </c>
      <c r="AN195" s="59">
        <f ca="1">AVERAGE(OFFSET($AM$3,0,0,'Données projet'!$E$10+1,1))-AVERAGE(OFFSET($H$3,0,0,'Données projet'!$E$10+1,1))</f>
        <v>244.25841067424</v>
      </c>
      <c r="AO195" s="59">
        <f t="shared" si="144"/>
        <v>538.53312094474745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3.240168458499201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3.240168458499201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-0.99999999999988631</v>
      </c>
      <c r="O196" s="13">
        <f>N196*VLOOKUP('Données projet'!$B$9,Paramètres!$A$1:$I$89,3,0)*VLOOKUP('Données projet'!$B$9,Paramètres!$A$1:$I$89,5,0)</f>
        <v>-0.59799999999993203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201.32564399503951</v>
      </c>
      <c r="T196" s="59">
        <f t="shared" si="142"/>
        <v>347.89731545007157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6.1119863929238374</v>
      </c>
      <c r="AA196" s="21">
        <f>EXP(-LN(2)/25)*AA195+(1-EXP(-LN(2)/25))/(LN(2)/25)*Calculateur!V196*Calculateur!X196*VLOOKUP('Données projet'!$B$9,Paramètres!$A$1:$I$89,3,0)*0.475*44/12</f>
        <v>1.2625629045186122</v>
      </c>
      <c r="AB196" s="21">
        <f>EXP(-LN(2)/2)*AB195+(1-EXP(-LN(2)/2))/(LN(2)/2)*V196*Y196*VLOOKUP('Données projet'!$B$9,Paramètres!$A$1:$I$89,3,0)*0.475*44/12</f>
        <v>1.3921743534750424E-20</v>
      </c>
      <c r="AC196" s="22">
        <f t="shared" si="163"/>
        <v>7.3745492974424494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5.1431925385259088E-14</v>
      </c>
      <c r="AK196" s="13">
        <f t="shared" si="164"/>
        <v>8.3482866290946129E-13</v>
      </c>
      <c r="AL196" s="20">
        <f t="shared" si="165"/>
        <v>1.5435705246133045E-12</v>
      </c>
      <c r="AM196" s="59">
        <f t="shared" ref="AM196:AM203" si="193">AL196+(AD196+AE196)*44/12</f>
        <v>293.33333333333485</v>
      </c>
      <c r="AN196" s="59">
        <f ca="1">AVERAGE(OFFSET($AM$3,0,0,'Données projet'!$E$10+1,1))-AVERAGE(OFFSET($H$3,0,0,'Données projet'!$E$10+1,1))</f>
        <v>244.25841067424</v>
      </c>
      <c r="AO196" s="59">
        <f t="shared" si="144"/>
        <v>538.53312094474745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3.176630731335647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3.176630731335647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-0.99999999999988631</v>
      </c>
      <c r="O197" s="13">
        <f>N197*VLOOKUP('Données projet'!$B$9,Paramètres!$A$1:$I$89,3,0)*VLOOKUP('Données projet'!$B$9,Paramètres!$A$1:$I$89,5,0)</f>
        <v>-0.59799999999993203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201.32564399503951</v>
      </c>
      <c r="T197" s="59">
        <f t="shared" ref="T197:T203" si="204">$T$3</f>
        <v>347.89731545007157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5.9921340677021968</v>
      </c>
      <c r="AA197" s="21">
        <f>EXP(-LN(2)/25)*AA196+(1-EXP(-LN(2)/25))/(LN(2)/25)*Calculateur!V197*Calculateur!X197*VLOOKUP('Données projet'!$B$9,Paramètres!$A$1:$I$89,3,0)*0.475*44/12</f>
        <v>1.2280380554992532</v>
      </c>
      <c r="AB197" s="21">
        <f>EXP(-LN(2)/2)*AB196+(1-EXP(-LN(2)/2))/(LN(2)/2)*V197*Y197*VLOOKUP('Données projet'!$B$9,Paramètres!$A$1:$I$89,3,0)*0.475*44/12</f>
        <v>9.8441592593620007E-21</v>
      </c>
      <c r="AC197" s="22">
        <f t="shared" si="163"/>
        <v>7.2201721232014497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5.1431925385259088E-14</v>
      </c>
      <c r="AK197" s="13">
        <f t="shared" si="164"/>
        <v>8.3482866290946129E-13</v>
      </c>
      <c r="AL197" s="20">
        <f t="shared" si="165"/>
        <v>1.5435705246133045E-12</v>
      </c>
      <c r="AM197" s="59">
        <f t="shared" si="193"/>
        <v>293.33333333333485</v>
      </c>
      <c r="AN197" s="59">
        <f ca="1">AVERAGE(OFFSET($AM$3,0,0,'Données projet'!$E$10+1,1))-AVERAGE(OFFSET($H$3,0,0,'Données projet'!$E$10+1,1))</f>
        <v>244.25841067424</v>
      </c>
      <c r="AO197" s="59">
        <f t="shared" ref="AO197:AO203" si="205">$AO$3</f>
        <v>538.53312094474745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3.1143389402475834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3.1143389402475834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-0.99999999999988631</v>
      </c>
      <c r="O198" s="13">
        <f>N198*VLOOKUP('Données projet'!$B$9,Paramètres!$A$1:$I$89,3,0)*VLOOKUP('Données projet'!$B$9,Paramètres!$A$1:$I$89,5,0)</f>
        <v>-0.59799999999993203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201.32564399503951</v>
      </c>
      <c r="T198" s="59">
        <f t="shared" si="204"/>
        <v>347.89731545007157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5.8746319734754522</v>
      </c>
      <c r="AA198" s="21">
        <f>EXP(-LN(2)/25)*AA197+(1-EXP(-LN(2)/25))/(LN(2)/25)*Calculateur!V198*Calculateur!X198*VLOOKUP('Données projet'!$B$9,Paramètres!$A$1:$I$89,3,0)*0.475*44/12</f>
        <v>1.1944572902919115</v>
      </c>
      <c r="AB198" s="21">
        <f>EXP(-LN(2)/2)*AB197+(1-EXP(-LN(2)/2))/(LN(2)/2)*V198*Y198*VLOOKUP('Données projet'!$B$9,Paramètres!$A$1:$I$89,3,0)*0.475*44/12</f>
        <v>6.9608717673752119E-21</v>
      </c>
      <c r="AC198" s="22">
        <f t="shared" si="163"/>
        <v>7.0690892637673635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5.1431925385259088E-14</v>
      </c>
      <c r="AK198" s="13">
        <f t="shared" si="164"/>
        <v>8.3482866290946129E-13</v>
      </c>
      <c r="AL198" s="20">
        <f t="shared" si="165"/>
        <v>1.5435705246133045E-12</v>
      </c>
      <c r="AM198" s="59">
        <f t="shared" si="193"/>
        <v>293.33333333333485</v>
      </c>
      <c r="AN198" s="59">
        <f ca="1">AVERAGE(OFFSET($AM$3,0,0,'Données projet'!$E$10+1,1))-AVERAGE(OFFSET($H$3,0,0,'Données projet'!$E$10+1,1))</f>
        <v>244.25841067424</v>
      </c>
      <c r="AO198" s="59">
        <f t="shared" si="205"/>
        <v>538.53312094474745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3.0532686531885158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3.0532686531885158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-0.99999999999988631</v>
      </c>
      <c r="O199" s="13">
        <f>N199*VLOOKUP('Données projet'!$B$9,Paramètres!$A$1:$I$89,3,0)*VLOOKUP('Données projet'!$B$9,Paramètres!$A$1:$I$89,5,0)</f>
        <v>-0.59799999999993203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201.32564399503951</v>
      </c>
      <c r="T199" s="59">
        <f t="shared" si="204"/>
        <v>347.89731545007157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5.7594340236472936</v>
      </c>
      <c r="AA199" s="21">
        <f>EXP(-LN(2)/25)*AA198+(1-EXP(-LN(2)/25))/(LN(2)/25)*Calculateur!V199*Calculateur!X199*VLOOKUP('Données projet'!$B$9,Paramètres!$A$1:$I$89,3,0)*0.475*44/12</f>
        <v>1.1617947928751002</v>
      </c>
      <c r="AB199" s="21">
        <f>EXP(-LN(2)/2)*AB198+(1-EXP(-LN(2)/2))/(LN(2)/2)*V199*Y199*VLOOKUP('Données projet'!$B$9,Paramètres!$A$1:$I$89,3,0)*0.475*44/12</f>
        <v>4.9220796296810003E-21</v>
      </c>
      <c r="AC199" s="22">
        <f t="shared" si="163"/>
        <v>6.9212288165223939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5.1431925385259088E-14</v>
      </c>
      <c r="AK199" s="13">
        <f t="shared" si="164"/>
        <v>8.3482866290946129E-13</v>
      </c>
      <c r="AL199" s="20">
        <f t="shared" si="165"/>
        <v>1.5435705246133045E-12</v>
      </c>
      <c r="AM199" s="59">
        <f t="shared" si="193"/>
        <v>293.33333333333485</v>
      </c>
      <c r="AN199" s="59">
        <f ca="1">AVERAGE(OFFSET($AM$3,0,0,'Données projet'!$E$10+1,1))-AVERAGE(OFFSET($H$3,0,0,'Données projet'!$E$10+1,1))</f>
        <v>244.25841067424</v>
      </c>
      <c r="AO199" s="59">
        <f t="shared" si="205"/>
        <v>538.53312094474745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2.9933959172094795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2.9933959172094795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-0.99999999999988631</v>
      </c>
      <c r="O200" s="13">
        <f>N200*VLOOKUP('Données projet'!$B$9,Paramètres!$A$1:$I$89,3,0)*VLOOKUP('Données projet'!$B$9,Paramètres!$A$1:$I$89,5,0)</f>
        <v>-0.59799999999993203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201.32564399503951</v>
      </c>
      <c r="T200" s="59">
        <f t="shared" si="204"/>
        <v>347.89731545007157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5.646495035351454</v>
      </c>
      <c r="AA200" s="21">
        <f>EXP(-LN(2)/25)*AA199+(1-EXP(-LN(2)/25))/(LN(2)/25)*Calculateur!V200*Calculateur!X200*VLOOKUP('Données projet'!$B$9,Paramètres!$A$1:$I$89,3,0)*0.475*44/12</f>
        <v>1.1300254531677978</v>
      </c>
      <c r="AB200" s="21">
        <f>EXP(-LN(2)/2)*AB199+(1-EXP(-LN(2)/2))/(LN(2)/2)*V200*Y200*VLOOKUP('Données projet'!$B$9,Paramètres!$A$1:$I$89,3,0)*0.475*44/12</f>
        <v>3.4804358836876059E-21</v>
      </c>
      <c r="AC200" s="22">
        <f t="shared" si="163"/>
        <v>6.7765204885192514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5.1431925385259088E-14</v>
      </c>
      <c r="AK200" s="13">
        <f t="shared" si="164"/>
        <v>8.3482866290946129E-13</v>
      </c>
      <c r="AL200" s="20">
        <f t="shared" si="165"/>
        <v>1.5435705246133045E-12</v>
      </c>
      <c r="AM200" s="59">
        <f t="shared" si="193"/>
        <v>293.33333333333485</v>
      </c>
      <c r="AN200" s="59">
        <f ca="1">AVERAGE(OFFSET($AM$3,0,0,'Données projet'!$E$10+1,1))-AVERAGE(OFFSET($H$3,0,0,'Données projet'!$E$10+1,1))</f>
        <v>244.25841067424</v>
      </c>
      <c r="AO200" s="59">
        <f t="shared" si="205"/>
        <v>538.53312094474745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2.9346972490642291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2.9346972490642291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-0.99999999999988631</v>
      </c>
      <c r="O201" s="13">
        <f>N201*VLOOKUP('Données projet'!$B$9,Paramètres!$A$1:$I$89,3,0)*VLOOKUP('Données projet'!$B$9,Paramètres!$A$1:$I$89,5,0)</f>
        <v>-0.59799999999993203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201.32564399503951</v>
      </c>
      <c r="T201" s="59">
        <f t="shared" si="204"/>
        <v>347.89731545007157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5.5357707117301143</v>
      </c>
      <c r="AA201" s="21">
        <f>EXP(-LN(2)/25)*AA200+(1-EXP(-LN(2)/25))/(LN(2)/25)*Calculateur!V201*Calculateur!X201*VLOOKUP('Données projet'!$B$9,Paramètres!$A$1:$I$89,3,0)*0.475*44/12</f>
        <v>1.0991248477254685</v>
      </c>
      <c r="AB201" s="21">
        <f>EXP(-LN(2)/2)*AB200+(1-EXP(-LN(2)/2))/(LN(2)/2)*V201*Y201*VLOOKUP('Données projet'!$B$9,Paramètres!$A$1:$I$89,3,0)*0.475*44/12</f>
        <v>2.4610398148405002E-21</v>
      </c>
      <c r="AC201" s="22">
        <f t="shared" si="163"/>
        <v>6.6348955594555825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5.1431925385259088E-14</v>
      </c>
      <c r="AK201" s="13">
        <f t="shared" si="164"/>
        <v>8.3482866290946129E-13</v>
      </c>
      <c r="AL201" s="20">
        <f t="shared" si="165"/>
        <v>1.5435705246133045E-12</v>
      </c>
      <c r="AM201" s="59">
        <f t="shared" si="193"/>
        <v>293.33333333333485</v>
      </c>
      <c r="AN201" s="59">
        <f ca="1">AVERAGE(OFFSET($AM$3,0,0,'Données projet'!$E$10+1,1))-AVERAGE(OFFSET($H$3,0,0,'Données projet'!$E$10+1,1))</f>
        <v>244.25841067424</v>
      </c>
      <c r="AO201" s="59">
        <f t="shared" si="205"/>
        <v>538.53312094474745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2.8771496259986549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2.8771496259986549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-0.99999999999988631</v>
      </c>
      <c r="O202" s="13">
        <f>N202*VLOOKUP('Données projet'!$B$9,Paramètres!$A$1:$I$89,3,0)*VLOOKUP('Données projet'!$B$9,Paramètres!$A$1:$I$89,5,0)</f>
        <v>-0.59799999999993203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201.32564399503951</v>
      </c>
      <c r="T202" s="59">
        <f t="shared" si="204"/>
        <v>347.89731545007157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5.4272176245598205</v>
      </c>
      <c r="AA202" s="21">
        <f>EXP(-LN(2)/25)*AA201+(1-EXP(-LN(2)/25))/(LN(2)/25)*Calculateur!V202*Calculateur!X202*VLOOKUP('Données projet'!$B$9,Paramètres!$A$1:$I$89,3,0)*0.475*44/12</f>
        <v>1.0690692209639518</v>
      </c>
      <c r="AB202" s="21">
        <f>EXP(-LN(2)/2)*AB201+(1-EXP(-LN(2)/2))/(LN(2)/2)*V202*Y202*VLOOKUP('Données projet'!$B$9,Paramètres!$A$1:$I$89,3,0)*0.475*44/12</f>
        <v>1.740217941843803E-21</v>
      </c>
      <c r="AC202" s="22">
        <f t="shared" si="163"/>
        <v>6.4962868455237723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5.1431925385259088E-14</v>
      </c>
      <c r="AK202" s="13">
        <f t="shared" si="164"/>
        <v>8.3482866290946129E-13</v>
      </c>
      <c r="AL202" s="20">
        <f t="shared" si="165"/>
        <v>1.5435705246133045E-12</v>
      </c>
      <c r="AM202" s="59">
        <f t="shared" si="193"/>
        <v>293.33333333333485</v>
      </c>
      <c r="AN202" s="59">
        <f ca="1">AVERAGE(OFFSET($AM$3,0,0,'Données projet'!$E$10+1,1))-AVERAGE(OFFSET($H$3,0,0,'Données projet'!$E$10+1,1))</f>
        <v>244.25841067424</v>
      </c>
      <c r="AO202" s="59">
        <f t="shared" si="205"/>
        <v>538.53312094474745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2.8207304767208123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2.8207304767208123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-0.99999999999988631</v>
      </c>
      <c r="O203" s="13">
        <f>N203*VLOOKUP('Données projet'!$B$9,Paramètres!$A$1:$I$89,3,0)*VLOOKUP('Données projet'!$B$9,Paramètres!$A$1:$I$89,5,0)</f>
        <v>-0.59799999999993203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201.32564399503951</v>
      </c>
      <c r="T203" s="59">
        <f t="shared" si="204"/>
        <v>347.89731545007157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5.3207931972180909</v>
      </c>
      <c r="AA203" s="21">
        <f>EXP(-LN(2)/25)*AA202+(1-EXP(-LN(2)/25))/(LN(2)/25)*Calculateur!V203*Calculateur!X203*VLOOKUP('Données projet'!$B$9,Paramètres!$A$1:$I$89,3,0)*0.475*44/12</f>
        <v>1.0398354668967857</v>
      </c>
      <c r="AB203" s="21">
        <f>EXP(-LN(2)/2)*AB202+(1-EXP(-LN(2)/2))/(LN(2)/2)*V203*Y203*VLOOKUP('Données projet'!$B$9,Paramètres!$A$1:$I$89,3,0)*0.475*44/12</f>
        <v>1.2305199074202501E-21</v>
      </c>
      <c r="AC203" s="22">
        <f t="shared" si="163"/>
        <v>6.360628664114877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5.1431925385259088E-14</v>
      </c>
      <c r="AK203" s="13">
        <f t="shared" si="164"/>
        <v>8.3482866290946129E-13</v>
      </c>
      <c r="AL203" s="20">
        <f t="shared" si="165"/>
        <v>1.5435705246133045E-12</v>
      </c>
      <c r="AM203" s="59">
        <f t="shared" si="193"/>
        <v>293.33333333333485</v>
      </c>
      <c r="AN203" s="59">
        <f ca="1">AVERAGE(OFFSET($AM$3,0,0,'Données projet'!$E$10+1,1))-AVERAGE(OFFSET($H$3,0,0,'Données projet'!$E$10+1,1))</f>
        <v>244.25841067424</v>
      </c>
      <c r="AO203" s="59">
        <f t="shared" si="205"/>
        <v>538.53312094474745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2.7654176725480251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2.7654176725480251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1.3555583647323386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1.4250597347090725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2"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2.0000999999999998</v>
      </c>
      <c r="C6" s="147">
        <f ca="1">IF(OR('Données projet'!B9="",'Données projet'!C9="",'Données projet'!C9=0%),0,Calculateur!S3)</f>
        <v>201.32564399503951</v>
      </c>
      <c r="D6" s="147">
        <f>IF(OR('Données projet'!B9="",'Données projet'!C9="",'Données projet'!C9=0%),0,Calculateur!T3)</f>
        <v>347.89731545007157</v>
      </c>
      <c r="E6" s="147">
        <f ca="1">MIN(C6,D6)</f>
        <v>201.32564399503951</v>
      </c>
      <c r="F6" s="147">
        <f ca="1">E6*B6</f>
        <v>402.67142055447846</v>
      </c>
      <c r="G6" s="147">
        <f ca="1">F6*(100%-'Données projet'!$C$24)*(100%-'Données projet'!$C$25)*(100%-'Données projet'!$C$26)*(100%-'Données projet'!$C$27)</f>
        <v>362.40427849903062</v>
      </c>
      <c r="H6" s="148">
        <f>IF(OR('Données projet'!B9="",'Données projet'!C9="",'Données projet'!C9=0%),0,AVERAGE(Calculateur!$AC$3:$AC$33)*B6)</f>
        <v>19.849184776922787</v>
      </c>
      <c r="I6" s="149">
        <f>H6*(100%-'Données projet'!$C$24)*(100%-'Données projet'!$C$25)*(100%-'Données projet'!$C$26)*(100%-'Données projet'!$C$27)</f>
        <v>17.864266299230508</v>
      </c>
      <c r="J6" s="150">
        <f>IF(OR('Données projet'!B9="",'Données projet'!C9="",'Données projet'!C9=0%),0,SUM(Calculateur!$V$3:$V$33)*VLOOKUP('Données projet'!$B$9,Paramètres!$A$1:$I$89,9,0)*B6)</f>
        <v>128.14260680999999</v>
      </c>
      <c r="K6" s="151">
        <f>J6*(100%-'Données projet'!$C$24)*(100%-'Données projet'!$C$25)*(100%-'Données projet'!$C$26)*(100%-'Données projet'!$C$27)</f>
        <v>115.328346129</v>
      </c>
      <c r="L6" s="152">
        <f ca="1">G6+I6+K6</f>
        <v>495.59689092726114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Robinier faux-acacia</v>
      </c>
      <c r="B7" s="154">
        <f>'Données projet'!D10</f>
        <v>0.99990000000000001</v>
      </c>
      <c r="C7" s="147">
        <f ca="1">IF(OR('Données projet'!B10="",'Données projet'!C10="",'Données projet'!C10=0%),0,Calculateur!AN3)</f>
        <v>244.25841067424</v>
      </c>
      <c r="D7" s="147">
        <f>IF(OR('Données projet'!B10="",'Données projet'!C10="",'Données projet'!C10=0%),0,Calculateur!AO3)</f>
        <v>538.53312094474745</v>
      </c>
      <c r="E7" s="147">
        <f t="shared" ref="E7:E15" ca="1" si="0">MIN(C7,D7)</f>
        <v>244.25841067424</v>
      </c>
      <c r="F7" s="147">
        <f t="shared" ref="F7:F15" ca="1" si="1">E7*B7</f>
        <v>244.23398483317257</v>
      </c>
      <c r="G7" s="147">
        <f ca="1">F7*(100%-'Données projet'!$C$24)*(100%-'Données projet'!$C$25)*(100%-'Données projet'!$C$26)*(100%-'Données projet'!$C$27)</f>
        <v>219.81058634985533</v>
      </c>
      <c r="H7" s="155">
        <f>IF(OR('Données projet'!B10="",'Données projet'!C10="",'Données projet'!C10=0%),0,AVERAGE(Calculateur!$AX$3:$AX$33)*B7)</f>
        <v>4.0624469119584496</v>
      </c>
      <c r="I7" s="149">
        <f>H7*(100%-'Données projet'!$C$24)*(100%-'Données projet'!$C$25)*(100%-'Données projet'!$C$26)*(100%-'Données projet'!$C$27)</f>
        <v>3.6562022207626046</v>
      </c>
      <c r="J7" s="150">
        <f>IF(OR('Données projet'!B10="",'Données projet'!C10="",'Données projet'!C10=0%),0,SUM(Calculateur!$AQ$3:$AQ$33)*VLOOKUP('Données projet'!$B$10,Paramètres!$A$1:$I$89,9,0)*B7)</f>
        <v>107.9892</v>
      </c>
      <c r="K7" s="151">
        <f>J7*(100%-'Données projet'!$C$24)*(100%-'Données projet'!$C$25)*(100%-'Données projet'!$C$26)*(100%-'Données projet'!$C$27)</f>
        <v>97.190280000000001</v>
      </c>
      <c r="L7" s="152">
        <f t="shared" ref="L7:L15" ca="1" si="2">G7+I7+K7</f>
        <v>320.65706857061792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646.90540538765106</v>
      </c>
      <c r="G16" s="166">
        <f t="shared" ca="1" si="3"/>
        <v>582.21486484888601</v>
      </c>
      <c r="H16" s="167">
        <f t="shared" si="3"/>
        <v>23.911631688881236</v>
      </c>
      <c r="I16" s="167">
        <f t="shared" si="3"/>
        <v>21.520468519993113</v>
      </c>
      <c r="J16" s="168">
        <f t="shared" si="3"/>
        <v>236.13180681</v>
      </c>
      <c r="K16" s="168">
        <f t="shared" si="3"/>
        <v>212.51862612899998</v>
      </c>
      <c r="L16" s="169">
        <f t="shared" ca="1" si="3"/>
        <v>816.25395949787912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Robinier faux-acacia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C7" zoomScale="77" zoomScaleNormal="80" workbookViewId="0">
      <selection activeCell="N21" sqref="N21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1958.1577238560062</v>
      </c>
      <c r="U10" s="178">
        <f>'Données projet'!D9</f>
        <v>2.0000999999999998</v>
      </c>
      <c r="V10" s="177">
        <f>U10*T10</f>
        <v>3916.5112634843977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Robinier faux-acacia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950.49094758853175</v>
      </c>
      <c r="U11" s="178">
        <f>'Données projet'!D10</f>
        <v>0.99990000000000001</v>
      </c>
      <c r="V11" s="177">
        <f t="shared" ref="V11" si="0">U11*T11</f>
        <v>950.39589849377296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v>2395</v>
      </c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299.99999999999994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>
        <v>1670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500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15</v>
      </c>
      <c r="B23" s="181">
        <f>'Données projet'!D36</f>
        <v>38.36</v>
      </c>
      <c r="C23" s="193">
        <f>45*'Données projet'!E36+19.4*('Données projet'!F36+'Données projet'!G36)+10*'Données projet'!G36</f>
        <v>23.799999999999997</v>
      </c>
      <c r="D23" s="182">
        <f>B23*C23</f>
        <v>912.96799999999985</v>
      </c>
      <c r="E23" s="193"/>
      <c r="F23" s="229"/>
      <c r="H23" s="190">
        <v>3</v>
      </c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-1578.4995365864224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23</v>
      </c>
      <c r="B24" s="181">
        <f>'Données projet'!D37</f>
        <v>70.23</v>
      </c>
      <c r="C24" s="193">
        <f>45*'Données projet'!E37+19.4*('Données projet'!F37+'Données projet'!G37)+10*'Données projet'!G37</f>
        <v>23.799999999999997</v>
      </c>
      <c r="D24" s="182">
        <f t="shared" ref="D24:D42" si="2">B24*C24</f>
        <v>1671.4739999999999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240.30001395630268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33</v>
      </c>
      <c r="B25" s="181">
        <f>'Données projet'!D38</f>
        <v>155.34</v>
      </c>
      <c r="C25" s="193">
        <f>45*'Données projet'!E38+19.4*('Données projet'!F38+'Données projet'!G38)+10*'Données projet'!G38</f>
        <v>28.02</v>
      </c>
      <c r="D25" s="182">
        <f t="shared" si="2"/>
        <v>4352.6268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-1818.7995505427252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40</v>
      </c>
      <c r="B26" s="181">
        <f>'Données projet'!D39</f>
        <v>133.43</v>
      </c>
      <c r="C26" s="193">
        <f>45*'Données projet'!E39+19.4*('Données projet'!F39+'Données projet'!G39)+10*'Données projet'!G39</f>
        <v>32.24</v>
      </c>
      <c r="D26" s="182">
        <f t="shared" si="2"/>
        <v>4301.7832000000008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50</v>
      </c>
      <c r="B27" s="181">
        <f>'Données projet'!D40</f>
        <v>374.57</v>
      </c>
      <c r="C27" s="193">
        <f>45*'Données projet'!E40+19.4*('Données projet'!F40+'Données projet'!G40)+10*'Données projet'!G40</f>
        <v>36.559999999999995</v>
      </c>
      <c r="D27" s="182">
        <f t="shared" si="2"/>
        <v>13694.279199999997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0</v>
      </c>
      <c r="B28" s="181">
        <f>'Données projet'!D41</f>
        <v>0</v>
      </c>
      <c r="C28" s="193">
        <f>45*'Données projet'!E41+19.4*('Données projet'!F41+'Données projet'!G41)+10*'Données projet'!G41</f>
        <v>0</v>
      </c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0</v>
      </c>
      <c r="B29" s="181">
        <f>'Données projet'!D42</f>
        <v>0</v>
      </c>
      <c r="C29" s="193">
        <f>30*'Données projet'!E42+19.4*('Données projet'!F42+'Données projet'!G42)+10*'Données projet'!G42</f>
        <v>0</v>
      </c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0</v>
      </c>
      <c r="B30" s="181">
        <f>'Données projet'!D43</f>
        <v>0</v>
      </c>
      <c r="C30" s="193">
        <f>30*'Données projet'!E43+19.4*('Données projet'!F43+'Données projet'!G43)+10*'Données projet'!G43</f>
        <v>0</v>
      </c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>
        <f>30*'Données projet'!E44+19.4*('Données projet'!F44+'Données projet'!G44)+10*'Données projet'!G44</f>
        <v>0</v>
      </c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>
        <f>30*'Données projet'!E45+19.4*('Données projet'!F45+'Données projet'!G45)+10*'Données projet'!G45</f>
        <v>0</v>
      </c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>
        <f>30*'Données projet'!E46+19.4*('Données projet'!F46+'Données projet'!G46)+10*'Données projet'!G46</f>
        <v>0</v>
      </c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>
        <f>30*'Données projet'!E47+19.4*('Données projet'!F47+'Données projet'!G47)+10*'Données projet'!G47</f>
        <v>0</v>
      </c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>
        <f>30*'Données projet'!E48+19.4*('Données projet'!F48+'Données projet'!G48)+10*'Données projet'!G48</f>
        <v>0</v>
      </c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>
        <f>30*'Données projet'!E49+19.4*('Données projet'!F49+'Données projet'!G49)+10*'Données projet'!G49</f>
        <v>0</v>
      </c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>
        <f>30*'Données projet'!E50+19.4*('Données projet'!F50+'Données projet'!G50)+10*'Données projet'!G50</f>
        <v>0</v>
      </c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>
        <f>30*'Données projet'!E51+19.4*('Données projet'!F51+'Données projet'!G51)+10*'Données projet'!G51</f>
        <v>0</v>
      </c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>
        <f>30*'Données projet'!E52+19.4*('Données projet'!F52+'Données projet'!G52)+10*'Données projet'!G52</f>
        <v>0</v>
      </c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>
        <f>30*'Données projet'!E53+19.4*('Données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>
        <f>30*'Données projet'!E54+19.4*('Données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30*'Données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Robinier faux-acacia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>
        <v>1669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15</v>
      </c>
      <c r="B54" s="181">
        <f>'Données projet'!D62</f>
        <v>52</v>
      </c>
      <c r="C54" s="191">
        <f>30*'Données projet'!E62+13.8*('Données projet'!F62+'Données projet'!G62)+10*'Données projet'!H62</f>
        <v>10</v>
      </c>
      <c r="D54" s="179">
        <f>B54*C54</f>
        <v>520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20</v>
      </c>
      <c r="B55" s="181">
        <f>'Données projet'!D63</f>
        <v>40</v>
      </c>
      <c r="C55" s="191">
        <f>30*'Données projet'!E63+13.8*('Données projet'!F63+'Données projet'!G63)+10*'Données projet'!H63</f>
        <v>14</v>
      </c>
      <c r="D55" s="179">
        <f t="shared" ref="D55:D73" si="4">B55*C55</f>
        <v>560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25</v>
      </c>
      <c r="B56" s="181">
        <f>'Données projet'!D64</f>
        <v>33</v>
      </c>
      <c r="C56" s="191">
        <f>30*'Données projet'!E64+13.8*('Données projet'!F64+'Données projet'!G64)+10*'Données projet'!H64</f>
        <v>20</v>
      </c>
      <c r="D56" s="179">
        <f t="shared" si="4"/>
        <v>660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30</v>
      </c>
      <c r="B57" s="181">
        <f>'Données projet'!D65</f>
        <v>307</v>
      </c>
      <c r="C57" s="191">
        <f>30*'Données projet'!E65+13.8*('Données projet'!F65+'Données projet'!G65)+10*'Données projet'!H65</f>
        <v>26</v>
      </c>
      <c r="D57" s="179">
        <f t="shared" si="4"/>
        <v>7982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>
        <f>17.5*'Données projet'!E66+13.8*('Données projet'!F66+'Données projet'!G66)+10*'Données projet'!H66</f>
        <v>0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>
        <f>17.5*'Données projet'!E67+13.8*('Données projet'!F67+'Données projet'!G67)+10*'Données projet'!H67</f>
        <v>0</v>
      </c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>
        <f>17.5*'Données projet'!E68+13.8*('Données projet'!F68+'Données projet'!G68)+10*'Données projet'!H68</f>
        <v>0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>
        <f>17.5*'Données projet'!E69+13.8*('Données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>
        <f>17.5*'Données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>
        <f>17.5*'Données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17.5*'Données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 t="str">
        <f>IF(O63+1&lt;=MIN('Données projet'!$E$9:$E$18),O63+1,"STOP")</f>
        <v>STOP</v>
      </c>
      <c r="P64" s="185" t="e">
        <f t="shared" si="3"/>
        <v>#VALUE!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17.5*'Données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17.5*'Données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17.5*'Données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17.5*'Données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17.5*'Données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>
        <f>42*'Données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>
        <f>42*'Données projet'!E90+19.4*('Données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>
        <f>42*'Données projet'!E91+19.4*('Données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>
        <f>42*'Données projet'!E92+19.4*('Données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>
        <f>42*'Données projet'!E93+19.4*('Données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>
        <f>42*'Données projet'!E94+19.4*('Données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>
        <f>42*'Données projet'!E95+19.4*('Données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2023-10-03T12:13:44Z</dcterms:modified>
</cp:coreProperties>
</file>