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449EBA68-09DC-48D4-8C56-82F0689DA68F}" xr6:coauthVersionLast="47" xr6:coauthVersionMax="47" xr10:uidLastSave="{00000000-0000-0000-0000-000000000000}"/>
  <bookViews>
    <workbookView xWindow="-12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C38" i="6"/>
  <c r="C39" i="6"/>
  <c r="C40" i="6"/>
  <c r="C41" i="6"/>
  <c r="C42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23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BC82" i="2" a="1"/>
  <c r="BC82" i="2" s="1"/>
  <c r="BC58" i="2" a="1"/>
  <c r="BC58" i="2" s="1"/>
  <c r="BC31" i="2" a="1"/>
  <c r="BC31" i="2" s="1"/>
  <c r="BC47" i="2" a="1"/>
  <c r="BC47" i="2" s="1"/>
  <c r="BC68" i="2" a="1"/>
  <c r="BC68" i="2" s="1"/>
  <c r="BC34" i="2" a="1"/>
  <c r="BC34" i="2" s="1"/>
  <c r="BC114" i="2" a="1"/>
  <c r="BC114" i="2" s="1"/>
  <c r="AH151" i="2" a="1"/>
  <c r="AH151" i="2" s="1"/>
  <c r="AH163" i="2" a="1"/>
  <c r="AH163" i="2" s="1"/>
  <c r="AH62" i="2" a="1"/>
  <c r="AH62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<sst xmlns="http://schemas.openxmlformats.org/spreadsheetml/2006/main" count="1172" uniqueCount="324">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</sst>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1" zoomScale="88" zoomScaleNormal="80" workbookViewId="0">
      <selection activeCell="F78" sqref="F7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15.94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13</v>
      </c>
      <c r="C9" s="32">
        <v>0.8</v>
      </c>
      <c r="D9" s="33">
        <f t="shared" ref="D9:D18" si="0">C9*$C$5</f>
        <v>12.752000000000001</v>
      </c>
      <c r="E9" s="34">
        <v>90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22</v>
      </c>
      <c r="C10" s="32">
        <v>0.1333</v>
      </c>
      <c r="D10" s="33">
        <f t="shared" si="0"/>
        <v>2.1248019999999999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30</v>
      </c>
      <c r="C11" s="32">
        <v>6.6699999999999995E-2</v>
      </c>
      <c r="D11" s="33">
        <f t="shared" si="0"/>
        <v>1.0631979999999999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15.940000000000001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rouge d'Amérique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29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2.9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15</v>
      </c>
      <c r="B37" s="60">
        <v>73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8.8000000000000007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v>129</v>
      </c>
      <c r="C38" s="60">
        <v>3</v>
      </c>
      <c r="D38" s="60">
        <v>54</v>
      </c>
      <c r="E38" s="51">
        <v>0</v>
      </c>
      <c r="F38" s="51"/>
      <c r="G38" s="51"/>
      <c r="H38" s="51">
        <v>1</v>
      </c>
      <c r="I38" s="53">
        <f t="shared" si="1"/>
        <v>11.2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25</v>
      </c>
      <c r="B39" s="60">
        <v>126</v>
      </c>
      <c r="C39" s="60">
        <v>4</v>
      </c>
      <c r="D39" s="60">
        <v>26</v>
      </c>
      <c r="E39" s="51">
        <v>0</v>
      </c>
      <c r="F39" s="51"/>
      <c r="G39" s="51"/>
      <c r="H39" s="51">
        <v>1</v>
      </c>
      <c r="I39" s="49">
        <f t="shared" si="1"/>
        <v>10.199999999999999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30</v>
      </c>
      <c r="B40" s="60">
        <v>149</v>
      </c>
      <c r="C40" s="60">
        <v>5</v>
      </c>
      <c r="D40" s="60">
        <v>27</v>
      </c>
      <c r="E40" s="51">
        <v>0.2</v>
      </c>
      <c r="F40" s="51"/>
      <c r="G40" s="51"/>
      <c r="H40" s="51">
        <v>0.8</v>
      </c>
      <c r="I40" s="49">
        <f t="shared" si="1"/>
        <v>9.8000000000000007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35</v>
      </c>
      <c r="B41" s="60">
        <v>168</v>
      </c>
      <c r="C41" s="60">
        <v>6</v>
      </c>
      <c r="D41" s="60">
        <v>27</v>
      </c>
      <c r="E41" s="51">
        <v>0.2</v>
      </c>
      <c r="F41" s="51"/>
      <c r="G41" s="51"/>
      <c r="H41" s="51">
        <v>0.8</v>
      </c>
      <c r="I41" s="53">
        <f t="shared" si="1"/>
        <v>9.1999999999999993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v>185</v>
      </c>
      <c r="C42" s="60">
        <v>7</v>
      </c>
      <c r="D42" s="60">
        <v>27</v>
      </c>
      <c r="E42" s="51">
        <v>0.3</v>
      </c>
      <c r="F42" s="51"/>
      <c r="G42" s="51"/>
      <c r="H42" s="51">
        <v>0.7</v>
      </c>
      <c r="I42" s="53">
        <f t="shared" si="1"/>
        <v>8.8000000000000007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45</v>
      </c>
      <c r="B43" s="60">
        <v>198</v>
      </c>
      <c r="C43" s="60">
        <v>8</v>
      </c>
      <c r="D43" s="60">
        <v>26</v>
      </c>
      <c r="E43" s="51">
        <v>0.3</v>
      </c>
      <c r="F43" s="51"/>
      <c r="G43" s="51"/>
      <c r="H43" s="51">
        <v>0.7</v>
      </c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50</v>
      </c>
      <c r="B44" s="60">
        <v>209</v>
      </c>
      <c r="C44" s="60">
        <v>9</v>
      </c>
      <c r="D44" s="60">
        <v>24</v>
      </c>
      <c r="E44" s="51">
        <v>0.4</v>
      </c>
      <c r="F44" s="51"/>
      <c r="G44" s="51"/>
      <c r="H44" s="51">
        <v>0.6</v>
      </c>
      <c r="I44" s="49">
        <f t="shared" si="1"/>
        <v>7.4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55</v>
      </c>
      <c r="B45" s="60">
        <v>218</v>
      </c>
      <c r="C45" s="60">
        <v>10</v>
      </c>
      <c r="D45" s="60">
        <v>23</v>
      </c>
      <c r="E45" s="51">
        <v>0.4</v>
      </c>
      <c r="F45" s="51"/>
      <c r="G45" s="51"/>
      <c r="H45" s="51">
        <v>0.6</v>
      </c>
      <c r="I45" s="49">
        <f t="shared" si="1"/>
        <v>6.6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60</v>
      </c>
      <c r="B46" s="60">
        <v>225</v>
      </c>
      <c r="C46" s="60">
        <v>11</v>
      </c>
      <c r="D46" s="60">
        <v>21</v>
      </c>
      <c r="E46" s="51">
        <v>0.5</v>
      </c>
      <c r="F46" s="51"/>
      <c r="G46" s="51"/>
      <c r="H46" s="51">
        <v>0.5</v>
      </c>
      <c r="I46" s="49">
        <f t="shared" si="1"/>
        <v>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65</v>
      </c>
      <c r="B47" s="60">
        <v>232</v>
      </c>
      <c r="C47" s="60">
        <v>12</v>
      </c>
      <c r="D47" s="60">
        <v>20</v>
      </c>
      <c r="E47" s="51">
        <v>0.5</v>
      </c>
      <c r="F47" s="51"/>
      <c r="G47" s="51"/>
      <c r="H47" s="51">
        <v>0.5</v>
      </c>
      <c r="I47" s="49">
        <f t="shared" si="1"/>
        <v>5.6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70</v>
      </c>
      <c r="B48" s="60">
        <v>237</v>
      </c>
      <c r="C48" s="60">
        <v>13</v>
      </c>
      <c r="D48" s="60">
        <v>18</v>
      </c>
      <c r="E48" s="51">
        <v>0.6</v>
      </c>
      <c r="F48" s="51"/>
      <c r="G48" s="51"/>
      <c r="H48" s="51">
        <v>0.4</v>
      </c>
      <c r="I48" s="49">
        <f t="shared" si="1"/>
        <v>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75</v>
      </c>
      <c r="B49" s="60">
        <v>241</v>
      </c>
      <c r="C49" s="60">
        <v>14</v>
      </c>
      <c r="D49" s="60">
        <v>16</v>
      </c>
      <c r="E49" s="51">
        <v>0.6</v>
      </c>
      <c r="F49" s="51"/>
      <c r="G49" s="51"/>
      <c r="H49" s="51">
        <v>0.4</v>
      </c>
      <c r="I49" s="49">
        <f t="shared" si="1"/>
        <v>4.4000000000000004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80</v>
      </c>
      <c r="B50" s="50">
        <v>245</v>
      </c>
      <c r="C50" s="50">
        <v>15</v>
      </c>
      <c r="D50" s="50">
        <v>15</v>
      </c>
      <c r="E50" s="51">
        <v>0.7</v>
      </c>
      <c r="F50" s="51"/>
      <c r="G50" s="51"/>
      <c r="H50" s="51">
        <v>0.3</v>
      </c>
      <c r="I50" s="49">
        <f t="shared" si="1"/>
        <v>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85</v>
      </c>
      <c r="B51" s="50">
        <v>248</v>
      </c>
      <c r="C51" s="50">
        <v>16</v>
      </c>
      <c r="D51" s="50">
        <v>14</v>
      </c>
      <c r="E51" s="51">
        <v>0.7</v>
      </c>
      <c r="F51" s="51"/>
      <c r="G51" s="51"/>
      <c r="H51" s="51">
        <v>0.3</v>
      </c>
      <c r="I51" s="49">
        <f t="shared" si="1"/>
        <v>3.6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90</v>
      </c>
      <c r="B52" s="50">
        <v>249</v>
      </c>
      <c r="C52" s="50">
        <v>17</v>
      </c>
      <c r="D52" s="50">
        <v>249</v>
      </c>
      <c r="E52" s="51">
        <v>0.8</v>
      </c>
      <c r="F52" s="51"/>
      <c r="G52" s="51"/>
      <c r="H52" s="51">
        <v>0.2</v>
      </c>
      <c r="I52" s="49">
        <f t="shared" si="1"/>
        <v>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Erable plane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15</v>
      </c>
      <c r="B62" s="60">
        <v>37</v>
      </c>
      <c r="C62" s="60">
        <v>1</v>
      </c>
      <c r="D62" s="60">
        <v>15</v>
      </c>
      <c r="E62" s="51">
        <v>0</v>
      </c>
      <c r="F62" s="51"/>
      <c r="G62" s="51"/>
      <c r="H62" s="51">
        <v>1</v>
      </c>
      <c r="I62" s="53">
        <f>IFERROR(B62/A62,"")</f>
        <v>2.4666666666666668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80</v>
      </c>
      <c r="C63" s="60">
        <v>2</v>
      </c>
      <c r="D63" s="60">
        <v>28</v>
      </c>
      <c r="E63" s="51">
        <v>0</v>
      </c>
      <c r="F63" s="51"/>
      <c r="G63" s="51"/>
      <c r="H63" s="51">
        <v>1</v>
      </c>
      <c r="I63" s="49">
        <f>IF(A63&lt;&gt;0,(B63-(B62-D62))/(A63-A62),"")</f>
        <v>11.6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25</v>
      </c>
      <c r="B64" s="60">
        <v>115</v>
      </c>
      <c r="C64" s="60">
        <v>3</v>
      </c>
      <c r="D64" s="60">
        <v>28</v>
      </c>
      <c r="E64" s="51">
        <v>0</v>
      </c>
      <c r="F64" s="51"/>
      <c r="G64" s="51"/>
      <c r="H64" s="51">
        <v>1</v>
      </c>
      <c r="I64" s="49">
        <f>IF(A64&lt;&gt;0,(B64-(B63-D63))/(A64-A63),"")</f>
        <v>12.6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30</v>
      </c>
      <c r="B65" s="60">
        <v>146</v>
      </c>
      <c r="C65" s="60">
        <v>4</v>
      </c>
      <c r="D65" s="60">
        <v>28</v>
      </c>
      <c r="E65" s="51">
        <v>0.2</v>
      </c>
      <c r="F65" s="51"/>
      <c r="G65" s="51"/>
      <c r="H65" s="51">
        <v>0.8</v>
      </c>
      <c r="I65" s="49">
        <f>IF(A65&lt;&gt;0,(B65-(B64-D64))/(A65-A64),"")</f>
        <v>11.8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35</v>
      </c>
      <c r="B66" s="60">
        <v>172</v>
      </c>
      <c r="C66" s="60">
        <v>5</v>
      </c>
      <c r="D66" s="60">
        <v>28</v>
      </c>
      <c r="E66" s="51">
        <v>0.3</v>
      </c>
      <c r="F66" s="51"/>
      <c r="G66" s="51"/>
      <c r="H66" s="51">
        <v>0.7</v>
      </c>
      <c r="I66" s="49">
        <f t="shared" ref="I66:I81" si="2">IF(A66&lt;&gt;0,(B66-(B65-D65))/(A66-A65),"")</f>
        <v>10.8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40</v>
      </c>
      <c r="B67" s="60">
        <v>192</v>
      </c>
      <c r="C67" s="60">
        <v>6</v>
      </c>
      <c r="D67" s="60">
        <v>28</v>
      </c>
      <c r="E67" s="51">
        <v>0.4</v>
      </c>
      <c r="F67" s="51"/>
      <c r="G67" s="51"/>
      <c r="H67" s="51">
        <v>0.6</v>
      </c>
      <c r="I67" s="49">
        <f t="shared" si="2"/>
        <v>9.6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45</v>
      </c>
      <c r="B68" s="60">
        <v>205</v>
      </c>
      <c r="C68" s="60">
        <v>7</v>
      </c>
      <c r="D68" s="60">
        <v>22</v>
      </c>
      <c r="E68" s="51">
        <v>0.4</v>
      </c>
      <c r="F68" s="51"/>
      <c r="G68" s="51"/>
      <c r="H68" s="51">
        <v>0.6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50</v>
      </c>
      <c r="B69" s="50">
        <v>219</v>
      </c>
      <c r="C69" s="50">
        <v>8</v>
      </c>
      <c r="D69" s="50">
        <v>17</v>
      </c>
      <c r="E69" s="51">
        <v>0.5</v>
      </c>
      <c r="F69" s="51"/>
      <c r="G69" s="51"/>
      <c r="H69" s="51">
        <v>0.5</v>
      </c>
      <c r="I69" s="49">
        <f t="shared" si="2"/>
        <v>7.2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55</v>
      </c>
      <c r="B70" s="50">
        <v>232</v>
      </c>
      <c r="C70" s="50">
        <v>9</v>
      </c>
      <c r="D70" s="50">
        <v>13</v>
      </c>
      <c r="E70" s="51">
        <v>0.5</v>
      </c>
      <c r="F70" s="51"/>
      <c r="G70" s="51"/>
      <c r="H70" s="51">
        <v>0.5</v>
      </c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60</v>
      </c>
      <c r="B71" s="50">
        <v>245</v>
      </c>
      <c r="C71" s="50">
        <v>10</v>
      </c>
      <c r="D71" s="50">
        <v>12</v>
      </c>
      <c r="E71" s="51">
        <v>0.6</v>
      </c>
      <c r="F71" s="51"/>
      <c r="G71" s="51"/>
      <c r="H71" s="51">
        <v>0.4</v>
      </c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65</v>
      </c>
      <c r="B72" s="50">
        <v>255</v>
      </c>
      <c r="C72" s="50">
        <v>11</v>
      </c>
      <c r="D72" s="50">
        <v>11</v>
      </c>
      <c r="E72" s="51">
        <v>0.6</v>
      </c>
      <c r="F72" s="51"/>
      <c r="G72" s="51"/>
      <c r="H72" s="51">
        <v>0.4</v>
      </c>
      <c r="I72" s="49">
        <f t="shared" si="2"/>
        <v>4.4000000000000004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70</v>
      </c>
      <c r="B73" s="50">
        <v>263</v>
      </c>
      <c r="C73" s="50">
        <v>12</v>
      </c>
      <c r="D73" s="50">
        <v>10</v>
      </c>
      <c r="E73" s="51">
        <v>0.7</v>
      </c>
      <c r="F73" s="51"/>
      <c r="G73" s="51"/>
      <c r="H73" s="51">
        <v>0.3</v>
      </c>
      <c r="I73" s="49">
        <f t="shared" si="2"/>
        <v>3.8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75</v>
      </c>
      <c r="B74" s="50">
        <v>270</v>
      </c>
      <c r="C74" s="50">
        <v>13</v>
      </c>
      <c r="D74" s="50">
        <v>9</v>
      </c>
      <c r="E74" s="51">
        <v>0.7</v>
      </c>
      <c r="F74" s="51"/>
      <c r="G74" s="51"/>
      <c r="H74" s="51">
        <v>0.3</v>
      </c>
      <c r="I74" s="49">
        <f t="shared" si="2"/>
        <v>3.4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80</v>
      </c>
      <c r="B75" s="50">
        <v>275</v>
      </c>
      <c r="C75" s="50">
        <v>14</v>
      </c>
      <c r="D75" s="50">
        <v>275</v>
      </c>
      <c r="E75" s="51">
        <v>0.8</v>
      </c>
      <c r="F75" s="51"/>
      <c r="G75" s="51"/>
      <c r="H75" s="51">
        <v>0.2</v>
      </c>
      <c r="I75" s="49">
        <f t="shared" si="2"/>
        <v>2.8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Noyer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11</v>
      </c>
      <c r="C88" s="60">
        <v>1</v>
      </c>
      <c r="D88" s="60">
        <v>0</v>
      </c>
      <c r="E88" s="51">
        <v>0</v>
      </c>
      <c r="F88" s="51"/>
      <c r="G88" s="51"/>
      <c r="H88" s="51">
        <v>1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15</v>
      </c>
      <c r="B89" s="60">
        <v>65</v>
      </c>
      <c r="C89" s="60">
        <v>2</v>
      </c>
      <c r="D89" s="60">
        <v>32</v>
      </c>
      <c r="E89" s="51">
        <v>0</v>
      </c>
      <c r="F89" s="51"/>
      <c r="G89" s="51"/>
      <c r="H89" s="51">
        <v>1</v>
      </c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20</v>
      </c>
      <c r="B90" s="60">
        <v>102</v>
      </c>
      <c r="C90" s="60">
        <v>3</v>
      </c>
      <c r="D90" s="60">
        <v>35</v>
      </c>
      <c r="E90" s="51">
        <v>0</v>
      </c>
      <c r="F90" s="51"/>
      <c r="G90" s="51"/>
      <c r="H90" s="51">
        <v>1</v>
      </c>
      <c r="I90" s="53">
        <f t="shared" si="3"/>
        <v>13.8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25</v>
      </c>
      <c r="B91" s="60">
        <v>141</v>
      </c>
      <c r="C91" s="60">
        <v>4</v>
      </c>
      <c r="D91" s="60">
        <v>35</v>
      </c>
      <c r="E91" s="51">
        <v>0.2</v>
      </c>
      <c r="F91" s="51"/>
      <c r="G91" s="51"/>
      <c r="H91" s="51">
        <v>0.8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30</v>
      </c>
      <c r="B92" s="60">
        <v>177</v>
      </c>
      <c r="C92" s="60">
        <v>5</v>
      </c>
      <c r="D92" s="60">
        <v>35</v>
      </c>
      <c r="E92" s="51">
        <v>0.3</v>
      </c>
      <c r="F92" s="51"/>
      <c r="G92" s="51"/>
      <c r="H92" s="51">
        <v>0.7</v>
      </c>
      <c r="I92" s="53">
        <f t="shared" si="3"/>
        <v>14.2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35</v>
      </c>
      <c r="B93" s="60">
        <v>206</v>
      </c>
      <c r="C93" s="60">
        <v>6</v>
      </c>
      <c r="D93" s="60">
        <v>35</v>
      </c>
      <c r="E93" s="51">
        <v>0.4</v>
      </c>
      <c r="F93" s="51"/>
      <c r="G93" s="51"/>
      <c r="H93" s="51">
        <v>0.6</v>
      </c>
      <c r="I93" s="53">
        <f t="shared" si="3"/>
        <v>12.8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40</v>
      </c>
      <c r="B94" s="60">
        <v>228</v>
      </c>
      <c r="C94" s="60">
        <v>7</v>
      </c>
      <c r="D94" s="60">
        <v>35</v>
      </c>
      <c r="E94" s="51">
        <v>0.4</v>
      </c>
      <c r="F94" s="51"/>
      <c r="G94" s="51"/>
      <c r="H94" s="51">
        <v>0.6</v>
      </c>
      <c r="I94" s="53">
        <f t="shared" si="3"/>
        <v>11.4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45</v>
      </c>
      <c r="B95" s="60">
        <v>242</v>
      </c>
      <c r="C95" s="60">
        <v>8</v>
      </c>
      <c r="D95" s="60">
        <v>24</v>
      </c>
      <c r="E95" s="51">
        <v>0.5</v>
      </c>
      <c r="F95" s="51"/>
      <c r="G95" s="51"/>
      <c r="H95" s="51">
        <v>0.5</v>
      </c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50</v>
      </c>
      <c r="B96" s="60">
        <v>261</v>
      </c>
      <c r="C96" s="60">
        <v>9</v>
      </c>
      <c r="D96" s="60">
        <v>19</v>
      </c>
      <c r="E96" s="51">
        <v>0.5</v>
      </c>
      <c r="F96" s="51"/>
      <c r="G96" s="51"/>
      <c r="H96" s="51">
        <v>0.5</v>
      </c>
      <c r="I96" s="53">
        <f t="shared" si="3"/>
        <v>8.6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55</v>
      </c>
      <c r="B97" s="60">
        <v>279</v>
      </c>
      <c r="C97" s="60">
        <v>10</v>
      </c>
      <c r="D97" s="60">
        <v>16</v>
      </c>
      <c r="E97" s="51">
        <v>0.6</v>
      </c>
      <c r="F97" s="51"/>
      <c r="G97" s="51"/>
      <c r="H97" s="51">
        <v>0.4</v>
      </c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60</v>
      </c>
      <c r="B98" s="60">
        <v>294</v>
      </c>
      <c r="C98" s="60">
        <v>11</v>
      </c>
      <c r="D98" s="60">
        <v>14</v>
      </c>
      <c r="E98" s="51">
        <v>0.6</v>
      </c>
      <c r="F98" s="51"/>
      <c r="G98" s="51"/>
      <c r="H98" s="51">
        <v>0.4</v>
      </c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65</v>
      </c>
      <c r="B99" s="60">
        <v>306</v>
      </c>
      <c r="C99" s="60">
        <v>12</v>
      </c>
      <c r="D99" s="60">
        <v>13</v>
      </c>
      <c r="E99" s="51">
        <v>0.7</v>
      </c>
      <c r="F99" s="51"/>
      <c r="G99" s="51"/>
      <c r="H99" s="51">
        <v>0.3</v>
      </c>
      <c r="I99" s="53">
        <f t="shared" si="3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70</v>
      </c>
      <c r="B100" s="60">
        <v>316</v>
      </c>
      <c r="C100" s="60">
        <v>13</v>
      </c>
      <c r="D100" s="60">
        <v>13</v>
      </c>
      <c r="E100" s="51">
        <v>0.7</v>
      </c>
      <c r="F100" s="51"/>
      <c r="G100" s="51"/>
      <c r="H100" s="51">
        <v>0.3</v>
      </c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75</v>
      </c>
      <c r="B101" s="60">
        <v>324</v>
      </c>
      <c r="C101" s="60">
        <v>14</v>
      </c>
      <c r="D101" s="60">
        <v>12</v>
      </c>
      <c r="E101" s="51">
        <v>0.8</v>
      </c>
      <c r="F101" s="51"/>
      <c r="G101" s="51"/>
      <c r="H101" s="51">
        <v>0.2</v>
      </c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80</v>
      </c>
      <c r="B102" s="50">
        <v>330</v>
      </c>
      <c r="C102" s="60">
        <v>15</v>
      </c>
      <c r="D102" s="50">
        <v>330</v>
      </c>
      <c r="E102" s="54">
        <v>0.8</v>
      </c>
      <c r="F102" s="54"/>
      <c r="G102" s="54"/>
      <c r="H102" s="54">
        <v>0.2</v>
      </c>
      <c r="I102" s="53">
        <f t="shared" si="3"/>
        <v>3.6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8"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rouge d'Amérique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Erable plane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Noyer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251.05216782177348</v>
      </c>
      <c r="T3" s="59">
        <f>IF('Données projet'!E9&gt;30,$R$33-$H$33,LOOKUP('Données projet'!$E$9,$A$3:$A$203,R3:R203)-LOOKUP('Données projet'!$E$9,$A$3:$A$203,$H$3:$H$203))</f>
        <v>247.96048911281406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219.43439115440339</v>
      </c>
      <c r="AO3" s="59">
        <f>IF('Données projet'!E10&gt;30,$AM$33-$H$33,LOOKUP('Données projet'!$E$10,$A$3:$A$203,AM3:AM203)-LOOKUP('Données projet'!$E$10,$A$3:$A$203,$H$3:$H$203))</f>
        <v>217.8880462742099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279.89725537926205</v>
      </c>
      <c r="BJ3" s="59">
        <f>IF('Données projet'!E11&gt;30,$BH$33-$H$33,LOOKUP('Données projet'!$E$11,$A$3:$A$203,BH3:BH203)-LOOKUP('Données projet'!$E$11,$A$3:$A$203,$H$3:$H$203))</f>
        <v>276.69392352410654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</v>
      </c>
      <c r="N4" s="13">
        <f>IF('Données projet'!$A$36&gt;35,N3+M4-V3,IF(A4&lt;'Données projet'!$A$36,$K$205^A4,IF(A4='Données projet'!$A$36,'Données projet'!$B$36,N3+M4-V3)))</f>
        <v>1.4003603312913959</v>
      </c>
      <c r="O4" s="13">
        <f>N4*VLOOKUP('Données projet'!$B$9,Paramètres!$A$1:$I$89,3,0)*VLOOKUP('Données projet'!$B$9,Paramètres!$A$1:$I$89,5,0)</f>
        <v>1.2233547854161635</v>
      </c>
      <c r="P4" s="13">
        <f>EXP(-1.0587+0.8836*LN(O4)+0.284)</f>
        <v>0.55069785861405296</v>
      </c>
      <c r="Q4" s="20">
        <f t="shared" ref="Q4:Q34" si="2">(O4+P4)*0.475*44/12</f>
        <v>3.0898083550192936</v>
      </c>
      <c r="R4" s="59">
        <f t="shared" si="0"/>
        <v>296.42314168835259</v>
      </c>
      <c r="S4" s="59">
        <f ca="1">AVERAGE(OFFSET($R$3,0,0,'Données projet'!$E$9+1,1))-AVERAGE(OFFSET($H$3,0,0,'Données projet'!$E$9+1,1))</f>
        <v>251.05216782177348</v>
      </c>
      <c r="T4" s="59">
        <f>$T$3</f>
        <v>247.96048911281406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2.4666666666666668</v>
      </c>
      <c r="AI4" s="13">
        <f>IF('Données projet'!$A$62&gt;35,AI3+AH4-AQ3,IF(A4&lt;'Données projet'!$A$62,$AF$205^A4,IF(A4='Données projet'!$A$62,'Données projet'!$B$62,AI3+AH4-AQ3)))</f>
        <v>1.2721747796233518</v>
      </c>
      <c r="AJ4" s="13">
        <f>AI4*VLOOKUP('Données projet'!$B$10,Paramètres!$A$1:$I$89,3,0)*VLOOKUP('Données projet'!$B$10,Paramètres!$A$1:$I$89,5,0)</f>
        <v>1.0121422546683387</v>
      </c>
      <c r="AK4" s="13">
        <f>EXP(-1.0587+0.8836*LN(AJ4)+0.284)</f>
        <v>0.46578286063395047</v>
      </c>
      <c r="AL4" s="20">
        <f t="shared" ref="AL4:AL67" si="4">(AJ4+AK4)*0.475*44/12</f>
        <v>2.574052909151487</v>
      </c>
      <c r="AM4" s="59">
        <f t="shared" ref="AM4:AM67" si="5">AL4+(AD4+AE4)*44/12</f>
        <v>295.90738624248479</v>
      </c>
      <c r="AN4" s="59">
        <f ca="1">AVERAGE(OFFSET($AM$3,0,0,'Données projet'!$E$10+1,1))-AVERAGE(OFFSET($H$3,0,0,'Données projet'!$E$10+1,1))</f>
        <v>219.43439115440339</v>
      </c>
      <c r="AO4" s="59">
        <f>$AO$3</f>
        <v>217.8880462742099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1.0310202862584663</v>
      </c>
      <c r="BF4" s="13">
        <f>EXP(-1.0587+0.8836*LN(BE4)+0.284)</f>
        <v>0.47345092792653765</v>
      </c>
      <c r="BG4" s="20">
        <f t="shared" ref="BG4:BG67" si="7">(BE4+BF4)*0.475*44/12</f>
        <v>2.6202873647055487</v>
      </c>
      <c r="BH4" s="59">
        <f t="shared" ref="BH4:BH67" si="8">BG4+(AY4+AZ4)*44/12</f>
        <v>295.95362069803889</v>
      </c>
      <c r="BI4" s="59">
        <f ca="1">AVERAGE(OFFSET($BH$3,0,0,'Données projet'!$E$11+1,1))-AVERAGE(OFFSET($H$3,0,0,'Données projet'!$E$11+1,1))</f>
        <v>279.89725537926205</v>
      </c>
      <c r="BJ4" s="59">
        <f>$BJ$3</f>
        <v>276.69392352410654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</v>
      </c>
      <c r="N5" s="13">
        <f>IF('Données projet'!$A$36&gt;35,N4+M5-V4,IF(A5&lt;'Données projet'!$A$36,$K$205^A5,IF(A5='Données projet'!$A$36,'Données projet'!$B$36,N4+M5-V4)))</f>
        <v>1.9610090574545482</v>
      </c>
      <c r="O5" s="13">
        <f>N5*VLOOKUP('Données projet'!$B$9,Paramètres!$A$1:$I$89,3,0)*VLOOKUP('Données projet'!$B$9,Paramètres!$A$1:$I$89,5,0)</f>
        <v>1.7131375125922934</v>
      </c>
      <c r="P5" s="13">
        <f t="shared" ref="P5:P68" si="33">EXP(-1.0587+0.8836*LN(O5)+0.284)</f>
        <v>0.74153366912094132</v>
      </c>
      <c r="Q5" s="20">
        <f t="shared" si="2"/>
        <v>4.2752189748172169</v>
      </c>
      <c r="R5" s="59">
        <f t="shared" si="0"/>
        <v>297.60855230815054</v>
      </c>
      <c r="S5" s="59">
        <f ca="1">AVERAGE(OFFSET($R$3,0,0,'Données projet'!$E$9+1,1))-AVERAGE(OFFSET($H$3,0,0,'Données projet'!$E$9+1,1))</f>
        <v>251.05216782177348</v>
      </c>
      <c r="T5" s="59">
        <f t="shared" ref="T5:T68" si="34">$T$3</f>
        <v>247.96048911281406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2.4666666666666668</v>
      </c>
      <c r="AI5" s="13">
        <f>IF('Données projet'!$A$62&gt;35,AI4+AH5-AQ4,IF(A5&lt;'Données projet'!$A$62,$AF$205^A5,IF(A5='Données projet'!$A$62,'Données projet'!$B$62,AI4+AH5-AQ4)))</f>
        <v>1.6184286699097237</v>
      </c>
      <c r="AJ5" s="13">
        <f>AI5*VLOOKUP('Données projet'!$B$10,Paramètres!$A$1:$I$89,3,0)*VLOOKUP('Données projet'!$B$10,Paramètres!$A$1:$I$89,5,0)</f>
        <v>1.2876218497801761</v>
      </c>
      <c r="AK5" s="13">
        <f t="shared" ref="AK5:AK68" si="35">EXP(-1.0587+0.8836*LN(AJ5)+0.284)</f>
        <v>0.57618379541883336</v>
      </c>
      <c r="AL5" s="20">
        <f t="shared" si="4"/>
        <v>3.2461281653882743</v>
      </c>
      <c r="AM5" s="59">
        <f t="shared" si="5"/>
        <v>296.57946149872157</v>
      </c>
      <c r="AN5" s="59">
        <f ca="1">AVERAGE(OFFSET($AM$3,0,0,'Données projet'!$E$10+1,1))-AVERAGE(OFFSET($H$3,0,0,'Données projet'!$E$10+1,1))</f>
        <v>219.43439115440339</v>
      </c>
      <c r="AO5" s="59">
        <f t="shared" ref="AO5:AO68" si="36">$AO$3</f>
        <v>217.8880462742099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1.310407828743207</v>
      </c>
      <c r="BF5" s="13">
        <f t="shared" ref="BF5:BF68" si="37">EXP(-1.0587+0.8836*LN(BE5)+0.284)</f>
        <v>0.58518398183877263</v>
      </c>
      <c r="BG5" s="20">
        <f t="shared" si="7"/>
        <v>3.3014890700969475</v>
      </c>
      <c r="BH5" s="59">
        <f t="shared" si="8"/>
        <v>296.63482240343023</v>
      </c>
      <c r="BI5" s="59">
        <f ca="1">AVERAGE(OFFSET($BH$3,0,0,'Données projet'!$E$11+1,1))-AVERAGE(OFFSET($H$3,0,0,'Données projet'!$E$11+1,1))</f>
        <v>279.89725537926205</v>
      </c>
      <c r="BJ5" s="59">
        <f t="shared" ref="BJ5:BJ68" si="38">$BJ$3</f>
        <v>276.69392352410654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</v>
      </c>
      <c r="N6" s="13">
        <f>IF('Données projet'!$A$36&gt;35,N5+M6-V5,IF(A6&lt;'Données projet'!$A$36,$K$205^A6,IF(A6='Données projet'!$A$36,'Données projet'!$B$36,N5+M6-V5)))</f>
        <v>2.7461192933624794</v>
      </c>
      <c r="O6" s="13">
        <f>N6*VLOOKUP('Données projet'!$B$9,Paramètres!$A$1:$I$89,3,0)*VLOOKUP('Données projet'!$B$9,Paramètres!$A$1:$I$89,5,0)</f>
        <v>2.3990098146814622</v>
      </c>
      <c r="P6" s="13">
        <f t="shared" si="33"/>
        <v>0.99850067298942213</v>
      </c>
      <c r="Q6" s="20">
        <f t="shared" si="2"/>
        <v>5.9173307660267902</v>
      </c>
      <c r="R6" s="59">
        <f t="shared" si="0"/>
        <v>299.25066409936011</v>
      </c>
      <c r="S6" s="59">
        <f ca="1">AVERAGE(OFFSET($R$3,0,0,'Données projet'!$E$9+1,1))-AVERAGE(OFFSET($H$3,0,0,'Données projet'!$E$9+1,1))</f>
        <v>251.05216782177348</v>
      </c>
      <c r="T6" s="59">
        <f t="shared" si="34"/>
        <v>247.96048911281406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2.4666666666666668</v>
      </c>
      <c r="AI6" s="13">
        <f>IF('Données projet'!$A$62&gt;35,AI5+AH6-AQ5,IF(A6&lt;'Données projet'!$A$62,$AF$205^A6,IF(A6='Données projet'!$A$62,'Données projet'!$B$62,AI5+AH6-AQ5)))</f>
        <v>2.0589241364785171</v>
      </c>
      <c r="AJ6" s="13">
        <f>AI6*VLOOKUP('Données projet'!$B$10,Paramètres!$A$1:$I$89,3,0)*VLOOKUP('Données projet'!$B$10,Paramètres!$A$1:$I$89,5,0)</f>
        <v>1.6380800429823084</v>
      </c>
      <c r="AK6" s="13">
        <f t="shared" si="35"/>
        <v>0.71275221602487127</v>
      </c>
      <c r="AL6" s="20">
        <f t="shared" si="4"/>
        <v>4.0943661844375043</v>
      </c>
      <c r="AM6" s="59">
        <f t="shared" si="5"/>
        <v>297.4276995177708</v>
      </c>
      <c r="AN6" s="59">
        <f ca="1">AVERAGE(OFFSET($AM$3,0,0,'Données projet'!$E$10+1,1))-AVERAGE(OFFSET($H$3,0,0,'Données projet'!$E$10+1,1))</f>
        <v>219.43439115440339</v>
      </c>
      <c r="AO6" s="59">
        <f t="shared" si="36"/>
        <v>217.8880462742099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1.6655042587600553</v>
      </c>
      <c r="BF6" s="13">
        <f t="shared" si="37"/>
        <v>0.72328571431972233</v>
      </c>
      <c r="BG6" s="20">
        <f t="shared" si="7"/>
        <v>4.1604758697806128</v>
      </c>
      <c r="BH6" s="59">
        <f t="shared" si="8"/>
        <v>297.49380920311393</v>
      </c>
      <c r="BI6" s="59">
        <f ca="1">AVERAGE(OFFSET($BH$3,0,0,'Données projet'!$E$11+1,1))-AVERAGE(OFFSET($H$3,0,0,'Données projet'!$E$11+1,1))</f>
        <v>279.89725537926205</v>
      </c>
      <c r="BJ6" s="59">
        <f t="shared" si="38"/>
        <v>276.69392352410654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</v>
      </c>
      <c r="N7" s="13">
        <f>IF('Données projet'!$A$36&gt;35,N6+M7-V6,IF(A7&lt;'Données projet'!$A$36,$K$205^A7,IF(A7='Données projet'!$A$36,'Données projet'!$B$36,N6+M7-V6)))</f>
        <v>3.8455565234187756</v>
      </c>
      <c r="O7" s="13">
        <f>N7*VLOOKUP('Données projet'!$B$9,Paramètres!$A$1:$I$89,3,0)*VLOOKUP('Données projet'!$B$9,Paramètres!$A$1:$I$89,5,0)</f>
        <v>3.3594781788586427</v>
      </c>
      <c r="P7" s="13">
        <f t="shared" si="33"/>
        <v>1.3445156106562728</v>
      </c>
      <c r="Q7" s="20">
        <f t="shared" si="2"/>
        <v>8.1927891834051447</v>
      </c>
      <c r="R7" s="59">
        <f t="shared" si="0"/>
        <v>301.52612251673844</v>
      </c>
      <c r="S7" s="59">
        <f ca="1">AVERAGE(OFFSET($R$3,0,0,'Données projet'!$E$9+1,1))-AVERAGE(OFFSET($H$3,0,0,'Données projet'!$E$9+1,1))</f>
        <v>251.05216782177348</v>
      </c>
      <c r="T7" s="59">
        <f t="shared" si="34"/>
        <v>247.96048911281406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2.4666666666666668</v>
      </c>
      <c r="AI7" s="13">
        <f>IF('Données projet'!$A$62&gt;35,AI6+AH7-AQ6,IF(A7&lt;'Données projet'!$A$62,$AF$205^A7,IF(A7='Données projet'!$A$62,'Données projet'!$B$62,AI6+AH7-AQ6)))</f>
        <v>2.6193113595857573</v>
      </c>
      <c r="AJ7" s="13">
        <f>AI7*VLOOKUP('Données projet'!$B$10,Paramètres!$A$1:$I$89,3,0)*VLOOKUP('Données projet'!$B$10,Paramètres!$A$1:$I$89,5,0)</f>
        <v>2.0839241176864287</v>
      </c>
      <c r="AK7" s="13">
        <f t="shared" si="35"/>
        <v>0.88169040068036508</v>
      </c>
      <c r="AL7" s="20">
        <f t="shared" si="4"/>
        <v>5.1651119528221656</v>
      </c>
      <c r="AM7" s="59">
        <f t="shared" si="5"/>
        <v>298.49844528615546</v>
      </c>
      <c r="AN7" s="59">
        <f ca="1">AVERAGE(OFFSET($AM$3,0,0,'Données projet'!$E$10+1,1))-AVERAGE(OFFSET($H$3,0,0,'Données projet'!$E$10+1,1))</f>
        <v>219.43439115440339</v>
      </c>
      <c r="AO7" s="59">
        <f t="shared" si="36"/>
        <v>217.8880462742099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2.116825292938223</v>
      </c>
      <c r="BF7" s="13">
        <f t="shared" si="37"/>
        <v>0.89397905748405238</v>
      </c>
      <c r="BG7" s="20">
        <f t="shared" si="7"/>
        <v>5.2438175769854629</v>
      </c>
      <c r="BH7" s="59">
        <f t="shared" si="8"/>
        <v>298.57715091031878</v>
      </c>
      <c r="BI7" s="59">
        <f ca="1">AVERAGE(OFFSET($BH$3,0,0,'Données projet'!$E$11+1,1))-AVERAGE(OFFSET($H$3,0,0,'Données projet'!$E$11+1,1))</f>
        <v>279.89725537926205</v>
      </c>
      <c r="BJ7" s="59">
        <f t="shared" si="38"/>
        <v>276.69392352410654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</v>
      </c>
      <c r="N8" s="13">
        <f>IF('Données projet'!$A$36&gt;35,N7+M8-V7,IF(A8&lt;'Données projet'!$A$36,$K$205^A8,IF(A8='Données projet'!$A$36,'Données projet'!$B$36,N7+M8-V7)))</f>
        <v>5.3851648071345055</v>
      </c>
      <c r="O8" s="13">
        <f>N8*VLOOKUP('Données projet'!$B$9,Paramètres!$A$1:$I$89,3,0)*VLOOKUP('Données projet'!$B$9,Paramètres!$A$1:$I$89,5,0)</f>
        <v>4.7044799755127045</v>
      </c>
      <c r="P8" s="13">
        <f t="shared" si="33"/>
        <v>1.8104366638895204</v>
      </c>
      <c r="Q8" s="20">
        <f t="shared" si="2"/>
        <v>11.346813146958874</v>
      </c>
      <c r="R8" s="59">
        <f t="shared" si="0"/>
        <v>304.68014648029219</v>
      </c>
      <c r="S8" s="59">
        <f ca="1">AVERAGE(OFFSET($R$3,0,0,'Données projet'!$E$9+1,1))-AVERAGE(OFFSET($H$3,0,0,'Données projet'!$E$9+1,1))</f>
        <v>251.05216782177348</v>
      </c>
      <c r="T8" s="59">
        <f t="shared" si="34"/>
        <v>247.96048911281406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2.4666666666666668</v>
      </c>
      <c r="AI8" s="13">
        <f>IF('Données projet'!$A$62&gt;35,AI7+AH8-AQ7,IF(A8&lt;'Données projet'!$A$62,$AF$205^A8,IF(A8='Données projet'!$A$62,'Données projet'!$B$62,AI7+AH8-AQ7)))</f>
        <v>3.332221851645953</v>
      </c>
      <c r="AJ8" s="13">
        <f>AI8*VLOOKUP('Données projet'!$B$10,Paramètres!$A$1:$I$89,3,0)*VLOOKUP('Données projet'!$B$10,Paramètres!$A$1:$I$89,5,0)</f>
        <v>2.6511157051695204</v>
      </c>
      <c r="AK8" s="13">
        <f t="shared" si="35"/>
        <v>1.0906707059957799</v>
      </c>
      <c r="AL8" s="20">
        <f t="shared" si="4"/>
        <v>6.5169446661128978</v>
      </c>
      <c r="AM8" s="59">
        <f t="shared" si="5"/>
        <v>299.85027799944623</v>
      </c>
      <c r="AN8" s="59">
        <f ca="1">AVERAGE(OFFSET($AM$3,0,0,'Données projet'!$E$10+1,1))-AVERAGE(OFFSET($H$3,0,0,'Données projet'!$E$10+1,1))</f>
        <v>219.43439115440339</v>
      </c>
      <c r="AO8" s="59">
        <f t="shared" si="36"/>
        <v>217.8880462742099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2.690446029936302</v>
      </c>
      <c r="BF8" s="13">
        <f t="shared" si="37"/>
        <v>1.1049555374832079</v>
      </c>
      <c r="BG8" s="20">
        <f t="shared" si="7"/>
        <v>6.6103243965889789</v>
      </c>
      <c r="BH8" s="59">
        <f t="shared" si="8"/>
        <v>299.94365772992228</v>
      </c>
      <c r="BI8" s="59">
        <f ca="1">AVERAGE(OFFSET($BH$3,0,0,'Données projet'!$E$11+1,1))-AVERAGE(OFFSET($H$3,0,0,'Données projet'!$E$11+1,1))</f>
        <v>279.89725537926205</v>
      </c>
      <c r="BJ8" s="59">
        <f t="shared" si="38"/>
        <v>276.69392352410654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</v>
      </c>
      <c r="N9" s="13">
        <f>IF('Données projet'!$A$36&gt;35,N8+M9-V8,IF(A9&lt;'Données projet'!$A$36,$K$205^A9,IF(A9='Données projet'!$A$36,'Données projet'!$B$36,N8+M9-V8)))</f>
        <v>7.5411711733776423</v>
      </c>
      <c r="O9" s="13">
        <f>N9*VLOOKUP('Données projet'!$B$9,Paramètres!$A$1:$I$89,3,0)*VLOOKUP('Données projet'!$B$9,Paramètres!$A$1:$I$89,5,0)</f>
        <v>6.5879671370627086</v>
      </c>
      <c r="P9" s="13">
        <f t="shared" si="33"/>
        <v>2.4378154392387783</v>
      </c>
      <c r="Q9" s="20">
        <f t="shared" si="2"/>
        <v>15.71990465372509</v>
      </c>
      <c r="R9" s="59">
        <f t="shared" si="0"/>
        <v>309.05323798705842</v>
      </c>
      <c r="S9" s="59">
        <f ca="1">AVERAGE(OFFSET($R$3,0,0,'Données projet'!$E$9+1,1))-AVERAGE(OFFSET($H$3,0,0,'Données projet'!$E$9+1,1))</f>
        <v>251.05216782177348</v>
      </c>
      <c r="T9" s="59">
        <f t="shared" si="34"/>
        <v>247.96048911281406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2.4666666666666668</v>
      </c>
      <c r="AI9" s="13">
        <f>IF('Données projet'!$A$62&gt;35,AI8+AH9-AQ8,IF(A9&lt;'Données projet'!$A$62,$AF$205^A9,IF(A9='Données projet'!$A$62,'Données projet'!$B$62,AI8+AH9-AQ8)))</f>
        <v>4.2391685997738069</v>
      </c>
      <c r="AJ9" s="13">
        <f>AI9*VLOOKUP('Données projet'!$B$10,Paramètres!$A$1:$I$89,3,0)*VLOOKUP('Données projet'!$B$10,Paramètres!$A$1:$I$89,5,0)</f>
        <v>3.3726825379800407</v>
      </c>
      <c r="AK9" s="13">
        <f t="shared" si="35"/>
        <v>1.3491840083541735</v>
      </c>
      <c r="AL9" s="20">
        <f t="shared" si="4"/>
        <v>8.2239175681987557</v>
      </c>
      <c r="AM9" s="59">
        <f t="shared" si="5"/>
        <v>301.55725090153209</v>
      </c>
      <c r="AN9" s="59">
        <f ca="1">AVERAGE(OFFSET($AM$3,0,0,'Données projet'!$E$10+1,1))-AVERAGE(OFFSET($H$3,0,0,'Données projet'!$E$10+1,1))</f>
        <v>219.43439115440339</v>
      </c>
      <c r="AO9" s="59">
        <f t="shared" si="36"/>
        <v>217.8880462742099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3.4195074407641517</v>
      </c>
      <c r="BF9" s="13">
        <f t="shared" si="37"/>
        <v>1.3657218584637647</v>
      </c>
      <c r="BG9" s="20">
        <f t="shared" si="7"/>
        <v>8.3342743628219527</v>
      </c>
      <c r="BH9" s="59">
        <f t="shared" si="8"/>
        <v>301.66760769615524</v>
      </c>
      <c r="BI9" s="59">
        <f ca="1">AVERAGE(OFFSET($BH$3,0,0,'Données projet'!$E$11+1,1))-AVERAGE(OFFSET($H$3,0,0,'Données projet'!$E$11+1,1))</f>
        <v>279.89725537926205</v>
      </c>
      <c r="BJ9" s="59">
        <f t="shared" si="38"/>
        <v>276.69392352410654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</v>
      </c>
      <c r="N10" s="13">
        <f>IF('Données projet'!$A$36&gt;35,N9+M10-V9,IF(A10&lt;'Données projet'!$A$36,$K$205^A10,IF(A10='Données projet'!$A$36,'Données projet'!$B$36,N9+M10-V9)))</f>
        <v>10.560356962676241</v>
      </c>
      <c r="O10" s="13">
        <f>N10*VLOOKUP('Données projet'!$B$9,Paramètres!$A$1:$I$89,3,0)*VLOOKUP('Données projet'!$B$9,Paramètres!$A$1:$I$89,5,0)</f>
        <v>9.2255278425939657</v>
      </c>
      <c r="P10" s="13">
        <f t="shared" si="33"/>
        <v>3.282602608711652</v>
      </c>
      <c r="Q10" s="20">
        <f t="shared" si="2"/>
        <v>21.784993869357283</v>
      </c>
      <c r="R10" s="59">
        <f t="shared" si="0"/>
        <v>315.11832720269058</v>
      </c>
      <c r="S10" s="59">
        <f ca="1">AVERAGE(OFFSET($R$3,0,0,'Données projet'!$E$9+1,1))-AVERAGE(OFFSET($H$3,0,0,'Données projet'!$E$9+1,1))</f>
        <v>251.05216782177348</v>
      </c>
      <c r="T10" s="59">
        <f t="shared" si="34"/>
        <v>247.96048911281406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2.4666666666666668</v>
      </c>
      <c r="AI10" s="13">
        <f>IF('Données projet'!$A$62&gt;35,AI9+AH10-AQ9,IF(A10&lt;'Données projet'!$A$62,$AF$205^A10,IF(A10='Données projet'!$A$62,'Données projet'!$B$62,AI9+AH10-AQ9)))</f>
        <v>5.3929633792034757</v>
      </c>
      <c r="AJ10" s="13">
        <f>AI10*VLOOKUP('Données projet'!$B$10,Paramètres!$A$1:$I$89,3,0)*VLOOKUP('Données projet'!$B$10,Paramètres!$A$1:$I$89,5,0)</f>
        <v>4.2906416644942853</v>
      </c>
      <c r="AK10" s="13">
        <f t="shared" si="35"/>
        <v>1.6689707336887791</v>
      </c>
      <c r="AL10" s="20">
        <f t="shared" si="4"/>
        <v>10.379658260168837</v>
      </c>
      <c r="AM10" s="59">
        <f t="shared" si="5"/>
        <v>303.71299159350212</v>
      </c>
      <c r="AN10" s="59">
        <f ca="1">AVERAGE(OFFSET($AM$3,0,0,'Données projet'!$E$10+1,1))-AVERAGE(OFFSET($H$3,0,0,'Données projet'!$E$10+1,1))</f>
        <v>219.43439115440339</v>
      </c>
      <c r="AO10" s="59">
        <f t="shared" si="36"/>
        <v>217.8880462742099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4.3461310902855157</v>
      </c>
      <c r="BF10" s="13">
        <f t="shared" si="37"/>
        <v>1.6880282793406653</v>
      </c>
      <c r="BG10" s="20">
        <f t="shared" si="7"/>
        <v>10.509494235432264</v>
      </c>
      <c r="BH10" s="59">
        <f t="shared" si="8"/>
        <v>303.84282756876559</v>
      </c>
      <c r="BI10" s="59">
        <f ca="1">AVERAGE(OFFSET($BH$3,0,0,'Données projet'!$E$11+1,1))-AVERAGE(OFFSET($H$3,0,0,'Données projet'!$E$11+1,1))</f>
        <v>279.89725537926205</v>
      </c>
      <c r="BJ10" s="59">
        <f t="shared" si="38"/>
        <v>276.69392352410654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</v>
      </c>
      <c r="N11" s="13">
        <f>IF('Données projet'!$A$36&gt;35,N10+M11-V10,IF(A11&lt;'Données projet'!$A$36,$K$205^A11,IF(A11='Données projet'!$A$36,'Données projet'!$B$36,N10+M11-V10)))</f>
        <v>14.7883049748087</v>
      </c>
      <c r="O11" s="13">
        <f>N11*VLOOKUP('Données projet'!$B$9,Paramètres!$A$1:$I$89,3,0)*VLOOKUP('Données projet'!$B$9,Paramètres!$A$1:$I$89,5,0)</f>
        <v>12.919063225992881</v>
      </c>
      <c r="P11" s="13">
        <f t="shared" si="33"/>
        <v>4.4201376828121335</v>
      </c>
      <c r="Q11" s="20">
        <f t="shared" si="2"/>
        <v>30.199108249502064</v>
      </c>
      <c r="R11" s="59">
        <f t="shared" si="0"/>
        <v>323.53244158283536</v>
      </c>
      <c r="S11" s="59">
        <f ca="1">AVERAGE(OFFSET($R$3,0,0,'Données projet'!$E$9+1,1))-AVERAGE(OFFSET($H$3,0,0,'Données projet'!$E$9+1,1))</f>
        <v>251.05216782177348</v>
      </c>
      <c r="T11" s="59">
        <f t="shared" si="34"/>
        <v>247.96048911281406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2.4666666666666668</v>
      </c>
      <c r="AI11" s="13">
        <f>IF('Données projet'!$A$62&gt;35,AI10+AH11-AQ10,IF(A11&lt;'Données projet'!$A$62,$AF$205^A11,IF(A11='Données projet'!$A$62,'Données projet'!$B$62,AI10+AH11-AQ10)))</f>
        <v>6.8607919984549888</v>
      </c>
      <c r="AJ11" s="13">
        <f>AI11*VLOOKUP('Données projet'!$B$10,Paramètres!$A$1:$I$89,3,0)*VLOOKUP('Données projet'!$B$10,Paramètres!$A$1:$I$89,5,0)</f>
        <v>5.4584461139707896</v>
      </c>
      <c r="AK11" s="13">
        <f t="shared" si="35"/>
        <v>2.0645540509389519</v>
      </c>
      <c r="AL11" s="20">
        <f t="shared" si="4"/>
        <v>13.102558620551131</v>
      </c>
      <c r="AM11" s="59">
        <f t="shared" si="5"/>
        <v>306.43589195388444</v>
      </c>
      <c r="AN11" s="59">
        <f ca="1">AVERAGE(OFFSET($AM$3,0,0,'Données projet'!$E$10+1,1))-AVERAGE(OFFSET($H$3,0,0,'Données projet'!$E$10+1,1))</f>
        <v>219.43439115440339</v>
      </c>
      <c r="AO11" s="59">
        <f t="shared" si="36"/>
        <v>217.8880462742099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5.5238527130460966</v>
      </c>
      <c r="BF11" s="13">
        <f t="shared" si="37"/>
        <v>2.0863980862538192</v>
      </c>
      <c r="BG11" s="20">
        <f t="shared" si="7"/>
        <v>13.25452014211402</v>
      </c>
      <c r="BH11" s="59">
        <f t="shared" si="8"/>
        <v>306.58785347544733</v>
      </c>
      <c r="BI11" s="59">
        <f ca="1">AVERAGE(OFFSET($BH$3,0,0,'Données projet'!$E$11+1,1))-AVERAGE(OFFSET($H$3,0,0,'Données projet'!$E$11+1,1))</f>
        <v>279.89725537926205</v>
      </c>
      <c r="BJ11" s="59">
        <f t="shared" si="38"/>
        <v>276.69392352410654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</v>
      </c>
      <c r="N12" s="13">
        <f>IF('Données projet'!$A$36&gt;35,N11+M12-V11,IF(A12&lt;'Données projet'!$A$36,$K$205^A12,IF(A12='Données projet'!$A$36,'Données projet'!$B$36,N11+M12-V11)))</f>
        <v>20.708955653761308</v>
      </c>
      <c r="O12" s="13">
        <f>N12*VLOOKUP('Données projet'!$B$9,Paramètres!$A$1:$I$89,3,0)*VLOOKUP('Données projet'!$B$9,Paramètres!$A$1:$I$89,5,0)</f>
        <v>18.091343659125879</v>
      </c>
      <c r="P12" s="13">
        <f t="shared" si="33"/>
        <v>5.9518679121149844</v>
      </c>
      <c r="Q12" s="20">
        <f t="shared" si="2"/>
        <v>41.875260153244504</v>
      </c>
      <c r="R12" s="59">
        <f t="shared" si="0"/>
        <v>335.2085934865778</v>
      </c>
      <c r="S12" s="59">
        <f ca="1">AVERAGE(OFFSET($R$3,0,0,'Données projet'!$E$9+1,1))-AVERAGE(OFFSET($H$3,0,0,'Données projet'!$E$9+1,1))</f>
        <v>251.05216782177348</v>
      </c>
      <c r="T12" s="59">
        <f t="shared" si="34"/>
        <v>247.96048911281406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2.4666666666666668</v>
      </c>
      <c r="AI12" s="13">
        <f>IF('Données projet'!$A$62&gt;35,AI11+AH12-AQ11,IF(A12&lt;'Données projet'!$A$62,$AF$205^A12,IF(A12='Données projet'!$A$62,'Données projet'!$B$62,AI11+AH12-AQ11)))</f>
        <v>8.7281265486761299</v>
      </c>
      <c r="AJ12" s="13">
        <f>AI12*VLOOKUP('Données projet'!$B$10,Paramètres!$A$1:$I$89,3,0)*VLOOKUP('Données projet'!$B$10,Paramètres!$A$1:$I$89,5,0)</f>
        <v>6.9440974821267289</v>
      </c>
      <c r="AK12" s="13">
        <f t="shared" si="35"/>
        <v>2.5538994442566798</v>
      </c>
      <c r="AL12" s="20">
        <f t="shared" si="4"/>
        <v>16.542344646784436</v>
      </c>
      <c r="AM12" s="59">
        <f t="shared" si="5"/>
        <v>309.87567798011776</v>
      </c>
      <c r="AN12" s="59">
        <f ca="1">AVERAGE(OFFSET($AM$3,0,0,'Données projet'!$E$10+1,1))-AVERAGE(OFFSET($H$3,0,0,'Données projet'!$E$10+1,1))</f>
        <v>219.43439115440339</v>
      </c>
      <c r="AO12" s="59">
        <f t="shared" si="36"/>
        <v>217.8880462742099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7.0207152434102458</v>
      </c>
      <c r="BF12" s="13">
        <f t="shared" si="37"/>
        <v>2.5787820189978565</v>
      </c>
      <c r="BG12" s="20">
        <f t="shared" si="7"/>
        <v>16.71912439869411</v>
      </c>
      <c r="BH12" s="59">
        <f t="shared" si="8"/>
        <v>310.05245773202745</v>
      </c>
      <c r="BI12" s="59">
        <f ca="1">AVERAGE(OFFSET($BH$3,0,0,'Données projet'!$E$11+1,1))-AVERAGE(OFFSET($H$3,0,0,'Données projet'!$E$11+1,1))</f>
        <v>279.89725537926205</v>
      </c>
      <c r="BJ12" s="59">
        <f t="shared" si="38"/>
        <v>276.69392352410654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29</v>
      </c>
      <c r="L13" s="12">
        <f>VLOOKUP(A13,'Données projet'!$A$35:$I$55,9,0)</f>
        <v>2.9</v>
      </c>
      <c r="M13" s="12">
        <f t="array" ref="M13">INDEX(L:L,MIN(IF(ISNUMBER(L13:L209),ROW(L13:L209),"")))</f>
        <v>2.9</v>
      </c>
      <c r="N13" s="13">
        <f>IF('Données projet'!$A$36&gt;35,N12+M13-V12,IF(A13&lt;'Données projet'!$A$36,$K$205^A13,IF(A13='Données projet'!$A$36,'Données projet'!$B$36,N12+M13-V12)))</f>
        <v>29</v>
      </c>
      <c r="O13" s="13">
        <f>N13*VLOOKUP('Données projet'!$B$9,Paramètres!$A$1:$I$89,3,0)*VLOOKUP('Données projet'!$B$9,Paramètres!$A$1:$I$89,5,0)</f>
        <v>25.334400000000002</v>
      </c>
      <c r="P13" s="13">
        <f t="shared" si="33"/>
        <v>8.0143955200794572</v>
      </c>
      <c r="Q13" s="20">
        <f t="shared" si="2"/>
        <v>58.082485530805059</v>
      </c>
      <c r="R13" s="59">
        <f t="shared" si="0"/>
        <v>351.41581886413837</v>
      </c>
      <c r="S13" s="59">
        <f ca="1">AVERAGE(OFFSET($R$3,0,0,'Données projet'!$E$9+1,1))-AVERAGE(OFFSET($H$3,0,0,'Données projet'!$E$9+1,1))</f>
        <v>251.05216782177348</v>
      </c>
      <c r="T13" s="59">
        <f t="shared" si="34"/>
        <v>247.96048911281406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2.4666666666666668</v>
      </c>
      <c r="AI13" s="13">
        <f>IF('Données projet'!$A$62&gt;35,AI12+AH13-AQ12,IF(A13&lt;'Données projet'!$A$62,$AF$205^A13,IF(A13='Données projet'!$A$62,'Données projet'!$B$62,AI12+AH13-AQ12)))</f>
        <v>11.103702468586782</v>
      </c>
      <c r="AJ13" s="13">
        <f>AI13*VLOOKUP('Données projet'!$B$10,Paramètres!$A$1:$I$89,3,0)*VLOOKUP('Données projet'!$B$10,Paramètres!$A$1:$I$89,5,0)</f>
        <v>8.8341056840076444</v>
      </c>
      <c r="AK13" s="13">
        <f t="shared" si="35"/>
        <v>3.1592306185484516</v>
      </c>
      <c r="AL13" s="20">
        <f t="shared" si="4"/>
        <v>20.888394060285197</v>
      </c>
      <c r="AM13" s="59">
        <f t="shared" si="5"/>
        <v>314.22172739361849</v>
      </c>
      <c r="AN13" s="59">
        <f ca="1">AVERAGE(OFFSET($AM$3,0,0,'Données projet'!$E$10+1,1))-AVERAGE(OFFSET($H$3,0,0,'Données projet'!$E$10+1,1))</f>
        <v>219.43439115440339</v>
      </c>
      <c r="AO13" s="59">
        <f t="shared" si="36"/>
        <v>217.8880462742099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8.9232000000000014</v>
      </c>
      <c r="BF13" s="13">
        <f t="shared" si="37"/>
        <v>3.187367140202428</v>
      </c>
      <c r="BG13" s="20">
        <f t="shared" si="7"/>
        <v>21.092571102519226</v>
      </c>
      <c r="BH13" s="59">
        <f t="shared" si="8"/>
        <v>314.42590443585254</v>
      </c>
      <c r="BI13" s="59">
        <f ca="1">AVERAGE(OFFSET($BH$3,0,0,'Données projet'!$E$11+1,1))-AVERAGE(OFFSET($H$3,0,0,'Données projet'!$E$11+1,1))</f>
        <v>279.89725537926205</v>
      </c>
      <c r="BJ13" s="59">
        <f t="shared" si="38"/>
        <v>276.69392352410654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8.8000000000000007</v>
      </c>
      <c r="N14" s="13">
        <f>IF('Données projet'!$A$36&gt;35,N13+M14-V13,IF(A14&lt;'Données projet'!$A$36,$K$205^A14,IF(A14='Données projet'!$A$36,'Données projet'!$B$36,N13+M14-V13)))</f>
        <v>37.799999999999997</v>
      </c>
      <c r="O14" s="13">
        <f>N14*VLOOKUP('Données projet'!$B$9,Paramètres!$A$1:$I$89,3,0)*VLOOKUP('Données projet'!$B$9,Paramètres!$A$1:$I$89,5,0)</f>
        <v>33.022080000000003</v>
      </c>
      <c r="P14" s="13">
        <f t="shared" si="33"/>
        <v>10.129025278332465</v>
      </c>
      <c r="Q14" s="20">
        <f t="shared" si="2"/>
        <v>75.154841693095705</v>
      </c>
      <c r="R14" s="59">
        <f t="shared" si="0"/>
        <v>368.48817502642902</v>
      </c>
      <c r="S14" s="59">
        <f ca="1">AVERAGE(OFFSET($R$3,0,0,'Données projet'!$E$9+1,1))-AVERAGE(OFFSET($H$3,0,0,'Données projet'!$E$9+1,1))</f>
        <v>251.05216782177348</v>
      </c>
      <c r="T14" s="59">
        <f t="shared" si="34"/>
        <v>247.96048911281406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2.4666666666666668</v>
      </c>
      <c r="AI14" s="13">
        <f>IF('Données projet'!$A$62&gt;35,AI13+AH14-AQ13,IF(A14&lt;'Données projet'!$A$62,$AF$205^A14,IF(A14='Données projet'!$A$62,'Données projet'!$B$62,AI13+AH14-AQ13)))</f>
        <v>14.125850240977657</v>
      </c>
      <c r="AJ14" s="13">
        <f>AI14*VLOOKUP('Données projet'!$B$10,Paramètres!$A$1:$I$89,3,0)*VLOOKUP('Données projet'!$B$10,Paramètres!$A$1:$I$89,5,0)</f>
        <v>11.238526451721825</v>
      </c>
      <c r="AK14" s="13">
        <f t="shared" si="35"/>
        <v>3.9080387928425129</v>
      </c>
      <c r="AL14" s="20">
        <f t="shared" si="4"/>
        <v>26.380267800949554</v>
      </c>
      <c r="AM14" s="59">
        <f t="shared" si="5"/>
        <v>319.71360113428284</v>
      </c>
      <c r="AN14" s="59">
        <f ca="1">AVERAGE(OFFSET($AM$3,0,0,'Données projet'!$E$10+1,1))-AVERAGE(OFFSET($H$3,0,0,'Données projet'!$E$10+1,1))</f>
        <v>219.43439115440339</v>
      </c>
      <c r="AO14" s="59">
        <f t="shared" si="36"/>
        <v>217.8880462742099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17.684160000000002</v>
      </c>
      <c r="BF14" s="13">
        <f t="shared" si="37"/>
        <v>5.8333451290197509</v>
      </c>
      <c r="BG14" s="20">
        <f t="shared" si="7"/>
        <v>40.959654766376069</v>
      </c>
      <c r="BH14" s="59">
        <f t="shared" si="8"/>
        <v>334.29298809970936</v>
      </c>
      <c r="BI14" s="59">
        <f ca="1">AVERAGE(OFFSET($BH$3,0,0,'Données projet'!$E$11+1,1))-AVERAGE(OFFSET($H$3,0,0,'Données projet'!$E$11+1,1))</f>
        <v>279.89725537926205</v>
      </c>
      <c r="BJ14" s="59">
        <f t="shared" si="38"/>
        <v>276.69392352410654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8.8000000000000007</v>
      </c>
      <c r="N15" s="13">
        <f>IF('Données projet'!$A$36&gt;35,N14+M15-V14,IF(A15&lt;'Données projet'!$A$36,$K$205^A15,IF(A15='Données projet'!$A$36,'Données projet'!$B$36,N14+M15-V14)))</f>
        <v>46.599999999999994</v>
      </c>
      <c r="O15" s="13">
        <f>N15*VLOOKUP('Données projet'!$B$9,Paramètres!$A$1:$I$89,3,0)*VLOOKUP('Données projet'!$B$9,Paramètres!$A$1:$I$89,5,0)</f>
        <v>40.709760000000003</v>
      </c>
      <c r="P15" s="13">
        <f t="shared" si="33"/>
        <v>12.186575870088381</v>
      </c>
      <c r="Q15" s="20">
        <f t="shared" si="2"/>
        <v>92.127784973737278</v>
      </c>
      <c r="R15" s="59">
        <f t="shared" si="0"/>
        <v>385.46111830707059</v>
      </c>
      <c r="S15" s="59">
        <f ca="1">AVERAGE(OFFSET($R$3,0,0,'Données projet'!$E$9+1,1))-AVERAGE(OFFSET($H$3,0,0,'Données projet'!$E$9+1,1))</f>
        <v>251.05216782177348</v>
      </c>
      <c r="T15" s="59">
        <f t="shared" si="34"/>
        <v>247.96048911281406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2.4666666666666668</v>
      </c>
      <c r="AI15" s="13">
        <f>IF('Données projet'!$A$62&gt;35,AI14+AH15-AQ14,IF(A15&lt;'Données projet'!$A$62,$AF$205^A15,IF(A15='Données projet'!$A$62,'Données projet'!$B$62,AI14+AH15-AQ14)))</f>
        <v>17.970550417308221</v>
      </c>
      <c r="AJ15" s="13">
        <f>AI15*VLOOKUP('Données projet'!$B$10,Paramètres!$A$1:$I$89,3,0)*VLOOKUP('Données projet'!$B$10,Paramètres!$A$1:$I$89,5,0)</f>
        <v>14.297369912010421</v>
      </c>
      <c r="AK15" s="13">
        <f t="shared" si="35"/>
        <v>4.8343312187127445</v>
      </c>
      <c r="AL15" s="20">
        <f t="shared" si="4"/>
        <v>33.321046136009507</v>
      </c>
      <c r="AM15" s="59">
        <f t="shared" si="5"/>
        <v>326.65437946934281</v>
      </c>
      <c r="AN15" s="59">
        <f ca="1">AVERAGE(OFFSET($AM$3,0,0,'Données projet'!$E$10+1,1))-AVERAGE(OFFSET($H$3,0,0,'Données projet'!$E$10+1,1))</f>
        <v>219.43439115440339</v>
      </c>
      <c r="AO15" s="59">
        <f t="shared" si="36"/>
        <v>217.8880462742099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26.445120000000003</v>
      </c>
      <c r="BF15" s="13">
        <f t="shared" si="37"/>
        <v>8.3240865246071554</v>
      </c>
      <c r="BG15" s="20">
        <f t="shared" si="7"/>
        <v>60.556368030357454</v>
      </c>
      <c r="BH15" s="59">
        <f t="shared" si="8"/>
        <v>353.88970136369079</v>
      </c>
      <c r="BI15" s="59">
        <f ca="1">AVERAGE(OFFSET($BH$3,0,0,'Données projet'!$E$11+1,1))-AVERAGE(OFFSET($H$3,0,0,'Données projet'!$E$11+1,1))</f>
        <v>279.89725537926205</v>
      </c>
      <c r="BJ15" s="59">
        <f t="shared" si="38"/>
        <v>276.69392352410654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8.8000000000000007</v>
      </c>
      <c r="N16" s="13">
        <f>IF('Données projet'!$A$36&gt;35,N15+M16-V15,IF(A16&lt;'Données projet'!$A$36,$K$205^A16,IF(A16='Données projet'!$A$36,'Données projet'!$B$36,N15+M16-V15)))</f>
        <v>55.399999999999991</v>
      </c>
      <c r="O16" s="13">
        <f>N16*VLOOKUP('Données projet'!$B$9,Paramètres!$A$1:$I$89,3,0)*VLOOKUP('Données projet'!$B$9,Paramètres!$A$1:$I$89,5,0)</f>
        <v>48.397439999999996</v>
      </c>
      <c r="P16" s="13">
        <f t="shared" si="33"/>
        <v>14.199110166340073</v>
      </c>
      <c r="Q16" s="20">
        <f t="shared" si="2"/>
        <v>109.02232487304228</v>
      </c>
      <c r="R16" s="59">
        <f t="shared" si="0"/>
        <v>402.35565820637561</v>
      </c>
      <c r="S16" s="59">
        <f ca="1">AVERAGE(OFFSET($R$3,0,0,'Données projet'!$E$9+1,1))-AVERAGE(OFFSET($H$3,0,0,'Données projet'!$E$9+1,1))</f>
        <v>251.05216782177348</v>
      </c>
      <c r="T16" s="59">
        <f t="shared" si="34"/>
        <v>247.96048911281406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2.4666666666666668</v>
      </c>
      <c r="AI16" s="13">
        <f>IF('Données projet'!$A$62&gt;35,AI15+AH16-AQ15,IF(A16&lt;'Données projet'!$A$62,$AF$205^A16,IF(A16='Données projet'!$A$62,'Données projet'!$B$62,AI15+AH16-AQ15)))</f>
        <v>22.86168101684942</v>
      </c>
      <c r="AJ16" s="13">
        <f>AI16*VLOOKUP('Données projet'!$B$10,Paramètres!$A$1:$I$89,3,0)*VLOOKUP('Données projet'!$B$10,Paramètres!$A$1:$I$89,5,0)</f>
        <v>18.188753417005401</v>
      </c>
      <c r="AK16" s="13">
        <f t="shared" si="35"/>
        <v>5.9801756254374139</v>
      </c>
      <c r="AL16" s="20">
        <f t="shared" si="4"/>
        <v>42.094218082254564</v>
      </c>
      <c r="AM16" s="59">
        <f t="shared" si="5"/>
        <v>335.42755141558786</v>
      </c>
      <c r="AN16" s="59">
        <f ca="1">AVERAGE(OFFSET($AM$3,0,0,'Données projet'!$E$10+1,1))-AVERAGE(OFFSET($H$3,0,0,'Données projet'!$E$10+1,1))</f>
        <v>219.43439115440339</v>
      </c>
      <c r="AO16" s="59">
        <f t="shared" si="36"/>
        <v>217.8880462742099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35.206080000000007</v>
      </c>
      <c r="BF16" s="13">
        <f t="shared" si="37"/>
        <v>10.718732666310196</v>
      </c>
      <c r="BG16" s="20">
        <f t="shared" si="7"/>
        <v>79.985715393823597</v>
      </c>
      <c r="BH16" s="59">
        <f t="shared" si="8"/>
        <v>373.31904872715688</v>
      </c>
      <c r="BI16" s="59">
        <f ca="1">AVERAGE(OFFSET($BH$3,0,0,'Données projet'!$E$11+1,1))-AVERAGE(OFFSET($H$3,0,0,'Données projet'!$E$11+1,1))</f>
        <v>279.89725537926205</v>
      </c>
      <c r="BJ16" s="59">
        <f t="shared" si="38"/>
        <v>276.69392352410654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8.8000000000000007</v>
      </c>
      <c r="N17" s="13">
        <f>IF('Données projet'!$A$36&gt;35,N16+M17-V16,IF(A17&lt;'Données projet'!$A$36,$K$205^A17,IF(A17='Données projet'!$A$36,'Données projet'!$B$36,N16+M17-V16)))</f>
        <v>64.199999999999989</v>
      </c>
      <c r="O17" s="13">
        <f>N17*VLOOKUP('Données projet'!$B$9,Paramètres!$A$1:$I$89,3,0)*VLOOKUP('Données projet'!$B$9,Paramètres!$A$1:$I$89,5,0)</f>
        <v>56.085119999999996</v>
      </c>
      <c r="P17" s="13">
        <f t="shared" si="33"/>
        <v>16.174611252215492</v>
      </c>
      <c r="Q17" s="20">
        <f t="shared" si="2"/>
        <v>125.85236526427531</v>
      </c>
      <c r="R17" s="59">
        <f t="shared" si="0"/>
        <v>419.18569859760862</v>
      </c>
      <c r="S17" s="59">
        <f ca="1">AVERAGE(OFFSET($R$3,0,0,'Données projet'!$E$9+1,1))-AVERAGE(OFFSET($H$3,0,0,'Données projet'!$E$9+1,1))</f>
        <v>251.05216782177348</v>
      </c>
      <c r="T17" s="59">
        <f t="shared" si="34"/>
        <v>247.96048911281406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2.4666666666666668</v>
      </c>
      <c r="AI17" s="13">
        <f>IF('Données projet'!$A$62&gt;35,AI16+AH17-AQ16,IF(A17&lt;'Données projet'!$A$62,$AF$205^A17,IF(A17='Données projet'!$A$62,'Données projet'!$B$62,AI16+AH17-AQ16)))</f>
        <v>29.084054009429774</v>
      </c>
      <c r="AJ17" s="13">
        <f>AI17*VLOOKUP('Données projet'!$B$10,Paramètres!$A$1:$I$89,3,0)*VLOOKUP('Données projet'!$B$10,Paramètres!$A$1:$I$89,5,0)</f>
        <v>23.13927336990233</v>
      </c>
      <c r="AK17" s="13">
        <f t="shared" si="35"/>
        <v>7.3976107331343286</v>
      </c>
      <c r="AL17" s="20">
        <f t="shared" si="4"/>
        <v>53.185073146122171</v>
      </c>
      <c r="AM17" s="59">
        <f t="shared" si="5"/>
        <v>346.51840647945551</v>
      </c>
      <c r="AN17" s="59">
        <f ca="1">AVERAGE(OFFSET($AM$3,0,0,'Données projet'!$E$10+1,1))-AVERAGE(OFFSET($H$3,0,0,'Données projet'!$E$10+1,1))</f>
        <v>219.43439115440339</v>
      </c>
      <c r="AO17" s="59">
        <f t="shared" si="36"/>
        <v>217.8880462742099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43.967040000000004</v>
      </c>
      <c r="BF17" s="13">
        <f t="shared" si="37"/>
        <v>13.04425511497986</v>
      </c>
      <c r="BG17" s="20">
        <f t="shared" si="7"/>
        <v>99.294672325256599</v>
      </c>
      <c r="BH17" s="59">
        <f t="shared" si="8"/>
        <v>392.62800565858993</v>
      </c>
      <c r="BI17" s="59">
        <f ca="1">AVERAGE(OFFSET($BH$3,0,0,'Données projet'!$E$11+1,1))-AVERAGE(OFFSET($H$3,0,0,'Données projet'!$E$11+1,1))</f>
        <v>279.89725537926205</v>
      </c>
      <c r="BJ17" s="59">
        <f t="shared" si="38"/>
        <v>276.69392352410654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73</v>
      </c>
      <c r="L18" s="12">
        <f>VLOOKUP(A18,'Données projet'!$A$35:$I$55,9,0)</f>
        <v>8.8000000000000007</v>
      </c>
      <c r="M18" s="12">
        <f t="array" ref="M18">INDEX(L:L,MIN(IF(ISNUMBER(L18:L214),ROW(L18:L214),"")))</f>
        <v>8.8000000000000007</v>
      </c>
      <c r="N18" s="13">
        <f>IF('Données projet'!$A$36&gt;35,N17+M18-V17,IF(A18&lt;'Données projet'!$A$36,$K$205^A18,IF(A18='Données projet'!$A$36,'Données projet'!$B$36,N17+M18-V17)))</f>
        <v>72.999999999999986</v>
      </c>
      <c r="O18" s="13">
        <f>N18*VLOOKUP('Données projet'!$B$9,Paramètres!$A$1:$I$89,3,0)*VLOOKUP('Données projet'!$B$9,Paramètres!$A$1:$I$89,5,0)</f>
        <v>63.772799999999997</v>
      </c>
      <c r="P18" s="13">
        <f t="shared" si="33"/>
        <v>18.118739450759566</v>
      </c>
      <c r="Q18" s="20">
        <f t="shared" si="2"/>
        <v>142.62776454340624</v>
      </c>
      <c r="R18" s="59">
        <f t="shared" si="0"/>
        <v>435.96109787673959</v>
      </c>
      <c r="S18" s="59">
        <f ca="1">AVERAGE(OFFSET($R$3,0,0,'Données projet'!$E$9+1,1))-AVERAGE(OFFSET($H$3,0,0,'Données projet'!$E$9+1,1))</f>
        <v>251.05216782177348</v>
      </c>
      <c r="T18" s="59">
        <f t="shared" si="34"/>
        <v>247.96048911281406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37</v>
      </c>
      <c r="AG18" s="12">
        <f>VLOOKUP(A18,'Données projet'!$A$61:$I$81,9,0)</f>
        <v>2.4666666666666668</v>
      </c>
      <c r="AH18" s="12">
        <f t="array" ref="AH18">INDEX(AG:AG,MIN(IF(ISNUMBER(AG18:AG214),ROW(AG18:AG214),"")))</f>
        <v>2.4666666666666668</v>
      </c>
      <c r="AI18" s="13">
        <f>IF('Données projet'!$A$62&gt;35,AI17+AH18-AQ17,IF(A18&lt;'Données projet'!$A$62,$AF$205^A18,IF(A18='Données projet'!$A$62,'Données projet'!$B$62,AI17+AH18-AQ17)))</f>
        <v>37</v>
      </c>
      <c r="AJ18" s="13">
        <f>AI18*VLOOKUP('Données projet'!$B$10,Paramètres!$A$1:$I$89,3,0)*VLOOKUP('Données projet'!$B$10,Paramètres!$A$1:$I$89,5,0)</f>
        <v>29.437200000000004</v>
      </c>
      <c r="AK18" s="13">
        <f t="shared" si="35"/>
        <v>9.1510096001539196</v>
      </c>
      <c r="AL18" s="20">
        <f t="shared" si="4"/>
        <v>67.207798386934755</v>
      </c>
      <c r="AM18" s="59">
        <f t="shared" si="5"/>
        <v>360.54113172026808</v>
      </c>
      <c r="AN18" s="59">
        <f ca="1">AVERAGE(OFFSET($AM$3,0,0,'Données projet'!$E$10+1,1))-AVERAGE(OFFSET($H$3,0,0,'Données projet'!$E$10+1,1))</f>
        <v>219.43439115440339</v>
      </c>
      <c r="AO18" s="59">
        <f t="shared" si="36"/>
        <v>217.8880462742099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15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52.728000000000009</v>
      </c>
      <c r="BF18" s="13">
        <f t="shared" si="37"/>
        <v>15.316084592505286</v>
      </c>
      <c r="BG18" s="20">
        <f t="shared" si="7"/>
        <v>118.51011399861339</v>
      </c>
      <c r="BH18" s="59">
        <f t="shared" si="8"/>
        <v>411.84344733194672</v>
      </c>
      <c r="BI18" s="59">
        <f ca="1">AVERAGE(OFFSET($BH$3,0,0,'Données projet'!$E$11+1,1))-AVERAGE(OFFSET($H$3,0,0,'Données projet'!$E$11+1,1))</f>
        <v>279.89725537926205</v>
      </c>
      <c r="BJ18" s="59">
        <f t="shared" si="38"/>
        <v>276.69392352410654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11.2</v>
      </c>
      <c r="N19" s="13">
        <f>IF('Données projet'!$A$36&gt;35,N18+M19-V18,IF(A19&lt;'Données projet'!$A$36,$K$205^A19,IF(A19='Données projet'!$A$36,'Données projet'!$B$36,N18+M19-V18)))</f>
        <v>84.199999999999989</v>
      </c>
      <c r="O19" s="13">
        <f>N19*VLOOKUP('Données projet'!$B$9,Paramètres!$A$1:$I$89,3,0)*VLOOKUP('Données projet'!$B$9,Paramètres!$A$1:$I$89,5,0)</f>
        <v>73.557119999999998</v>
      </c>
      <c r="P19" s="13">
        <f t="shared" si="33"/>
        <v>20.554251427792224</v>
      </c>
      <c r="Q19" s="20">
        <f t="shared" si="2"/>
        <v>163.91063857007143</v>
      </c>
      <c r="R19" s="59">
        <f t="shared" si="0"/>
        <v>457.24397190340471</v>
      </c>
      <c r="S19" s="59">
        <f ca="1">AVERAGE(OFFSET($R$3,0,0,'Données projet'!$E$9+1,1))-AVERAGE(OFFSET($H$3,0,0,'Données projet'!$E$9+1,1))</f>
        <v>251.05216782177348</v>
      </c>
      <c r="T19" s="59">
        <f t="shared" si="34"/>
        <v>247.96048911281406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11.6</v>
      </c>
      <c r="AI19" s="13">
        <f>IF('Données projet'!$A$62&gt;35,AI18+AH19-AQ18,IF(A19&lt;'Données projet'!$A$62,$AF$205^A19,IF(A19='Données projet'!$A$62,'Données projet'!$B$62,AI18+AH19-AQ18)))</f>
        <v>33.6</v>
      </c>
      <c r="AJ19" s="13">
        <f>AI19*VLOOKUP('Données projet'!$B$10,Paramètres!$A$1:$I$89,3,0)*VLOOKUP('Données projet'!$B$10,Paramètres!$A$1:$I$89,5,0)</f>
        <v>26.732160000000004</v>
      </c>
      <c r="AK19" s="13">
        <f t="shared" si="35"/>
        <v>8.4038705306032053</v>
      </c>
      <c r="AL19" s="20">
        <f t="shared" si="4"/>
        <v>61.195253174133917</v>
      </c>
      <c r="AM19" s="59">
        <f t="shared" si="5"/>
        <v>354.52858650746725</v>
      </c>
      <c r="AN19" s="59">
        <f ca="1">AVERAGE(OFFSET($AM$3,0,0,'Données projet'!$E$10+1,1))-AVERAGE(OFFSET($H$3,0,0,'Données projet'!$E$10+1,1))</f>
        <v>219.43439115440339</v>
      </c>
      <c r="AO19" s="59">
        <f t="shared" si="36"/>
        <v>217.8880462742099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37.96416</v>
      </c>
      <c r="BF19" s="13">
        <f t="shared" si="37"/>
        <v>11.457417801534429</v>
      </c>
      <c r="BG19" s="20">
        <f t="shared" si="7"/>
        <v>86.075914671005776</v>
      </c>
      <c r="BH19" s="59">
        <f t="shared" si="8"/>
        <v>379.40924800433908</v>
      </c>
      <c r="BI19" s="59">
        <f ca="1">AVERAGE(OFFSET($BH$3,0,0,'Données projet'!$E$11+1,1))-AVERAGE(OFFSET($H$3,0,0,'Données projet'!$E$11+1,1))</f>
        <v>279.89725537926205</v>
      </c>
      <c r="BJ19" s="59">
        <f t="shared" si="38"/>
        <v>276.69392352410654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11.2</v>
      </c>
      <c r="N20" s="13">
        <f>IF('Données projet'!$A$36&gt;35,N19+M20-V19,IF(A20&lt;'Données projet'!$A$36,$K$205^A20,IF(A20='Données projet'!$A$36,'Données projet'!$B$36,N19+M20-V19)))</f>
        <v>95.399999999999991</v>
      </c>
      <c r="O20" s="13">
        <f>N20*VLOOKUP('Données projet'!$B$9,Paramètres!$A$1:$I$89,3,0)*VLOOKUP('Données projet'!$B$9,Paramètres!$A$1:$I$89,5,0)</f>
        <v>83.341440000000006</v>
      </c>
      <c r="P20" s="13">
        <f t="shared" si="33"/>
        <v>22.952227742446681</v>
      </c>
      <c r="Q20" s="20">
        <f t="shared" si="2"/>
        <v>185.12813798476131</v>
      </c>
      <c r="R20" s="59">
        <f t="shared" si="0"/>
        <v>478.4614713180946</v>
      </c>
      <c r="S20" s="59">
        <f ca="1">AVERAGE(OFFSET($R$3,0,0,'Données projet'!$E$9+1,1))-AVERAGE(OFFSET($H$3,0,0,'Données projet'!$E$9+1,1))</f>
        <v>251.05216782177348</v>
      </c>
      <c r="T20" s="59">
        <f t="shared" si="34"/>
        <v>247.96048911281406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11.6</v>
      </c>
      <c r="AI20" s="13">
        <f>IF('Données projet'!$A$62&gt;35,AI19+AH20-AQ19,IF(A20&lt;'Données projet'!$A$62,$AF$205^A20,IF(A20='Données projet'!$A$62,'Données projet'!$B$62,AI19+AH20-AQ19)))</f>
        <v>45.2</v>
      </c>
      <c r="AJ20" s="13">
        <f>AI20*VLOOKUP('Données projet'!$B$10,Paramètres!$A$1:$I$89,3,0)*VLOOKUP('Données projet'!$B$10,Paramètres!$A$1:$I$89,5,0)</f>
        <v>35.961120000000008</v>
      </c>
      <c r="AK20" s="13">
        <f t="shared" si="35"/>
        <v>10.921600552662685</v>
      </c>
      <c r="AL20" s="20">
        <f t="shared" si="4"/>
        <v>81.654071629220851</v>
      </c>
      <c r="AM20" s="59">
        <f t="shared" si="5"/>
        <v>374.98740496255414</v>
      </c>
      <c r="AN20" s="59">
        <f ca="1">AVERAGE(OFFSET($AM$3,0,0,'Données projet'!$E$10+1,1))-AVERAGE(OFFSET($H$3,0,0,'Données projet'!$E$10+1,1))</f>
        <v>219.43439115440339</v>
      </c>
      <c r="AO20" s="59">
        <f t="shared" si="36"/>
        <v>217.8880462742099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49.158719999999995</v>
      </c>
      <c r="BF20" s="13">
        <f t="shared" si="37"/>
        <v>14.396281334716242</v>
      </c>
      <c r="BG20" s="20">
        <f t="shared" si="7"/>
        <v>110.69162732463077</v>
      </c>
      <c r="BH20" s="59">
        <f t="shared" si="8"/>
        <v>404.02496065796407</v>
      </c>
      <c r="BI20" s="59">
        <f ca="1">AVERAGE(OFFSET($BH$3,0,0,'Données projet'!$E$11+1,1))-AVERAGE(OFFSET($H$3,0,0,'Données projet'!$E$11+1,1))</f>
        <v>279.89725537926205</v>
      </c>
      <c r="BJ20" s="59">
        <f t="shared" si="38"/>
        <v>276.69392352410654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11.2</v>
      </c>
      <c r="N21" s="13">
        <f>IF('Données projet'!$A$36&gt;35,N20+M21-V20,IF(A21&lt;'Données projet'!$A$36,$K$205^A21,IF(A21='Données projet'!$A$36,'Données projet'!$B$36,N20+M21-V20)))</f>
        <v>106.6</v>
      </c>
      <c r="O21" s="13">
        <f>N21*VLOOKUP('Données projet'!$B$9,Paramètres!$A$1:$I$89,3,0)*VLOOKUP('Données projet'!$B$9,Paramètres!$A$1:$I$89,5,0)</f>
        <v>93.125760000000014</v>
      </c>
      <c r="P21" s="13">
        <f t="shared" si="33"/>
        <v>25.317578585717406</v>
      </c>
      <c r="Q21" s="20">
        <f t="shared" si="2"/>
        <v>206.2888147034578</v>
      </c>
      <c r="R21" s="59">
        <f t="shared" si="0"/>
        <v>499.62214803679115</v>
      </c>
      <c r="S21" s="59">
        <f ca="1">AVERAGE(OFFSET($R$3,0,0,'Données projet'!$E$9+1,1))-AVERAGE(OFFSET($H$3,0,0,'Données projet'!$E$9+1,1))</f>
        <v>251.05216782177348</v>
      </c>
      <c r="T21" s="59">
        <f t="shared" si="34"/>
        <v>247.96048911281406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11.6</v>
      </c>
      <c r="AI21" s="13">
        <f>IF('Données projet'!$A$62&gt;35,AI20+AH21-AQ20,IF(A21&lt;'Données projet'!$A$62,$AF$205^A21,IF(A21='Données projet'!$A$62,'Données projet'!$B$62,AI20+AH21-AQ20)))</f>
        <v>56.800000000000004</v>
      </c>
      <c r="AJ21" s="13">
        <f>AI21*VLOOKUP('Données projet'!$B$10,Paramètres!$A$1:$I$89,3,0)*VLOOKUP('Données projet'!$B$10,Paramètres!$A$1:$I$89,5,0)</f>
        <v>45.190080000000009</v>
      </c>
      <c r="AK21" s="13">
        <f t="shared" si="35"/>
        <v>13.364359727915414</v>
      </c>
      <c r="AL21" s="20">
        <f t="shared" si="4"/>
        <v>101.98231585945268</v>
      </c>
      <c r="AM21" s="59">
        <f t="shared" si="5"/>
        <v>395.315649192786</v>
      </c>
      <c r="AN21" s="59">
        <f ca="1">AVERAGE(OFFSET($AM$3,0,0,'Données projet'!$E$10+1,1))-AVERAGE(OFFSET($H$3,0,0,'Données projet'!$E$10+1,1))</f>
        <v>219.43439115440339</v>
      </c>
      <c r="AO21" s="59">
        <f t="shared" si="36"/>
        <v>217.8880462742099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60.353279999999998</v>
      </c>
      <c r="BF21" s="13">
        <f t="shared" si="37"/>
        <v>17.257558739100197</v>
      </c>
      <c r="BG21" s="20">
        <f t="shared" si="7"/>
        <v>135.17221080393281</v>
      </c>
      <c r="BH21" s="59">
        <f t="shared" si="8"/>
        <v>428.50554413726616</v>
      </c>
      <c r="BI21" s="59">
        <f ca="1">AVERAGE(OFFSET($BH$3,0,0,'Données projet'!$E$11+1,1))-AVERAGE(OFFSET($H$3,0,0,'Données projet'!$E$11+1,1))</f>
        <v>279.89725537926205</v>
      </c>
      <c r="BJ21" s="59">
        <f t="shared" si="38"/>
        <v>276.69392352410654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11.2</v>
      </c>
      <c r="N22" s="13">
        <f>IF('Données projet'!$A$36&gt;35,N21+M22-V21,IF(A22&lt;'Données projet'!$A$36,$K$205^A22,IF(A22='Données projet'!$A$36,'Données projet'!$B$36,N21+M22-V21)))</f>
        <v>117.8</v>
      </c>
      <c r="O22" s="13">
        <f>N22*VLOOKUP('Données projet'!$B$9,Paramètres!$A$1:$I$89,3,0)*VLOOKUP('Données projet'!$B$9,Paramètres!$A$1:$I$89,5,0)</f>
        <v>102.91008000000001</v>
      </c>
      <c r="P22" s="13">
        <f t="shared" si="33"/>
        <v>27.654122306790427</v>
      </c>
      <c r="Q22" s="20">
        <f t="shared" si="2"/>
        <v>227.39931901765999</v>
      </c>
      <c r="R22" s="59">
        <f t="shared" si="0"/>
        <v>520.73265235099325</v>
      </c>
      <c r="S22" s="59">
        <f ca="1">AVERAGE(OFFSET($R$3,0,0,'Données projet'!$E$9+1,1))-AVERAGE(OFFSET($H$3,0,0,'Données projet'!$E$9+1,1))</f>
        <v>251.05216782177348</v>
      </c>
      <c r="T22" s="59">
        <f t="shared" si="34"/>
        <v>247.96048911281406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11.6</v>
      </c>
      <c r="AI22" s="13">
        <f>IF('Données projet'!$A$62&gt;35,AI21+AH22-AQ21,IF(A22&lt;'Données projet'!$A$62,$AF$205^A22,IF(A22='Données projet'!$A$62,'Données projet'!$B$62,AI21+AH22-AQ21)))</f>
        <v>68.400000000000006</v>
      </c>
      <c r="AJ22" s="13">
        <f>AI22*VLOOKUP('Données projet'!$B$10,Paramètres!$A$1:$I$89,3,0)*VLOOKUP('Données projet'!$B$10,Paramètres!$A$1:$I$89,5,0)</f>
        <v>54.419040000000003</v>
      </c>
      <c r="AK22" s="13">
        <f t="shared" si="35"/>
        <v>15.749310274925152</v>
      </c>
      <c r="AL22" s="20">
        <f t="shared" si="4"/>
        <v>122.20987672882796</v>
      </c>
      <c r="AM22" s="59">
        <f t="shared" si="5"/>
        <v>415.54321006216128</v>
      </c>
      <c r="AN22" s="59">
        <f ca="1">AVERAGE(OFFSET($AM$3,0,0,'Données projet'!$E$10+1,1))-AVERAGE(OFFSET($H$3,0,0,'Données projet'!$E$10+1,1))</f>
        <v>219.43439115440339</v>
      </c>
      <c r="AO22" s="59">
        <f t="shared" si="36"/>
        <v>217.8880462742099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71.547839999999994</v>
      </c>
      <c r="BF22" s="13">
        <f t="shared" si="37"/>
        <v>20.05735014974319</v>
      </c>
      <c r="BG22" s="20">
        <f t="shared" si="7"/>
        <v>159.54570617746938</v>
      </c>
      <c r="BH22" s="59">
        <f t="shared" si="8"/>
        <v>452.87903951080273</v>
      </c>
      <c r="BI22" s="59">
        <f ca="1">AVERAGE(OFFSET($BH$3,0,0,'Données projet'!$E$11+1,1))-AVERAGE(OFFSET($H$3,0,0,'Données projet'!$E$11+1,1))</f>
        <v>279.89725537926205</v>
      </c>
      <c r="BJ22" s="59">
        <f t="shared" si="38"/>
        <v>276.69392352410654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129</v>
      </c>
      <c r="L23" s="12">
        <f>VLOOKUP(A23,'Données projet'!$A$35:$I$55,9,0)</f>
        <v>11.2</v>
      </c>
      <c r="M23" s="12">
        <f t="array" ref="M23">INDEX(L:L,MIN(IF(ISNUMBER(L23:L219),ROW(L23:L219),"")))</f>
        <v>11.2</v>
      </c>
      <c r="N23" s="13">
        <f>IF('Données projet'!$A$36&gt;35,N22+M23-V22,IF(A23&lt;'Données projet'!$A$36,$K$205^A23,IF(A23='Données projet'!$A$36,'Données projet'!$B$36,N22+M23-V22)))</f>
        <v>129</v>
      </c>
      <c r="O23" s="13">
        <f>N23*VLOOKUP('Données projet'!$B$9,Paramètres!$A$1:$I$89,3,0)*VLOOKUP('Données projet'!$B$9,Paramètres!$A$1:$I$89,5,0)</f>
        <v>112.69440000000002</v>
      </c>
      <c r="P23" s="13">
        <f t="shared" si="33"/>
        <v>29.964909381330632</v>
      </c>
      <c r="Q23" s="20">
        <f t="shared" si="2"/>
        <v>248.46496383915087</v>
      </c>
      <c r="R23" s="59">
        <f t="shared" si="0"/>
        <v>541.79829717248413</v>
      </c>
      <c r="S23" s="59">
        <f ca="1">AVERAGE(OFFSET($R$3,0,0,'Données projet'!$E$9+1,1))-AVERAGE(OFFSET($H$3,0,0,'Données projet'!$E$9+1,1))</f>
        <v>251.05216782177348</v>
      </c>
      <c r="T23" s="59">
        <f t="shared" si="34"/>
        <v>247.96048911281406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54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80</v>
      </c>
      <c r="AG23" s="12">
        <f>VLOOKUP(A23,'Données projet'!$A$61:$I$81,9,0)</f>
        <v>11.6</v>
      </c>
      <c r="AH23" s="12">
        <f t="array" ref="AH23">INDEX(AG:AG,MIN(IF(ISNUMBER(AG23:AG219),ROW(AG23:AG219),"")))</f>
        <v>11.6</v>
      </c>
      <c r="AI23" s="13">
        <f>IF('Données projet'!$A$62&gt;35,AI22+AH23-AQ22,IF(A23&lt;'Données projet'!$A$62,$AF$205^A23,IF(A23='Données projet'!$A$62,'Données projet'!$B$62,AI22+AH23-AQ22)))</f>
        <v>80</v>
      </c>
      <c r="AJ23" s="13">
        <f>AI23*VLOOKUP('Données projet'!$B$10,Paramètres!$A$1:$I$89,3,0)*VLOOKUP('Données projet'!$B$10,Paramètres!$A$1:$I$89,5,0)</f>
        <v>63.647999999999996</v>
      </c>
      <c r="AK23" s="13">
        <f t="shared" si="35"/>
        <v>18.087405707268363</v>
      </c>
      <c r="AL23" s="20">
        <f t="shared" si="4"/>
        <v>142.35583160682572</v>
      </c>
      <c r="AM23" s="59">
        <f t="shared" si="5"/>
        <v>435.689164940159</v>
      </c>
      <c r="AN23" s="59">
        <f ca="1">AVERAGE(OFFSET($AM$3,0,0,'Données projet'!$E$10+1,1))-AVERAGE(OFFSET($H$3,0,0,'Données projet'!$E$10+1,1))</f>
        <v>219.43439115440339</v>
      </c>
      <c r="AO23" s="59">
        <f t="shared" si="36"/>
        <v>217.8880462742099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82.742399999999989</v>
      </c>
      <c r="BF23" s="13">
        <f t="shared" si="37"/>
        <v>22.806394174303204</v>
      </c>
      <c r="BG23" s="20">
        <f t="shared" si="7"/>
        <v>183.83081652024472</v>
      </c>
      <c r="BH23" s="59">
        <f t="shared" si="8"/>
        <v>477.16414985357801</v>
      </c>
      <c r="BI23" s="59">
        <f ca="1">AVERAGE(OFFSET($BH$3,0,0,'Données projet'!$E$11+1,1))-AVERAGE(OFFSET($H$3,0,0,'Données projet'!$E$11+1,1))</f>
        <v>279.89725537926205</v>
      </c>
      <c r="BJ23" s="59">
        <f t="shared" si="38"/>
        <v>276.69392352410654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10.199999999999999</v>
      </c>
      <c r="N24" s="13">
        <f>IF('Données projet'!$A$36&gt;35,N23+M24-V23,IF(A24&lt;'Données projet'!$A$36,$K$205^A24,IF(A24='Données projet'!$A$36,'Données projet'!$B$36,N23+M24-V23)))</f>
        <v>85.199999999999989</v>
      </c>
      <c r="O24" s="13">
        <f>N24*VLOOKUP('Données projet'!$B$9,Paramètres!$A$1:$I$89,3,0)*VLOOKUP('Données projet'!$B$9,Paramètres!$A$1:$I$89,5,0)</f>
        <v>74.430719999999994</v>
      </c>
      <c r="P24" s="13">
        <f t="shared" si="33"/>
        <v>20.76980057385482</v>
      </c>
      <c r="Q24" s="20">
        <f t="shared" si="2"/>
        <v>165.80757333279712</v>
      </c>
      <c r="R24" s="59">
        <f t="shared" si="0"/>
        <v>459.14090666613043</v>
      </c>
      <c r="S24" s="59">
        <f ca="1">AVERAGE(OFFSET($R$3,0,0,'Données projet'!$E$9+1,1))-AVERAGE(OFFSET($H$3,0,0,'Données projet'!$E$9+1,1))</f>
        <v>251.05216782177348</v>
      </c>
      <c r="T24" s="59">
        <f t="shared" si="34"/>
        <v>247.96048911281406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12.6</v>
      </c>
      <c r="AI24" s="13">
        <f>IF('Données projet'!$A$62&gt;35,AI23+AH24-AQ23,IF(A24&lt;'Données projet'!$A$62,$AF$205^A24,IF(A24='Données projet'!$A$62,'Données projet'!$B$62,AI23+AH24-AQ23)))</f>
        <v>64.599999999999994</v>
      </c>
      <c r="AJ24" s="13">
        <f>AI24*VLOOKUP('Données projet'!$B$10,Paramètres!$A$1:$I$89,3,0)*VLOOKUP('Données projet'!$B$10,Paramètres!$A$1:$I$89,5,0)</f>
        <v>51.395759999999996</v>
      </c>
      <c r="AK24" s="13">
        <f t="shared" si="35"/>
        <v>14.973641136922506</v>
      </c>
      <c r="AL24" s="20">
        <f t="shared" si="4"/>
        <v>115.59337364680668</v>
      </c>
      <c r="AM24" s="59">
        <f t="shared" si="5"/>
        <v>408.92670698014001</v>
      </c>
      <c r="AN24" s="59">
        <f ca="1">AVERAGE(OFFSET($AM$3,0,0,'Données projet'!$E$10+1,1))-AVERAGE(OFFSET($H$3,0,0,'Données projet'!$E$10+1,1))</f>
        <v>219.43439115440339</v>
      </c>
      <c r="AO24" s="59">
        <f t="shared" si="36"/>
        <v>217.8880462742099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66.356159999999988</v>
      </c>
      <c r="BF24" s="13">
        <f t="shared" si="37"/>
        <v>18.765767596743419</v>
      </c>
      <c r="BG24" s="20">
        <f t="shared" si="7"/>
        <v>148.25402389766143</v>
      </c>
      <c r="BH24" s="59">
        <f t="shared" si="8"/>
        <v>441.58735723099471</v>
      </c>
      <c r="BI24" s="59">
        <f ca="1">AVERAGE(OFFSET($BH$3,0,0,'Données projet'!$E$11+1,1))-AVERAGE(OFFSET($H$3,0,0,'Données projet'!$E$11+1,1))</f>
        <v>279.89725537926205</v>
      </c>
      <c r="BJ24" s="59">
        <f t="shared" si="38"/>
        <v>276.69392352410654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10.199999999999999</v>
      </c>
      <c r="N25" s="13">
        <f>IF('Données projet'!$A$36&gt;35,N24+M25-V24,IF(A25&lt;'Données projet'!$A$36,$K$205^A25,IF(A25='Données projet'!$A$36,'Données projet'!$B$36,N24+M25-V24)))</f>
        <v>95.399999999999991</v>
      </c>
      <c r="O25" s="13">
        <f>N25*VLOOKUP('Données projet'!$B$9,Paramètres!$A$1:$I$89,3,0)*VLOOKUP('Données projet'!$B$9,Paramètres!$A$1:$I$89,5,0)</f>
        <v>83.341440000000006</v>
      </c>
      <c r="P25" s="13">
        <f t="shared" si="33"/>
        <v>22.952227742446681</v>
      </c>
      <c r="Q25" s="20">
        <f t="shared" si="2"/>
        <v>185.12813798476131</v>
      </c>
      <c r="R25" s="59">
        <f t="shared" si="0"/>
        <v>478.4614713180946</v>
      </c>
      <c r="S25" s="59">
        <f ca="1">AVERAGE(OFFSET($R$3,0,0,'Données projet'!$E$9+1,1))-AVERAGE(OFFSET($H$3,0,0,'Données projet'!$E$9+1,1))</f>
        <v>251.05216782177348</v>
      </c>
      <c r="T25" s="59">
        <f t="shared" si="34"/>
        <v>247.96048911281406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12.6</v>
      </c>
      <c r="AI25" s="13">
        <f>IF('Données projet'!$A$62&gt;35,AI24+AH25-AQ24,IF(A25&lt;'Données projet'!$A$62,$AF$205^A25,IF(A25='Données projet'!$A$62,'Données projet'!$B$62,AI24+AH25-AQ24)))</f>
        <v>77.199999999999989</v>
      </c>
      <c r="AJ25" s="13">
        <f>AI25*VLOOKUP('Données projet'!$B$10,Paramètres!$A$1:$I$89,3,0)*VLOOKUP('Données projet'!$B$10,Paramètres!$A$1:$I$89,5,0)</f>
        <v>61.42031999999999</v>
      </c>
      <c r="AK25" s="13">
        <f t="shared" si="35"/>
        <v>17.526880037631354</v>
      </c>
      <c r="AL25" s="20">
        <f t="shared" si="4"/>
        <v>137.4997067322079</v>
      </c>
      <c r="AM25" s="59">
        <f t="shared" si="5"/>
        <v>430.83304006554124</v>
      </c>
      <c r="AN25" s="59">
        <f ca="1">AVERAGE(OFFSET($AM$3,0,0,'Données projet'!$E$10+1,1))-AVERAGE(OFFSET($H$3,0,0,'Données projet'!$E$10+1,1))</f>
        <v>219.43439115440339</v>
      </c>
      <c r="AO25" s="59">
        <f t="shared" si="36"/>
        <v>217.8880462742099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78.361919999999984</v>
      </c>
      <c r="BF25" s="13">
        <f t="shared" si="37"/>
        <v>21.736184076066191</v>
      </c>
      <c r="BG25" s="20">
        <f t="shared" si="7"/>
        <v>174.33753126581527</v>
      </c>
      <c r="BH25" s="59">
        <f t="shared" si="8"/>
        <v>467.67086459914856</v>
      </c>
      <c r="BI25" s="59">
        <f ca="1">AVERAGE(OFFSET($BH$3,0,0,'Données projet'!$E$11+1,1))-AVERAGE(OFFSET($H$3,0,0,'Données projet'!$E$11+1,1))</f>
        <v>279.89725537926205</v>
      </c>
      <c r="BJ25" s="59">
        <f t="shared" si="38"/>
        <v>276.69392352410654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10.199999999999999</v>
      </c>
      <c r="N26" s="13">
        <f>IF('Données projet'!$A$36&gt;35,N25+M26-V25,IF(A26&lt;'Données projet'!$A$36,$K$205^A26,IF(A26='Données projet'!$A$36,'Données projet'!$B$36,N25+M26-V25)))</f>
        <v>105.6</v>
      </c>
      <c r="O26" s="13">
        <f>N26*VLOOKUP('Données projet'!$B$9,Paramètres!$A$1:$I$89,3,0)*VLOOKUP('Données projet'!$B$9,Paramètres!$A$1:$I$89,5,0)</f>
        <v>92.252160000000003</v>
      </c>
      <c r="P26" s="13">
        <f t="shared" si="33"/>
        <v>25.107607958259987</v>
      </c>
      <c r="Q26" s="20">
        <f t="shared" si="2"/>
        <v>204.40159586063612</v>
      </c>
      <c r="R26" s="59">
        <f t="shared" si="0"/>
        <v>497.73492919396944</v>
      </c>
      <c r="S26" s="59">
        <f ca="1">AVERAGE(OFFSET($R$3,0,0,'Données projet'!$E$9+1,1))-AVERAGE(OFFSET($H$3,0,0,'Données projet'!$E$9+1,1))</f>
        <v>251.05216782177348</v>
      </c>
      <c r="T26" s="59">
        <f t="shared" si="34"/>
        <v>247.96048911281406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12.6</v>
      </c>
      <c r="AI26" s="13">
        <f>IF('Données projet'!$A$62&gt;35,AI25+AH26-AQ25,IF(A26&lt;'Données projet'!$A$62,$AF$205^A26,IF(A26='Données projet'!$A$62,'Données projet'!$B$62,AI25+AH26-AQ25)))</f>
        <v>89.799999999999983</v>
      </c>
      <c r="AJ26" s="13">
        <f>AI26*VLOOKUP('Données projet'!$B$10,Paramètres!$A$1:$I$89,3,0)*VLOOKUP('Données projet'!$B$10,Paramètres!$A$1:$I$89,5,0)</f>
        <v>71.444879999999998</v>
      </c>
      <c r="AK26" s="13">
        <f t="shared" si="35"/>
        <v>20.03184442542841</v>
      </c>
      <c r="AL26" s="20">
        <f t="shared" si="4"/>
        <v>159.32196170762117</v>
      </c>
      <c r="AM26" s="59">
        <f t="shared" si="5"/>
        <v>452.65529504095446</v>
      </c>
      <c r="AN26" s="59">
        <f ca="1">AVERAGE(OFFSET($AM$3,0,0,'Données projet'!$E$10+1,1))-AVERAGE(OFFSET($H$3,0,0,'Données projet'!$E$10+1,1))</f>
        <v>219.43439115440339</v>
      </c>
      <c r="AO26" s="59">
        <f t="shared" si="36"/>
        <v>217.8880462742099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90.367679999999993</v>
      </c>
      <c r="BF26" s="13">
        <f t="shared" si="37"/>
        <v>24.653879504109455</v>
      </c>
      <c r="BG26" s="20">
        <f t="shared" si="7"/>
        <v>200.32921613632394</v>
      </c>
      <c r="BH26" s="59">
        <f t="shared" si="8"/>
        <v>493.66254946965728</v>
      </c>
      <c r="BI26" s="59">
        <f ca="1">AVERAGE(OFFSET($BH$3,0,0,'Données projet'!$E$11+1,1))-AVERAGE(OFFSET($H$3,0,0,'Données projet'!$E$11+1,1))</f>
        <v>279.89725537926205</v>
      </c>
      <c r="BJ26" s="59">
        <f t="shared" si="38"/>
        <v>276.69392352410654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10.199999999999999</v>
      </c>
      <c r="N27" s="13">
        <f>IF('Données projet'!$A$36&gt;35,N26+M27-V26,IF(A27&lt;'Données projet'!$A$36,$K$205^A27,IF(A27='Données projet'!$A$36,'Données projet'!$B$36,N26+M27-V26)))</f>
        <v>115.8</v>
      </c>
      <c r="O27" s="13">
        <f>N27*VLOOKUP('Données projet'!$B$9,Paramètres!$A$1:$I$89,3,0)*VLOOKUP('Données projet'!$B$9,Paramètres!$A$1:$I$89,5,0)</f>
        <v>101.16288</v>
      </c>
      <c r="P27" s="13">
        <f t="shared" si="33"/>
        <v>27.238850979377386</v>
      </c>
      <c r="Q27" s="20">
        <f t="shared" si="2"/>
        <v>223.63301478908227</v>
      </c>
      <c r="R27" s="59">
        <f t="shared" si="0"/>
        <v>516.96634812241564</v>
      </c>
      <c r="S27" s="59">
        <f ca="1">AVERAGE(OFFSET($R$3,0,0,'Données projet'!$E$9+1,1))-AVERAGE(OFFSET($H$3,0,0,'Données projet'!$E$9+1,1))</f>
        <v>251.05216782177348</v>
      </c>
      <c r="T27" s="59">
        <f t="shared" si="34"/>
        <v>247.96048911281406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12.6</v>
      </c>
      <c r="AI27" s="13">
        <f>IF('Données projet'!$A$62&gt;35,AI26+AH27-AQ26,IF(A27&lt;'Données projet'!$A$62,$AF$205^A27,IF(A27='Données projet'!$A$62,'Données projet'!$B$62,AI26+AH27-AQ26)))</f>
        <v>102.39999999999998</v>
      </c>
      <c r="AJ27" s="13">
        <f>AI27*VLOOKUP('Données projet'!$B$10,Paramètres!$A$1:$I$89,3,0)*VLOOKUP('Données projet'!$B$10,Paramètres!$A$1:$I$89,5,0)</f>
        <v>81.469439999999992</v>
      </c>
      <c r="AK27" s="13">
        <f t="shared" si="35"/>
        <v>22.496088365195678</v>
      </c>
      <c r="AL27" s="20">
        <f t="shared" si="4"/>
        <v>181.07329523604912</v>
      </c>
      <c r="AM27" s="59">
        <f t="shared" si="5"/>
        <v>474.40662856938241</v>
      </c>
      <c r="AN27" s="59">
        <f ca="1">AVERAGE(OFFSET($AM$3,0,0,'Données projet'!$E$10+1,1))-AVERAGE(OFFSET($H$3,0,0,'Données projet'!$E$10+1,1))</f>
        <v>219.43439115440339</v>
      </c>
      <c r="AO27" s="59">
        <f t="shared" si="36"/>
        <v>217.8880462742099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102.37344</v>
      </c>
      <c r="BF27" s="13">
        <f t="shared" si="37"/>
        <v>27.526662647523008</v>
      </c>
      <c r="BG27" s="20">
        <f t="shared" si="7"/>
        <v>226.24267877776924</v>
      </c>
      <c r="BH27" s="59">
        <f t="shared" si="8"/>
        <v>519.5760121111025</v>
      </c>
      <c r="BI27" s="59">
        <f ca="1">AVERAGE(OFFSET($BH$3,0,0,'Données projet'!$E$11+1,1))-AVERAGE(OFFSET($H$3,0,0,'Données projet'!$E$11+1,1))</f>
        <v>279.89725537926205</v>
      </c>
      <c r="BJ27" s="59">
        <f t="shared" si="38"/>
        <v>276.69392352410654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126</v>
      </c>
      <c r="L28" s="12">
        <f>VLOOKUP(A28,'Données projet'!$A$35:$I$55,9,0)</f>
        <v>10.199999999999999</v>
      </c>
      <c r="M28" s="12">
        <f t="array" ref="M28">INDEX(L:L,MIN(IF(ISNUMBER(L28:L224),ROW(L28:L224),"")))</f>
        <v>10.199999999999999</v>
      </c>
      <c r="N28" s="13">
        <f>IF('Données projet'!$A$36&gt;35,N27+M28-V27,IF(A28&lt;'Données projet'!$A$36,$K$205^A28,IF(A28='Données projet'!$A$36,'Données projet'!$B$36,N27+M28-V27)))</f>
        <v>126</v>
      </c>
      <c r="O28" s="13">
        <f>N28*VLOOKUP('Données projet'!$B$9,Paramètres!$A$1:$I$89,3,0)*VLOOKUP('Données projet'!$B$9,Paramètres!$A$1:$I$89,5,0)</f>
        <v>110.07360000000001</v>
      </c>
      <c r="P28" s="13">
        <f t="shared" si="33"/>
        <v>29.348324631518828</v>
      </c>
      <c r="Q28" s="20">
        <f t="shared" si="2"/>
        <v>242.8265187332286</v>
      </c>
      <c r="R28" s="59">
        <f t="shared" si="0"/>
        <v>536.15985206656194</v>
      </c>
      <c r="S28" s="59">
        <f ca="1">AVERAGE(OFFSET($R$3,0,0,'Données projet'!$E$9+1,1))-AVERAGE(OFFSET($H$3,0,0,'Données projet'!$E$9+1,1))</f>
        <v>251.05216782177348</v>
      </c>
      <c r="T28" s="59">
        <f t="shared" si="34"/>
        <v>247.96048911281406</v>
      </c>
      <c r="U28" s="15">
        <f>IF(ISNA(VLOOKUP(A28,'Données projet'!$A$35:$I$55,3,0)),0,VLOOKUP(A28,'Données projet'!$A$35:$I$55,3,0))</f>
        <v>4</v>
      </c>
      <c r="V28" s="15">
        <f>IF(ISNA(VLOOKUP(A28,'Données projet'!$A$35:$I$55,4,0)),0,VLOOKUP(A28,'Données projet'!$A$35:$I$55,4,0))</f>
        <v>26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115</v>
      </c>
      <c r="AG28" s="12">
        <f>VLOOKUP(A28,'Données projet'!$A$61:$I$81,9,0)</f>
        <v>12.6</v>
      </c>
      <c r="AH28" s="12">
        <f t="array" ref="AH28">INDEX(AG:AG,MIN(IF(ISNUMBER(AG28:AG224),ROW(AG28:AG224),"")))</f>
        <v>12.6</v>
      </c>
      <c r="AI28" s="13">
        <f>IF('Données projet'!$A$62&gt;35,AI27+AH28-AQ27,IF(A28&lt;'Données projet'!$A$62,$AF$205^A28,IF(A28='Données projet'!$A$62,'Données projet'!$B$62,AI27+AH28-AQ27)))</f>
        <v>114.99999999999997</v>
      </c>
      <c r="AJ28" s="13">
        <f>AI28*VLOOKUP('Données projet'!$B$10,Paramètres!$A$1:$I$89,3,0)*VLOOKUP('Données projet'!$B$10,Paramètres!$A$1:$I$89,5,0)</f>
        <v>91.493999999999986</v>
      </c>
      <c r="AK28" s="13">
        <f t="shared" si="35"/>
        <v>24.925195840896517</v>
      </c>
      <c r="AL28" s="20">
        <f t="shared" si="4"/>
        <v>202.76343275622807</v>
      </c>
      <c r="AM28" s="59">
        <f t="shared" si="5"/>
        <v>496.09676608956136</v>
      </c>
      <c r="AN28" s="59">
        <f ca="1">AVERAGE(OFFSET($AM$3,0,0,'Données projet'!$E$10+1,1))-AVERAGE(OFFSET($H$3,0,0,'Données projet'!$E$10+1,1))</f>
        <v>219.43439115440339</v>
      </c>
      <c r="AO28" s="59">
        <f t="shared" si="36"/>
        <v>217.8880462742099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114.3792</v>
      </c>
      <c r="BF28" s="13">
        <f t="shared" si="37"/>
        <v>30.360402323573549</v>
      </c>
      <c r="BG28" s="20">
        <f t="shared" si="7"/>
        <v>252.08814071355724</v>
      </c>
      <c r="BH28" s="59">
        <f t="shared" si="8"/>
        <v>545.42147404689058</v>
      </c>
      <c r="BI28" s="59">
        <f ca="1">AVERAGE(OFFSET($BH$3,0,0,'Données projet'!$E$11+1,1))-AVERAGE(OFFSET($H$3,0,0,'Données projet'!$E$11+1,1))</f>
        <v>279.89725537926205</v>
      </c>
      <c r="BJ28" s="59">
        <f t="shared" si="38"/>
        <v>276.69392352410654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0.10600000000000001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3.3269705916641499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3.3269705916641499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9.8000000000000007</v>
      </c>
      <c r="N29" s="13">
        <f>IF('Données projet'!$A$36&gt;35,N28+M29-V28,IF(A29&lt;'Données projet'!$A$36,$K$205^A29,IF(A29='Données projet'!$A$36,'Données projet'!$B$36,N28+M29-V28)))</f>
        <v>109.80000000000001</v>
      </c>
      <c r="O29" s="13">
        <f>N29*VLOOKUP('Données projet'!$B$9,Paramètres!$A$1:$I$89,3,0)*VLOOKUP('Données projet'!$B$9,Paramètres!$A$1:$I$89,5,0)</f>
        <v>95.921280000000024</v>
      </c>
      <c r="P29" s="13">
        <f t="shared" si="33"/>
        <v>25.98795633328076</v>
      </c>
      <c r="Q29" s="20">
        <f t="shared" si="2"/>
        <v>212.32525328046404</v>
      </c>
      <c r="R29" s="59">
        <f t="shared" si="0"/>
        <v>505.65858661379735</v>
      </c>
      <c r="S29" s="59">
        <f ca="1">AVERAGE(OFFSET($R$3,0,0,'Données projet'!$E$9+1,1))-AVERAGE(OFFSET($H$3,0,0,'Données projet'!$E$9+1,1))</f>
        <v>251.05216782177348</v>
      </c>
      <c r="T29" s="59">
        <f t="shared" si="34"/>
        <v>247.96048911281406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11.8</v>
      </c>
      <c r="AI29" s="13">
        <f>IF('Données projet'!$A$62&gt;35,AI28+AH29-AQ28,IF(A29&lt;'Données projet'!$A$62,$AF$205^A29,IF(A29='Données projet'!$A$62,'Données projet'!$B$62,AI28+AH29-AQ28)))</f>
        <v>98.799999999999969</v>
      </c>
      <c r="AJ29" s="13">
        <f>AI29*VLOOKUP('Données projet'!$B$10,Paramètres!$A$1:$I$89,3,0)*VLOOKUP('Données projet'!$B$10,Paramètres!$A$1:$I$89,5,0)</f>
        <v>78.605279999999979</v>
      </c>
      <c r="AK29" s="13">
        <f t="shared" si="35"/>
        <v>21.795819556945734</v>
      </c>
      <c r="AL29" s="20">
        <f t="shared" si="4"/>
        <v>174.86524839501377</v>
      </c>
      <c r="AM29" s="59">
        <f t="shared" si="5"/>
        <v>468.19858172834711</v>
      </c>
      <c r="AN29" s="59">
        <f ca="1">AVERAGE(OFFSET($AM$3,0,0,'Données projet'!$E$10+1,1))-AVERAGE(OFFSET($H$3,0,0,'Données projet'!$E$10+1,1))</f>
        <v>219.43439115440339</v>
      </c>
      <c r="AO29" s="59">
        <f t="shared" si="36"/>
        <v>217.8880462742099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97.506239999999977</v>
      </c>
      <c r="BF29" s="13">
        <f t="shared" si="37"/>
        <v>26.367023243681039</v>
      </c>
      <c r="BG29" s="20">
        <f t="shared" si="7"/>
        <v>215.74593348274445</v>
      </c>
      <c r="BH29" s="59">
        <f t="shared" si="8"/>
        <v>509.07926681607773</v>
      </c>
      <c r="BI29" s="59">
        <f ca="1">AVERAGE(OFFSET($BH$3,0,0,'Données projet'!$E$11+1,1))-AVERAGE(OFFSET($H$3,0,0,'Données projet'!$E$11+1,1))</f>
        <v>279.89725537926205</v>
      </c>
      <c r="BJ29" s="59">
        <f t="shared" si="38"/>
        <v>276.69392352410654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3.2617307276133047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3.2617307276133047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9.8000000000000007</v>
      </c>
      <c r="N30" s="13">
        <f>IF('Données projet'!$A$36&gt;35,N29+M30-V29,IF(A30&lt;'Données projet'!$A$36,$K$205^A30,IF(A30='Données projet'!$A$36,'Données projet'!$B$36,N29+M30-V29)))</f>
        <v>119.60000000000001</v>
      </c>
      <c r="O30" s="13">
        <f>N30*VLOOKUP('Données projet'!$B$9,Paramètres!$A$1:$I$89,3,0)*VLOOKUP('Données projet'!$B$9,Paramètres!$A$1:$I$89,5,0)</f>
        <v>104.48256000000002</v>
      </c>
      <c r="P30" s="13">
        <f t="shared" si="33"/>
        <v>28.02716504477474</v>
      </c>
      <c r="Q30" s="20">
        <f t="shared" si="2"/>
        <v>230.78777111964939</v>
      </c>
      <c r="R30" s="59">
        <f t="shared" si="0"/>
        <v>524.12110445298276</v>
      </c>
      <c r="S30" s="59">
        <f ca="1">AVERAGE(OFFSET($R$3,0,0,'Données projet'!$E$9+1,1))-AVERAGE(OFFSET($H$3,0,0,'Données projet'!$E$9+1,1))</f>
        <v>251.05216782177348</v>
      </c>
      <c r="T30" s="59">
        <f t="shared" si="34"/>
        <v>247.96048911281406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11.8</v>
      </c>
      <c r="AI30" s="13">
        <f>IF('Données projet'!$A$62&gt;35,AI29+AH30-AQ29,IF(A30&lt;'Données projet'!$A$62,$AF$205^A30,IF(A30='Données projet'!$A$62,'Données projet'!$B$62,AI29+AH30-AQ29)))</f>
        <v>110.59999999999997</v>
      </c>
      <c r="AJ30" s="13">
        <f>AI30*VLOOKUP('Données projet'!$B$10,Paramètres!$A$1:$I$89,3,0)*VLOOKUP('Données projet'!$B$10,Paramètres!$A$1:$I$89,5,0)</f>
        <v>87.993359999999981</v>
      </c>
      <c r="AK30" s="13">
        <f t="shared" si="35"/>
        <v>24.080638481970816</v>
      </c>
      <c r="AL30" s="20">
        <f t="shared" si="4"/>
        <v>195.19554735609913</v>
      </c>
      <c r="AM30" s="59">
        <f t="shared" si="5"/>
        <v>488.52888068943241</v>
      </c>
      <c r="AN30" s="59">
        <f ca="1">AVERAGE(OFFSET($AM$3,0,0,'Données projet'!$E$10+1,1))-AVERAGE(OFFSET($H$3,0,0,'Données projet'!$E$10+1,1))</f>
        <v>219.43439115440339</v>
      </c>
      <c r="AO30" s="59">
        <f t="shared" si="36"/>
        <v>217.8880462742099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109.02527999999997</v>
      </c>
      <c r="BF30" s="13">
        <f t="shared" si="37"/>
        <v>29.101214110737224</v>
      </c>
      <c r="BG30" s="20">
        <f t="shared" si="7"/>
        <v>240.57031057620057</v>
      </c>
      <c r="BH30" s="59">
        <f t="shared" si="8"/>
        <v>533.90364390953391</v>
      </c>
      <c r="BI30" s="59">
        <f ca="1">AVERAGE(OFFSET($BH$3,0,0,'Données projet'!$E$11+1,1))-AVERAGE(OFFSET($H$3,0,0,'Données projet'!$E$11+1,1))</f>
        <v>279.89725537926205</v>
      </c>
      <c r="BJ30" s="59">
        <f t="shared" si="38"/>
        <v>276.69392352410654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3.197770177504109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3.197770177504109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9.8000000000000007</v>
      </c>
      <c r="N31" s="13">
        <f>IF('Données projet'!$A$36&gt;35,N30+M31-V30,IF(A31&lt;'Données projet'!$A$36,$K$205^A31,IF(A31='Données projet'!$A$36,'Données projet'!$B$36,N30+M31-V30)))</f>
        <v>129.4</v>
      </c>
      <c r="O31" s="13">
        <f>N31*VLOOKUP('Données projet'!$B$9,Paramètres!$A$1:$I$89,3,0)*VLOOKUP('Données projet'!$B$9,Paramètres!$A$1:$I$89,5,0)</f>
        <v>113.04384000000002</v>
      </c>
      <c r="P31" s="13">
        <f t="shared" si="33"/>
        <v>30.046993788338579</v>
      </c>
      <c r="Q31" s="20">
        <f t="shared" si="2"/>
        <v>249.2165355146897</v>
      </c>
      <c r="R31" s="59">
        <f t="shared" si="0"/>
        <v>542.54986884802304</v>
      </c>
      <c r="S31" s="59">
        <f ca="1">AVERAGE(OFFSET($R$3,0,0,'Données projet'!$E$9+1,1))-AVERAGE(OFFSET($H$3,0,0,'Données projet'!$E$9+1,1))</f>
        <v>251.05216782177348</v>
      </c>
      <c r="T31" s="59">
        <f t="shared" si="34"/>
        <v>247.96048911281406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11.8</v>
      </c>
      <c r="AI31" s="13">
        <f>IF('Données projet'!$A$62&gt;35,AI30+AH31-AQ30,IF(A31&lt;'Données projet'!$A$62,$AF$205^A31,IF(A31='Données projet'!$A$62,'Données projet'!$B$62,AI30+AH31-AQ30)))</f>
        <v>122.39999999999996</v>
      </c>
      <c r="AJ31" s="13">
        <f>AI31*VLOOKUP('Données projet'!$B$10,Paramètres!$A$1:$I$89,3,0)*VLOOKUP('Données projet'!$B$10,Paramètres!$A$1:$I$89,5,0)</f>
        <v>97.381439999999984</v>
      </c>
      <c r="AK31" s="13">
        <f t="shared" si="35"/>
        <v>26.337201615555198</v>
      </c>
      <c r="AL31" s="20">
        <f t="shared" si="4"/>
        <v>215.47663414709197</v>
      </c>
      <c r="AM31" s="59">
        <f t="shared" si="5"/>
        <v>508.80996748042526</v>
      </c>
      <c r="AN31" s="59">
        <f ca="1">AVERAGE(OFFSET($AM$3,0,0,'Données projet'!$E$10+1,1))-AVERAGE(OFFSET($H$3,0,0,'Données projet'!$E$10+1,1))</f>
        <v>219.43439115440339</v>
      </c>
      <c r="AO31" s="59">
        <f t="shared" si="36"/>
        <v>217.8880462742099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120.54431999999997</v>
      </c>
      <c r="BF31" s="13">
        <f t="shared" si="37"/>
        <v>31.801919536644224</v>
      </c>
      <c r="BG31" s="20">
        <f t="shared" si="7"/>
        <v>265.33636719298863</v>
      </c>
      <c r="BH31" s="59">
        <f t="shared" si="8"/>
        <v>558.669700526322</v>
      </c>
      <c r="BI31" s="59">
        <f ca="1">AVERAGE(OFFSET($BH$3,0,0,'Données projet'!$E$11+1,1))-AVERAGE(OFFSET($H$3,0,0,'Données projet'!$E$11+1,1))</f>
        <v>279.89725537926205</v>
      </c>
      <c r="BJ31" s="59">
        <f t="shared" si="38"/>
        <v>276.69392352410654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3.135063854770471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3.135063854770471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9.8000000000000007</v>
      </c>
      <c r="N32" s="13">
        <f>IF('Données projet'!$A$36&gt;35,N31+M32-V31,IF(A32&lt;'Données projet'!$A$36,$K$205^A32,IF(A32='Données projet'!$A$36,'Données projet'!$B$36,N31+M32-V31)))</f>
        <v>139.20000000000002</v>
      </c>
      <c r="O32" s="13">
        <f>N32*VLOOKUP('Données projet'!$B$9,Paramètres!$A$1:$I$89,3,0)*VLOOKUP('Données projet'!$B$9,Paramètres!$A$1:$I$89,5,0)</f>
        <v>121.60512000000003</v>
      </c>
      <c r="P32" s="13">
        <f t="shared" si="33"/>
        <v>32.049077176455789</v>
      </c>
      <c r="Q32" s="20">
        <f t="shared" si="2"/>
        <v>267.61439341566057</v>
      </c>
      <c r="R32" s="59">
        <f t="shared" si="0"/>
        <v>560.94772674899389</v>
      </c>
      <c r="S32" s="59">
        <f ca="1">AVERAGE(OFFSET($R$3,0,0,'Données projet'!$E$9+1,1))-AVERAGE(OFFSET($H$3,0,0,'Données projet'!$E$9+1,1))</f>
        <v>251.05216782177348</v>
      </c>
      <c r="T32" s="59">
        <f t="shared" si="34"/>
        <v>247.96048911281406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11.8</v>
      </c>
      <c r="AI32" s="13">
        <f>IF('Données projet'!$A$62&gt;35,AI31+AH32-AQ31,IF(A32&lt;'Données projet'!$A$62,$AF$205^A32,IF(A32='Données projet'!$A$62,'Données projet'!$B$62,AI31+AH32-AQ31)))</f>
        <v>134.19999999999996</v>
      </c>
      <c r="AJ32" s="13">
        <f>AI32*VLOOKUP('Données projet'!$B$10,Paramètres!$A$1:$I$89,3,0)*VLOOKUP('Données projet'!$B$10,Paramètres!$A$1:$I$89,5,0)</f>
        <v>106.76951999999997</v>
      </c>
      <c r="AK32" s="13">
        <f t="shared" si="35"/>
        <v>28.568542914630683</v>
      </c>
      <c r="AL32" s="20">
        <f t="shared" si="4"/>
        <v>235.71379290964839</v>
      </c>
      <c r="AM32" s="59">
        <f t="shared" si="5"/>
        <v>529.04712624298168</v>
      </c>
      <c r="AN32" s="59">
        <f ca="1">AVERAGE(OFFSET($AM$3,0,0,'Données projet'!$E$10+1,1))-AVERAGE(OFFSET($H$3,0,0,'Données projet'!$E$10+1,1))</f>
        <v>219.43439115440339</v>
      </c>
      <c r="AO32" s="59">
        <f t="shared" si="36"/>
        <v>217.8880462742099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132.06335999999996</v>
      </c>
      <c r="BF32" s="13">
        <f t="shared" si="37"/>
        <v>34.472703398877925</v>
      </c>
      <c r="BG32" s="20">
        <f t="shared" si="7"/>
        <v>290.05031041971233</v>
      </c>
      <c r="BH32" s="59">
        <f t="shared" si="8"/>
        <v>583.38364375304559</v>
      </c>
      <c r="BI32" s="59">
        <f ca="1">AVERAGE(OFFSET($BH$3,0,0,'Données projet'!$E$11+1,1))-AVERAGE(OFFSET($H$3,0,0,'Données projet'!$E$11+1,1))</f>
        <v>279.89725537926205</v>
      </c>
      <c r="BJ32" s="59">
        <f t="shared" si="38"/>
        <v>276.69392352410654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3.0735871647785595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3.0735871647785595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149</v>
      </c>
      <c r="L33" s="12">
        <f>VLOOKUP(A33,'Données projet'!$A$35:$I$55,9,0)</f>
        <v>9.8000000000000007</v>
      </c>
      <c r="M33" s="12">
        <f t="array" ref="M33">INDEX(L:L,MIN(IF(ISNUMBER(L33:L229),ROW(L33:L229),"")))</f>
        <v>9.8000000000000007</v>
      </c>
      <c r="N33" s="13">
        <f>IF('Données projet'!$A$36&gt;35,N32+M33-V32,IF(A33&lt;'Données projet'!$A$36,$K$205^A33,IF(A33='Données projet'!$A$36,'Données projet'!$B$36,N32+M33-V32)))</f>
        <v>149.00000000000003</v>
      </c>
      <c r="O33" s="13">
        <f>N33*VLOOKUP('Données projet'!$B$9,Paramètres!$A$1:$I$89,3,0)*VLOOKUP('Données projet'!$B$9,Paramètres!$A$1:$I$89,5,0)</f>
        <v>130.16640000000004</v>
      </c>
      <c r="P33" s="13">
        <f t="shared" si="33"/>
        <v>34.034806623706302</v>
      </c>
      <c r="Q33" s="20">
        <f t="shared" si="2"/>
        <v>285.98376820295522</v>
      </c>
      <c r="R33" s="59">
        <f t="shared" si="0"/>
        <v>579.31710153628853</v>
      </c>
      <c r="S33" s="59">
        <f ca="1">AVERAGE(OFFSET($R$3,0,0,'Données projet'!$E$9+1,1))-AVERAGE(OFFSET($H$3,0,0,'Données projet'!$E$9+1,1))</f>
        <v>251.05216782177348</v>
      </c>
      <c r="T33" s="59">
        <f t="shared" si="34"/>
        <v>247.96048911281406</v>
      </c>
      <c r="U33" s="15">
        <f>IF(ISNA(VLOOKUP(A33,'Données projet'!$A$35:$I$55,3,0)),0,VLOOKUP(A33,'Données projet'!$A$35:$I$55,3,0))</f>
        <v>5</v>
      </c>
      <c r="V33" s="15">
        <f>IF(ISNA(VLOOKUP(A33,'Données projet'!$A$35:$I$55,4,0)),0,VLOOKUP(A33,'Données projet'!$A$35:$I$55,4,0))</f>
        <v>27</v>
      </c>
      <c r="W33" s="16">
        <f>IF(ISNA(VLOOKUP(A33,'Données projet'!$A$35:$I$55,5,0)),0%,VLOOKUP(A33,'Données projet'!$A$35:$I$55,5,0)*VLOOKUP('Données projet'!$B$9,Paramètres!$A$1:$I$89,7,0))</f>
        <v>8.6000000000000007E-2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2.2424457805062863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2.2424457805062863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</v>
      </c>
      <c r="AG33" s="12">
        <f>VLOOKUP(A33,'Données projet'!$A$61:$I$81,9,0)</f>
        <v>11.8</v>
      </c>
      <c r="AH33" s="12">
        <f t="array" ref="AH33">INDEX(AG:AG,MIN(IF(ISNUMBER(AG33:AG229),ROW(AG33:AG229),"")))</f>
        <v>11.8</v>
      </c>
      <c r="AI33" s="13">
        <f>IF('Données projet'!$A$62&gt;35,AI32+AH33-AQ32,IF(A33&lt;'Données projet'!$A$62,$AF$205^A33,IF(A33='Données projet'!$A$62,'Données projet'!$B$62,AI32+AH33-AQ32)))</f>
        <v>145.99999999999997</v>
      </c>
      <c r="AJ33" s="13">
        <f>AI33*VLOOKUP('Données projet'!$B$10,Paramètres!$A$1:$I$89,3,0)*VLOOKUP('Données projet'!$B$10,Paramètres!$A$1:$I$89,5,0)</f>
        <v>116.15759999999999</v>
      </c>
      <c r="AK33" s="13">
        <f t="shared" si="35"/>
        <v>30.777132266613055</v>
      </c>
      <c r="AL33" s="20">
        <f t="shared" si="4"/>
        <v>255.91132536435109</v>
      </c>
      <c r="AM33" s="59">
        <f t="shared" si="5"/>
        <v>549.24465869768437</v>
      </c>
      <c r="AN33" s="59">
        <f ca="1">AVERAGE(OFFSET($AM$3,0,0,'Données projet'!$E$10+1,1))-AVERAGE(OFFSET($H$3,0,0,'Données projet'!$E$10+1,1))</f>
        <v>219.43439115440339</v>
      </c>
      <c r="AO33" s="59">
        <f t="shared" si="36"/>
        <v>217.8880462742099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0.10600000000000001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2.6103923103826401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2.6103923103826401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143.58239999999995</v>
      </c>
      <c r="BF33" s="13">
        <f t="shared" si="37"/>
        <v>37.116472314400653</v>
      </c>
      <c r="BG33" s="20">
        <f t="shared" si="7"/>
        <v>314.7172026142477</v>
      </c>
      <c r="BH33" s="59">
        <f t="shared" si="8"/>
        <v>608.05053594758101</v>
      </c>
      <c r="BI33" s="59">
        <f ca="1">AVERAGE(OFFSET($BH$3,0,0,'Données projet'!$E$11+1,1))-AVERAGE(OFFSET($H$3,0,0,'Données projet'!$E$11+1,1))</f>
        <v>279.89725537926205</v>
      </c>
      <c r="BJ33" s="59">
        <f t="shared" si="38"/>
        <v>276.69392352410654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0.159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8.0037718826765349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8.0037718826765349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9.1999999999999993</v>
      </c>
      <c r="N34" s="13">
        <f>IF('Données projet'!$A$36&gt;35,N33+M34-V33,IF(A34&lt;'Données projet'!$A$36,$K$205^A34,IF(A34='Données projet'!$A$36,'Données projet'!$B$36,N33+M34-V33)))</f>
        <v>131.20000000000002</v>
      </c>
      <c r="O34" s="13">
        <f>N34*VLOOKUP('Données projet'!$B$9,Paramètres!$A$1:$I$89,3,0)*VLOOKUP('Données projet'!$B$9,Paramètres!$A$1:$I$89,5,0)</f>
        <v>114.61632000000004</v>
      </c>
      <c r="P34" s="13">
        <f t="shared" si="33"/>
        <v>30.416009647934409</v>
      </c>
      <c r="Q34" s="20">
        <f t="shared" si="2"/>
        <v>252.59797413681915</v>
      </c>
      <c r="R34" s="59">
        <f t="shared" si="0"/>
        <v>545.93130747015243</v>
      </c>
      <c r="S34" s="59">
        <f ca="1">AVERAGE(OFFSET($R$3,0,0,'Données projet'!$E$9+1,1))-AVERAGE(OFFSET($H$3,0,0,'Données projet'!$E$9+1,1))</f>
        <v>251.05216782177348</v>
      </c>
      <c r="T34" s="59">
        <f t="shared" si="34"/>
        <v>247.96048911281406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2.1984727865074292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2.1984727865074292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128.79999999999998</v>
      </c>
      <c r="AJ34" s="13">
        <f>AI34*VLOOKUP('Données projet'!$B$10,Paramètres!$A$1:$I$89,3,0)*VLOOKUP('Données projet'!$B$10,Paramètres!$A$1:$I$89,5,0)</f>
        <v>102.47327999999999</v>
      </c>
      <c r="AK34" s="13">
        <f t="shared" si="35"/>
        <v>27.550381949314474</v>
      </c>
      <c r="AL34" s="20">
        <f t="shared" si="4"/>
        <v>226.45787789505599</v>
      </c>
      <c r="AM34" s="59">
        <f t="shared" si="5"/>
        <v>519.79121122838933</v>
      </c>
      <c r="AN34" s="59">
        <f ca="1">AVERAGE(OFFSET($AM$3,0,0,'Données projet'!$E$10+1,1))-AVERAGE(OFFSET($H$3,0,0,'Données projet'!$E$10+1,1))</f>
        <v>219.43439115440339</v>
      </c>
      <c r="AO34" s="59">
        <f t="shared" si="36"/>
        <v>217.8880462742099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2.5592041093581308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2.5592041093581308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125.57375999999995</v>
      </c>
      <c r="BF34" s="13">
        <f t="shared" si="37"/>
        <v>32.97153235129214</v>
      </c>
      <c r="BG34" s="20">
        <f t="shared" si="7"/>
        <v>276.13305084516702</v>
      </c>
      <c r="BH34" s="59">
        <f t="shared" si="8"/>
        <v>569.46638417850033</v>
      </c>
      <c r="BI34" s="59">
        <f ca="1">AVERAGE(OFFSET($BH$3,0,0,'Données projet'!$E$11+1,1))-AVERAGE(OFFSET($H$3,0,0,'Données projet'!$E$11+1,1))</f>
        <v>279.89725537926205</v>
      </c>
      <c r="BJ34" s="59">
        <f t="shared" si="38"/>
        <v>276.69392352410654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7.8468227978760572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7.8468227978760572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9.1999999999999993</v>
      </c>
      <c r="N35" s="13">
        <f>IF('Données projet'!$A$36&gt;35,N34+M35-V34,IF(A35&lt;'Données projet'!$A$36,$K$205^A35,IF(A35='Données projet'!$A$36,'Données projet'!$B$36,N34+M35-V34)))</f>
        <v>140.4</v>
      </c>
      <c r="O35" s="13">
        <f>N35*VLOOKUP('Données projet'!$B$9,Paramètres!$A$1:$I$89,3,0)*VLOOKUP('Données projet'!$B$9,Paramètres!$A$1:$I$89,5,0)</f>
        <v>122.65344000000002</v>
      </c>
      <c r="P35" s="13">
        <f t="shared" si="33"/>
        <v>32.293080640759037</v>
      </c>
      <c r="Q35" s="20">
        <f t="shared" ref="Q35:Q66" si="53">(O35+P35)*0.475*44/12</f>
        <v>269.8651901159887</v>
      </c>
      <c r="R35" s="59">
        <f t="shared" si="0"/>
        <v>563.19852344932201</v>
      </c>
      <c r="S35" s="59">
        <f ca="1">AVERAGE(OFFSET($R$3,0,0,'Données projet'!$E$9+1,1))-AVERAGE(OFFSET($H$3,0,0,'Données projet'!$E$9+1,1))</f>
        <v>251.05216782177348</v>
      </c>
      <c r="T35" s="59">
        <f t="shared" si="34"/>
        <v>247.96048911281406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2.1553620761000118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2.1553620761000118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139.6</v>
      </c>
      <c r="AJ35" s="13">
        <f>AI35*VLOOKUP('Données projet'!$B$10,Paramètres!$A$1:$I$89,3,0)*VLOOKUP('Données projet'!$B$10,Paramètres!$A$1:$I$89,5,0)</f>
        <v>111.06576</v>
      </c>
      <c r="AK35" s="13">
        <f t="shared" si="35"/>
        <v>29.581944857062648</v>
      </c>
      <c r="AL35" s="20">
        <f t="shared" si="4"/>
        <v>244.96141929271744</v>
      </c>
      <c r="AM35" s="59">
        <f t="shared" si="5"/>
        <v>538.29475262605069</v>
      </c>
      <c r="AN35" s="59">
        <f ca="1">AVERAGE(OFFSET($AM$3,0,0,'Données projet'!$E$10+1,1))-AVERAGE(OFFSET($H$3,0,0,'Données projet'!$E$10+1,1))</f>
        <v>219.43439115440339</v>
      </c>
      <c r="AO35" s="59">
        <f t="shared" si="36"/>
        <v>217.8880462742099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2.5090196777339924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2.5090196777339924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135.95711999999997</v>
      </c>
      <c r="BF35" s="13">
        <f t="shared" si="37"/>
        <v>35.369264877838596</v>
      </c>
      <c r="BG35" s="20">
        <f t="shared" si="7"/>
        <v>298.39345366223546</v>
      </c>
      <c r="BH35" s="59">
        <f t="shared" si="8"/>
        <v>591.72678699556877</v>
      </c>
      <c r="BI35" s="59">
        <f ca="1">AVERAGE(OFFSET($BH$3,0,0,'Données projet'!$E$11+1,1))-AVERAGE(OFFSET($H$3,0,0,'Données projet'!$E$11+1,1))</f>
        <v>279.89725537926205</v>
      </c>
      <c r="BJ35" s="59">
        <f t="shared" si="38"/>
        <v>276.69392352410654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7.6929513888990275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7.6929513888990275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9.1999999999999993</v>
      </c>
      <c r="N36" s="13">
        <f>IF('Données projet'!$A$36&gt;35,N35+M36-V35,IF(A36&lt;'Données projet'!$A$36,$K$205^A36,IF(A36='Données projet'!$A$36,'Données projet'!$B$36,N35+M36-V35)))</f>
        <v>149.6</v>
      </c>
      <c r="O36" s="13">
        <f>N36*VLOOKUP('Données projet'!$B$9,Paramètres!$A$1:$I$89,3,0)*VLOOKUP('Données projet'!$B$9,Paramètres!$A$1:$I$89,5,0)</f>
        <v>130.69056000000003</v>
      </c>
      <c r="P36" s="13">
        <f t="shared" si="33"/>
        <v>34.155878238422723</v>
      </c>
      <c r="Q36" s="20">
        <f t="shared" si="53"/>
        <v>287.10754659858628</v>
      </c>
      <c r="R36" s="59">
        <f t="shared" si="0"/>
        <v>580.44087993191965</v>
      </c>
      <c r="S36" s="59">
        <f ca="1">AVERAGE(OFFSET($R$3,0,0,'Données projet'!$E$9+1,1))-AVERAGE(OFFSET($H$3,0,0,'Données projet'!$E$9+1,1))</f>
        <v>251.05216782177348</v>
      </c>
      <c r="T36" s="59">
        <f t="shared" si="34"/>
        <v>247.96048911281406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2.1130967404287468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2.1130967404287468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150.4</v>
      </c>
      <c r="AJ36" s="13">
        <f>AI36*VLOOKUP('Données projet'!$B$10,Paramètres!$A$1:$I$89,3,0)*VLOOKUP('Données projet'!$B$10,Paramètres!$A$1:$I$89,5,0)</f>
        <v>119.65824000000002</v>
      </c>
      <c r="AK36" s="13">
        <f t="shared" si="35"/>
        <v>31.595276160231336</v>
      </c>
      <c r="AL36" s="20">
        <f t="shared" si="4"/>
        <v>263.43320731240294</v>
      </c>
      <c r="AM36" s="59">
        <f t="shared" si="5"/>
        <v>556.76654064573631</v>
      </c>
      <c r="AN36" s="59">
        <f ca="1">AVERAGE(OFFSET($AM$3,0,0,'Données projet'!$E$10+1,1))-AVERAGE(OFFSET($H$3,0,0,'Données projet'!$E$10+1,1))</f>
        <v>219.43439115440339</v>
      </c>
      <c r="AO36" s="59">
        <f t="shared" si="36"/>
        <v>217.8880462742099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2.4598193322045225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2.4598193322045225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146.34047999999999</v>
      </c>
      <c r="BF36" s="13">
        <f t="shared" si="37"/>
        <v>37.745754868861937</v>
      </c>
      <c r="BG36" s="20">
        <f t="shared" si="7"/>
        <v>320.6168590632679</v>
      </c>
      <c r="BH36" s="59">
        <f t="shared" si="8"/>
        <v>613.95019239660121</v>
      </c>
      <c r="BI36" s="59">
        <f ca="1">AVERAGE(OFFSET($BH$3,0,0,'Données projet'!$E$11+1,1))-AVERAGE(OFFSET($H$3,0,0,'Données projet'!$E$11+1,1))</f>
        <v>279.89725537926205</v>
      </c>
      <c r="BJ36" s="59">
        <f t="shared" si="38"/>
        <v>276.69392352410654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7.5420973043997446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7.5420973043997446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9.1999999999999993</v>
      </c>
      <c r="N37" s="13">
        <f>IF('Données projet'!$A$36&gt;35,N36+M37-V36,IF(A37&lt;'Données projet'!$A$36,$K$205^A37,IF(A37='Données projet'!$A$36,'Données projet'!$B$36,N36+M37-V36)))</f>
        <v>158.79999999999998</v>
      </c>
      <c r="O37" s="13">
        <f>N37*VLOOKUP('Données projet'!$B$9,Paramètres!$A$1:$I$89,3,0)*VLOOKUP('Données projet'!$B$9,Paramètres!$A$1:$I$89,5,0)</f>
        <v>138.72767999999999</v>
      </c>
      <c r="P37" s="13">
        <f t="shared" si="33"/>
        <v>36.005380160492741</v>
      </c>
      <c r="Q37" s="20">
        <f t="shared" si="53"/>
        <v>304.32674644619152</v>
      </c>
      <c r="R37" s="59">
        <f t="shared" si="0"/>
        <v>597.66007977952484</v>
      </c>
      <c r="S37" s="59">
        <f ca="1">AVERAGE(OFFSET($R$3,0,0,'Données projet'!$E$9+1,1))-AVERAGE(OFFSET($H$3,0,0,'Données projet'!$E$9+1,1))</f>
        <v>251.05216782177348</v>
      </c>
      <c r="T37" s="59">
        <f t="shared" si="34"/>
        <v>247.96048911281406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2.0716602022106865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2.0716602022106865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161.20000000000002</v>
      </c>
      <c r="AJ37" s="13">
        <f>AI37*VLOOKUP('Données projet'!$B$10,Paramètres!$A$1:$I$89,3,0)*VLOOKUP('Données projet'!$B$10,Paramètres!$A$1:$I$89,5,0)</f>
        <v>128.25072</v>
      </c>
      <c r="AK37" s="13">
        <f t="shared" si="35"/>
        <v>33.591833937449593</v>
      </c>
      <c r="AL37" s="20">
        <f t="shared" si="4"/>
        <v>281.875781441058</v>
      </c>
      <c r="AM37" s="59">
        <f t="shared" si="5"/>
        <v>575.20911477439131</v>
      </c>
      <c r="AN37" s="59">
        <f ca="1">AVERAGE(OFFSET($AM$3,0,0,'Données projet'!$E$10+1,1))-AVERAGE(OFFSET($H$3,0,0,'Données projet'!$E$10+1,1))</f>
        <v>219.43439115440339</v>
      </c>
      <c r="AO37" s="59">
        <f t="shared" si="36"/>
        <v>217.8880462742099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2.4115837754416383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2.4115837754416383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156.72383999999997</v>
      </c>
      <c r="BF37" s="13">
        <f t="shared" si="37"/>
        <v>40.102680984620484</v>
      </c>
      <c r="BG37" s="20">
        <f t="shared" si="7"/>
        <v>342.80619071488059</v>
      </c>
      <c r="BH37" s="59">
        <f t="shared" si="8"/>
        <v>636.13952404821384</v>
      </c>
      <c r="BI37" s="59">
        <f ca="1">AVERAGE(OFFSET($BH$3,0,0,'Données projet'!$E$11+1,1))-AVERAGE(OFFSET($H$3,0,0,'Données projet'!$E$11+1,1))</f>
        <v>279.89725537926205</v>
      </c>
      <c r="BJ37" s="59">
        <f t="shared" si="38"/>
        <v>276.69392352410654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7.3942013764855865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7.3942013764855865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168</v>
      </c>
      <c r="L38" s="12">
        <f>VLOOKUP(A38,'Données projet'!$A$35:$I$55,9,0)</f>
        <v>9.1999999999999993</v>
      </c>
      <c r="M38" s="12">
        <f t="array" ref="M38">INDEX(L:L,MIN(IF(ISNUMBER(L38:L234),ROW(L38:L234),"")))</f>
        <v>9.1999999999999993</v>
      </c>
      <c r="N38" s="13">
        <f>IF('Données projet'!$A$36&gt;35,N37+M38-V37,IF(A38&lt;'Données projet'!$A$36,$K$205^A38,IF(A38='Données projet'!$A$36,'Données projet'!$B$36,N37+M38-V37)))</f>
        <v>167.99999999999997</v>
      </c>
      <c r="O38" s="13">
        <f>N38*VLOOKUP('Données projet'!$B$9,Paramètres!$A$1:$I$89,3,0)*VLOOKUP('Données projet'!$B$9,Paramètres!$A$1:$I$89,5,0)</f>
        <v>146.76480000000001</v>
      </c>
      <c r="P38" s="13">
        <f t="shared" si="33"/>
        <v>37.842444439956665</v>
      </c>
      <c r="Q38" s="20">
        <f t="shared" si="53"/>
        <v>321.52428406625785</v>
      </c>
      <c r="R38" s="59">
        <f t="shared" si="0"/>
        <v>614.85761739959116</v>
      </c>
      <c r="S38" s="59">
        <f ca="1">AVERAGE(OFFSET($R$3,0,0,'Données projet'!$E$9+1,1))-AVERAGE(OFFSET($H$3,0,0,'Données projet'!$E$9+1,1))</f>
        <v>251.05216782177348</v>
      </c>
      <c r="T38" s="59">
        <f t="shared" si="34"/>
        <v>247.96048911281406</v>
      </c>
      <c r="U38" s="15">
        <f>IF(ISNA(VLOOKUP(A38,'Données projet'!$A$35:$I$55,3,0)),0,VLOOKUP(A38,'Données projet'!$A$35:$I$55,3,0))</f>
        <v>6</v>
      </c>
      <c r="V38" s="15">
        <f>IF(ISNA(VLOOKUP(A38,'Données projet'!$A$35:$I$55,4,0)),0,VLOOKUP(A38,'Données projet'!$A$35:$I$55,4,0))</f>
        <v>27</v>
      </c>
      <c r="W38" s="16">
        <f>IF(ISNA(VLOOKUP(A38,'Données projet'!$A$35:$I$55,5,0)),0%,VLOOKUP(A38,'Données projet'!$A$35:$I$55,5,0)*VLOOKUP('Données projet'!$B$9,Paramètres!$A$1:$I$89,7,0))</f>
        <v>8.6000000000000007E-2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4.2734819897395759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4.2734819897395759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172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172.00000000000003</v>
      </c>
      <c r="AJ38" s="13">
        <f>AI38*VLOOKUP('Données projet'!$B$10,Paramètres!$A$1:$I$89,3,0)*VLOOKUP('Données projet'!$B$10,Paramètres!$A$1:$I$89,5,0)</f>
        <v>136.84320000000002</v>
      </c>
      <c r="AK38" s="13">
        <f t="shared" si="35"/>
        <v>35.572869837729648</v>
      </c>
      <c r="AL38" s="20">
        <f t="shared" si="4"/>
        <v>300.2913216340458</v>
      </c>
      <c r="AM38" s="59">
        <f t="shared" si="5"/>
        <v>593.62465496737912</v>
      </c>
      <c r="AN38" s="59">
        <f ca="1">AVERAGE(OFFSET($AM$3,0,0,'Données projet'!$E$10+1,1))-AVERAGE(OFFSET($H$3,0,0,'Données projet'!$E$10+1,1))</f>
        <v>219.43439115440339</v>
      </c>
      <c r="AO38" s="59">
        <f t="shared" si="36"/>
        <v>217.8880462742099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0.159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6.2798825541000491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6.2798825541000491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167.10719999999998</v>
      </c>
      <c r="BF38" s="13">
        <f t="shared" si="37"/>
        <v>42.44148687166966</v>
      </c>
      <c r="BG38" s="20">
        <f t="shared" si="7"/>
        <v>364.96396296815789</v>
      </c>
      <c r="BH38" s="59">
        <f t="shared" si="8"/>
        <v>658.2972963014912</v>
      </c>
      <c r="BI38" s="59">
        <f ca="1">AVERAGE(OFFSET($BH$3,0,0,'Données projet'!$E$11+1,1))-AVERAGE(OFFSET($H$3,0,0,'Données projet'!$E$11+1,1))</f>
        <v>279.89725537926205</v>
      </c>
      <c r="BJ38" s="59">
        <f t="shared" si="38"/>
        <v>276.69392352410654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0.21200000000000002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13.903146780838515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13.903146780838515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8.8000000000000007</v>
      </c>
      <c r="N39" s="13">
        <f>IF('Données projet'!$A$36&gt;35,N38+M39-V38,IF(A39&lt;'Données projet'!$A$36,$K$205^A39,IF(A39='Données projet'!$A$36,'Données projet'!$B$36,N38+M39-V38)))</f>
        <v>149.79999999999998</v>
      </c>
      <c r="O39" s="13">
        <f>N39*VLOOKUP('Données projet'!$B$9,Paramètres!$A$1:$I$89,3,0)*VLOOKUP('Données projet'!$B$9,Paramètres!$A$1:$I$89,5,0)</f>
        <v>130.86528000000001</v>
      </c>
      <c r="P39" s="13">
        <f t="shared" si="33"/>
        <v>34.19622287336729</v>
      </c>
      <c r="Q39" s="20">
        <f t="shared" si="53"/>
        <v>287.48211750444801</v>
      </c>
      <c r="R39" s="59">
        <f t="shared" si="0"/>
        <v>580.81545083778133</v>
      </c>
      <c r="S39" s="59">
        <f ca="1">AVERAGE(OFFSET($R$3,0,0,'Données projet'!$E$9+1,1))-AVERAGE(OFFSET($H$3,0,0,'Données projet'!$E$9+1,1))</f>
        <v>251.05216782177348</v>
      </c>
      <c r="T39" s="59">
        <f t="shared" si="34"/>
        <v>247.96048911281406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4.1896816144874194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4.1896816144874194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9.6</v>
      </c>
      <c r="AI39" s="13">
        <f>IF('Données projet'!$A$62&gt;35,AI38+AH39-AQ38,IF(A39&lt;'Données projet'!$A$62,$AF$205^A39,IF(A39='Données projet'!$A$62,'Données projet'!$B$62,AI38+AH39-AQ38)))</f>
        <v>153.60000000000002</v>
      </c>
      <c r="AJ39" s="13">
        <f>AI39*VLOOKUP('Données projet'!$B$10,Paramètres!$A$1:$I$89,3,0)*VLOOKUP('Données projet'!$B$10,Paramètres!$A$1:$I$89,5,0)</f>
        <v>122.20416000000003</v>
      </c>
      <c r="AK39" s="13">
        <f t="shared" si="35"/>
        <v>32.188537573102472</v>
      </c>
      <c r="AL39" s="20">
        <f t="shared" si="4"/>
        <v>268.90061493982017</v>
      </c>
      <c r="AM39" s="59">
        <f t="shared" si="5"/>
        <v>562.23394827315349</v>
      </c>
      <c r="AN39" s="59">
        <f ca="1">AVERAGE(OFFSET($AM$3,0,0,'Données projet'!$E$10+1,1))-AVERAGE(OFFSET($H$3,0,0,'Données projet'!$E$10+1,1))</f>
        <v>219.43439115440339</v>
      </c>
      <c r="AO39" s="59">
        <f t="shared" si="36"/>
        <v>217.8880462742099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6.1567378875642893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6.1567378875642893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147.96287999999998</v>
      </c>
      <c r="BF39" s="13">
        <f t="shared" si="37"/>
        <v>38.115275017059226</v>
      </c>
      <c r="BG39" s="20">
        <f t="shared" si="7"/>
        <v>324.08611998804474</v>
      </c>
      <c r="BH39" s="59">
        <f t="shared" si="8"/>
        <v>617.41945332137811</v>
      </c>
      <c r="BI39" s="59">
        <f ca="1">AVERAGE(OFFSET($BH$3,0,0,'Données projet'!$E$11+1,1))-AVERAGE(OFFSET($H$3,0,0,'Données projet'!$E$11+1,1))</f>
        <v>279.89725537926205</v>
      </c>
      <c r="BJ39" s="59">
        <f t="shared" si="38"/>
        <v>276.69392352410654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13.630514552548469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13.630514552548469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8.8000000000000007</v>
      </c>
      <c r="N40" s="13">
        <f>IF('Données projet'!$A$36&gt;35,N39+M40-V39,IF(A40&lt;'Données projet'!$A$36,$K$205^A40,IF(A40='Données projet'!$A$36,'Données projet'!$B$36,N39+M40-V39)))</f>
        <v>158.6</v>
      </c>
      <c r="O40" s="13">
        <f>N40*VLOOKUP('Données projet'!$B$9,Paramètres!$A$1:$I$89,3,0)*VLOOKUP('Données projet'!$B$9,Paramètres!$A$1:$I$89,5,0)</f>
        <v>138.55296000000001</v>
      </c>
      <c r="P40" s="13">
        <f t="shared" si="33"/>
        <v>35.965308766301796</v>
      </c>
      <c r="Q40" s="20">
        <f t="shared" si="53"/>
        <v>303.95265143464229</v>
      </c>
      <c r="R40" s="59">
        <f t="shared" si="0"/>
        <v>597.28598476797561</v>
      </c>
      <c r="S40" s="59">
        <f ca="1">AVERAGE(OFFSET($R$3,0,0,'Données projet'!$E$9+1,1))-AVERAGE(OFFSET($H$3,0,0,'Données projet'!$E$9+1,1))</f>
        <v>251.05216782177348</v>
      </c>
      <c r="T40" s="59">
        <f t="shared" si="34"/>
        <v>247.96048911281406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4.1075245134807759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4.1075245134807759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9.6</v>
      </c>
      <c r="AI40" s="13">
        <f>IF('Données projet'!$A$62&gt;35,AI39+AH40-AQ39,IF(A40&lt;'Données projet'!$A$62,$AF$205^A40,IF(A40='Données projet'!$A$62,'Données projet'!$B$62,AI39+AH40-AQ39)))</f>
        <v>163.20000000000002</v>
      </c>
      <c r="AJ40" s="13">
        <f>AI40*VLOOKUP('Données projet'!$B$10,Paramètres!$A$1:$I$89,3,0)*VLOOKUP('Données projet'!$B$10,Paramètres!$A$1:$I$89,5,0)</f>
        <v>129.84192000000002</v>
      </c>
      <c r="AK40" s="13">
        <f t="shared" si="35"/>
        <v>33.959829099416851</v>
      </c>
      <c r="AL40" s="20">
        <f t="shared" si="4"/>
        <v>285.288046348151</v>
      </c>
      <c r="AM40" s="59">
        <f t="shared" si="5"/>
        <v>578.62137968148431</v>
      </c>
      <c r="AN40" s="59">
        <f ca="1">AVERAGE(OFFSET($AM$3,0,0,'Données projet'!$E$10+1,1))-AVERAGE(OFFSET($H$3,0,0,'Données projet'!$E$10+1,1))</f>
        <v>219.43439115440339</v>
      </c>
      <c r="AO40" s="59">
        <f t="shared" si="36"/>
        <v>217.8880462742099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6.0360080128284661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6.0360080128284661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157.21055999999999</v>
      </c>
      <c r="BF40" s="13">
        <f t="shared" si="37"/>
        <v>40.212706859296013</v>
      </c>
      <c r="BG40" s="20">
        <f t="shared" si="7"/>
        <v>343.84552311327383</v>
      </c>
      <c r="BH40" s="59">
        <f t="shared" si="8"/>
        <v>637.17885644660714</v>
      </c>
      <c r="BI40" s="59">
        <f ca="1">AVERAGE(OFFSET($BH$3,0,0,'Données projet'!$E$11+1,1))-AVERAGE(OFFSET($H$3,0,0,'Données projet'!$E$11+1,1))</f>
        <v>279.89725537926205</v>
      </c>
      <c r="BJ40" s="59">
        <f t="shared" si="38"/>
        <v>276.69392352410654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13.363228475965952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13.363228475965952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8.8000000000000007</v>
      </c>
      <c r="N41" s="13">
        <f>IF('Données projet'!$A$36&gt;35,N40+M41-V40,IF(A41&lt;'Données projet'!$A$36,$K$205^A41,IF(A41='Données projet'!$A$36,'Données projet'!$B$36,N40+M41-V40)))</f>
        <v>167.4</v>
      </c>
      <c r="O41" s="13">
        <f>N41*VLOOKUP('Données projet'!$B$9,Paramètres!$A$1:$I$89,3,0)*VLOOKUP('Données projet'!$B$9,Paramètres!$A$1:$I$89,5,0)</f>
        <v>146.24064000000001</v>
      </c>
      <c r="P41" s="13">
        <f t="shared" si="33"/>
        <v>37.722999642090628</v>
      </c>
      <c r="Q41" s="20">
        <f t="shared" si="53"/>
        <v>320.40333904330788</v>
      </c>
      <c r="R41" s="59">
        <f t="shared" si="0"/>
        <v>613.7366723766412</v>
      </c>
      <c r="S41" s="59">
        <f ca="1">AVERAGE(OFFSET($R$3,0,0,'Données projet'!$E$9+1,1))-AVERAGE(OFFSET($H$3,0,0,'Données projet'!$E$9+1,1))</f>
        <v>251.05216782177348</v>
      </c>
      <c r="T41" s="59">
        <f t="shared" si="34"/>
        <v>247.96048911281406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4.0269784631139887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4.0269784631139887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9.6</v>
      </c>
      <c r="AI41" s="13">
        <f>IF('Données projet'!$A$62&gt;35,AI40+AH41-AQ40,IF(A41&lt;'Données projet'!$A$62,$AF$205^A41,IF(A41='Données projet'!$A$62,'Données projet'!$B$62,AI40+AH41-AQ40)))</f>
        <v>172.8</v>
      </c>
      <c r="AJ41" s="13">
        <f>AI41*VLOOKUP('Données projet'!$B$10,Paramètres!$A$1:$I$89,3,0)*VLOOKUP('Données projet'!$B$10,Paramètres!$A$1:$I$89,5,0)</f>
        <v>137.47968000000003</v>
      </c>
      <c r="AK41" s="13">
        <f t="shared" si="35"/>
        <v>35.719026553355249</v>
      </c>
      <c r="AL41" s="20">
        <f t="shared" si="4"/>
        <v>301.65441391376049</v>
      </c>
      <c r="AM41" s="59">
        <f t="shared" si="5"/>
        <v>594.98774724709381</v>
      </c>
      <c r="AN41" s="59">
        <f ca="1">AVERAGE(OFFSET($AM$3,0,0,'Données projet'!$E$10+1,1))-AVERAGE(OFFSET($H$3,0,0,'Données projet'!$E$10+1,1))</f>
        <v>219.43439115440339</v>
      </c>
      <c r="AO41" s="59">
        <f t="shared" si="36"/>
        <v>217.8880462742099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5.9176455772982601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5.9176455772982601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166.45823999999999</v>
      </c>
      <c r="BF41" s="13">
        <f t="shared" si="37"/>
        <v>42.295817799452642</v>
      </c>
      <c r="BG41" s="20">
        <f t="shared" si="7"/>
        <v>363.5799840007133</v>
      </c>
      <c r="BH41" s="59">
        <f t="shared" si="8"/>
        <v>656.91331733404661</v>
      </c>
      <c r="BI41" s="59">
        <f ca="1">AVERAGE(OFFSET($BH$3,0,0,'Données projet'!$E$11+1,1))-AVERAGE(OFFSET($H$3,0,0,'Données projet'!$E$11+1,1))</f>
        <v>279.89725537926205</v>
      </c>
      <c r="BJ41" s="59">
        <f t="shared" si="38"/>
        <v>276.69392352410654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13.101183716316809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13.101183716316809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8.8000000000000007</v>
      </c>
      <c r="N42" s="13">
        <f>IF('Données projet'!$A$36&gt;35,N41+M42-V41,IF(A42&lt;'Données projet'!$A$36,$K$205^A42,IF(A42='Données projet'!$A$36,'Données projet'!$B$36,N41+M42-V41)))</f>
        <v>176.20000000000002</v>
      </c>
      <c r="O42" s="13">
        <f>N42*VLOOKUP('Données projet'!$B$9,Paramètres!$A$1:$I$89,3,0)*VLOOKUP('Données projet'!$B$9,Paramètres!$A$1:$I$89,5,0)</f>
        <v>153.92832000000004</v>
      </c>
      <c r="P42" s="13">
        <f t="shared" si="33"/>
        <v>39.469962836517794</v>
      </c>
      <c r="Q42" s="20">
        <f t="shared" si="53"/>
        <v>336.83534260693523</v>
      </c>
      <c r="R42" s="59">
        <f t="shared" si="0"/>
        <v>630.16867594026849</v>
      </c>
      <c r="S42" s="59">
        <f ca="1">AVERAGE(OFFSET($R$3,0,0,'Données projet'!$E$9+1,1))-AVERAGE(OFFSET($H$3,0,0,'Données projet'!$E$9+1,1))</f>
        <v>251.05216782177348</v>
      </c>
      <c r="T42" s="59">
        <f t="shared" si="34"/>
        <v>247.96048911281406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3.948011871666655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3.948011871666655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9.6</v>
      </c>
      <c r="AI42" s="13">
        <f>IF('Données projet'!$A$62&gt;35,AI41+AH42-AQ41,IF(A42&lt;'Données projet'!$A$62,$AF$205^A42,IF(A42='Données projet'!$A$62,'Données projet'!$B$62,AI41+AH42-AQ41)))</f>
        <v>182.4</v>
      </c>
      <c r="AJ42" s="13">
        <f>AI42*VLOOKUP('Données projet'!$B$10,Paramètres!$A$1:$I$89,3,0)*VLOOKUP('Données projet'!$B$10,Paramètres!$A$1:$I$89,5,0)</f>
        <v>145.11744000000002</v>
      </c>
      <c r="AK42" s="13">
        <f t="shared" si="35"/>
        <v>37.466878406916173</v>
      </c>
      <c r="AL42" s="20">
        <f t="shared" si="4"/>
        <v>318.00102122537902</v>
      </c>
      <c r="AM42" s="59">
        <f t="shared" si="5"/>
        <v>611.33435455871233</v>
      </c>
      <c r="AN42" s="59">
        <f ca="1">AVERAGE(OFFSET($AM$3,0,0,'Données projet'!$E$10+1,1))-AVERAGE(OFFSET($H$3,0,0,'Données projet'!$E$10+1,1))</f>
        <v>219.43439115440339</v>
      </c>
      <c r="AO42" s="59">
        <f t="shared" si="36"/>
        <v>217.8880462742099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5.801604156934844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5.801604156934844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175.70592000000002</v>
      </c>
      <c r="BF42" s="13">
        <f t="shared" si="37"/>
        <v>44.365494122468341</v>
      </c>
      <c r="BG42" s="20">
        <f t="shared" si="7"/>
        <v>383.29104626329899</v>
      </c>
      <c r="BH42" s="59">
        <f t="shared" si="8"/>
        <v>676.62437959663225</v>
      </c>
      <c r="BI42" s="59">
        <f ca="1">AVERAGE(OFFSET($BH$3,0,0,'Données projet'!$E$11+1,1))-AVERAGE(OFFSET($H$3,0,0,'Données projet'!$E$11+1,1))</f>
        <v>279.89725537926205</v>
      </c>
      <c r="BJ42" s="59">
        <f t="shared" si="38"/>
        <v>276.69392352410654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12.844277494572864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12.844277494572864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185</v>
      </c>
      <c r="L43" s="12">
        <f>VLOOKUP(A43,'Données projet'!$A$35:$I$55,9,0)</f>
        <v>8.8000000000000007</v>
      </c>
      <c r="M43" s="12">
        <f t="array" ref="M43">INDEX(L:L,MIN(IF(ISNUMBER(L43:L239),ROW(L43:L239),"")))</f>
        <v>8.8000000000000007</v>
      </c>
      <c r="N43" s="13">
        <f>IF('Données projet'!$A$36&gt;35,N42+M43-V42,IF(A43&lt;'Données projet'!$A$36,$K$205^A43,IF(A43='Données projet'!$A$36,'Données projet'!$B$36,N42+M43-V42)))</f>
        <v>185.00000000000003</v>
      </c>
      <c r="O43" s="13">
        <f>N43*VLOOKUP('Données projet'!$B$9,Paramètres!$A$1:$I$89,3,0)*VLOOKUP('Données projet'!$B$9,Paramètres!$A$1:$I$89,5,0)</f>
        <v>161.61600000000004</v>
      </c>
      <c r="P43" s="13">
        <f t="shared" si="33"/>
        <v>41.20679526204917</v>
      </c>
      <c r="Q43" s="20">
        <f t="shared" si="53"/>
        <v>353.24970174806907</v>
      </c>
      <c r="R43" s="59">
        <f t="shared" si="0"/>
        <v>646.58303508140239</v>
      </c>
      <c r="S43" s="59">
        <f ca="1">AVERAGE(OFFSET($R$3,0,0,'Données projet'!$E$9+1,1))-AVERAGE(OFFSET($H$3,0,0,'Données projet'!$E$9+1,1))</f>
        <v>251.05216782177348</v>
      </c>
      <c r="T43" s="59">
        <f t="shared" si="34"/>
        <v>247.96048911281406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27</v>
      </c>
      <c r="W43" s="16">
        <f>IF(ISNA(VLOOKUP(A43,'Données projet'!$A$35:$I$55,5,0)),0%,VLOOKUP(A43,'Données projet'!$A$35:$I$55,5,0)*VLOOKUP('Données projet'!$B$9,Paramètres!$A$1:$I$89,7,0))</f>
        <v>0.129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7.234262437672168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7.234262437672168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192</v>
      </c>
      <c r="AG43" s="12">
        <f>VLOOKUP(A43,'Données projet'!$A$61:$I$81,9,0)</f>
        <v>9.6</v>
      </c>
      <c r="AH43" s="12">
        <f t="array" ref="AH43">INDEX(AG:AG,MIN(IF(ISNUMBER(AG43:AG239),ROW(AG43:AG239),"")))</f>
        <v>9.6</v>
      </c>
      <c r="AI43" s="13">
        <f>IF('Données projet'!$A$62&gt;35,AI42+AH43-AQ42,IF(A43&lt;'Données projet'!$A$62,$AF$205^A43,IF(A43='Données projet'!$A$62,'Données projet'!$B$62,AI42+AH43-AQ42)))</f>
        <v>192</v>
      </c>
      <c r="AJ43" s="13">
        <f>AI43*VLOOKUP('Données projet'!$B$10,Paramètres!$A$1:$I$89,3,0)*VLOOKUP('Données projet'!$B$10,Paramètres!$A$1:$I$89,5,0)</f>
        <v>152.7552</v>
      </c>
      <c r="AK43" s="13">
        <f t="shared" si="35"/>
        <v>39.204049895729561</v>
      </c>
      <c r="AL43" s="20">
        <f t="shared" si="4"/>
        <v>334.32902690172892</v>
      </c>
      <c r="AM43" s="59">
        <f t="shared" si="5"/>
        <v>627.66236023506224</v>
      </c>
      <c r="AN43" s="59">
        <f ca="1">AVERAGE(OFFSET($AM$3,0,0,'Données projet'!$E$10+1,1))-AVERAGE(OFFSET($H$3,0,0,'Données projet'!$E$10+1,1))</f>
        <v>219.43439115440339</v>
      </c>
      <c r="AO43" s="59">
        <f t="shared" si="36"/>
        <v>217.8880462742099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0.21200000000000002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10.908622858811757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10.908622858811757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184.95360000000002</v>
      </c>
      <c r="BF43" s="13">
        <f t="shared" si="37"/>
        <v>46.42252355095799</v>
      </c>
      <c r="BG43" s="20">
        <f t="shared" si="7"/>
        <v>402.9800818512519</v>
      </c>
      <c r="BH43" s="59">
        <f t="shared" si="8"/>
        <v>696.31341518458521</v>
      </c>
      <c r="BI43" s="59">
        <f ca="1">AVERAGE(OFFSET($BH$3,0,0,'Données projet'!$E$11+1,1))-AVERAGE(OFFSET($H$3,0,0,'Données projet'!$E$11+1,1))</f>
        <v>279.89725537926205</v>
      </c>
      <c r="BJ43" s="59">
        <f t="shared" si="38"/>
        <v>276.69392352410654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0.21200000000000002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19.246350230468295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19.246350230468295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</v>
      </c>
      <c r="N44" s="13">
        <f>IF('Données projet'!$A$36&gt;35,N43+M44-V43,IF(A44&lt;'Données projet'!$A$36,$K$205^A44,IF(A44='Données projet'!$A$36,'Données projet'!$B$36,N43+M44-V43)))</f>
        <v>166.00000000000003</v>
      </c>
      <c r="O44" s="13">
        <f>N44*VLOOKUP('Données projet'!$B$9,Paramètres!$A$1:$I$89,3,0)*VLOOKUP('Données projet'!$B$9,Paramètres!$A$1:$I$89,5,0)</f>
        <v>145.01760000000004</v>
      </c>
      <c r="P44" s="13">
        <f t="shared" si="33"/>
        <v>37.444100932065233</v>
      </c>
      <c r="Q44" s="20">
        <f t="shared" si="53"/>
        <v>317.78746245668032</v>
      </c>
      <c r="R44" s="59">
        <f t="shared" si="0"/>
        <v>611.12079579001363</v>
      </c>
      <c r="S44" s="59">
        <f ca="1">AVERAGE(OFFSET($R$3,0,0,'Données projet'!$E$9+1,1))-AVERAGE(OFFSET($H$3,0,0,'Données projet'!$E$9+1,1))</f>
        <v>251.05216782177348</v>
      </c>
      <c r="T44" s="59">
        <f t="shared" si="34"/>
        <v>247.96048911281406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7.0924029637338091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7.0924029637338091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8.1999999999999993</v>
      </c>
      <c r="AI44" s="13">
        <f>IF('Données projet'!$A$62&gt;35,AI43+AH44-AQ43,IF(A44&lt;'Données projet'!$A$62,$AF$205^A44,IF(A44='Données projet'!$A$62,'Données projet'!$B$62,AI43+AH44-AQ43)))</f>
        <v>172.2</v>
      </c>
      <c r="AJ44" s="13">
        <f>AI44*VLOOKUP('Données projet'!$B$10,Paramètres!$A$1:$I$89,3,0)*VLOOKUP('Données projet'!$B$10,Paramètres!$A$1:$I$89,5,0)</f>
        <v>137.00232</v>
      </c>
      <c r="AK44" s="13">
        <f t="shared" si="35"/>
        <v>35.609416420931346</v>
      </c>
      <c r="AL44" s="20">
        <f t="shared" si="4"/>
        <v>300.63210759978875</v>
      </c>
      <c r="AM44" s="59">
        <f t="shared" si="5"/>
        <v>593.96544093312207</v>
      </c>
      <c r="AN44" s="59">
        <f ca="1">AVERAGE(OFFSET($AM$3,0,0,'Données projet'!$E$10+1,1))-AVERAGE(OFFSET($H$3,0,0,'Données projet'!$E$10+1,1))</f>
        <v>219.43439115440339</v>
      </c>
      <c r="AO44" s="59">
        <f t="shared" si="36"/>
        <v>217.8880462742099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10.694711418153414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10.694711418153414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164.51136</v>
      </c>
      <c r="BF44" s="13">
        <f t="shared" si="37"/>
        <v>41.858412704646653</v>
      </c>
      <c r="BG44" s="20">
        <f t="shared" si="7"/>
        <v>359.4273541272596</v>
      </c>
      <c r="BH44" s="59">
        <f t="shared" si="8"/>
        <v>652.76068746059286</v>
      </c>
      <c r="BI44" s="59">
        <f ca="1">AVERAGE(OFFSET($BH$3,0,0,'Données projet'!$E$11+1,1))-AVERAGE(OFFSET($H$3,0,0,'Données projet'!$E$11+1,1))</f>
        <v>279.89725537926205</v>
      </c>
      <c r="BJ44" s="59">
        <f t="shared" si="38"/>
        <v>276.69392352410654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18.868941041563311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18.868941041563311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</v>
      </c>
      <c r="N45" s="13">
        <f>IF('Données projet'!$A$36&gt;35,N44+M45-V44,IF(A45&lt;'Données projet'!$A$36,$K$205^A45,IF(A45='Données projet'!$A$36,'Données projet'!$B$36,N44+M45-V44)))</f>
        <v>174.00000000000003</v>
      </c>
      <c r="O45" s="13">
        <f>N45*VLOOKUP('Données projet'!$B$9,Paramètres!$A$1:$I$89,3,0)*VLOOKUP('Données projet'!$B$9,Paramètres!$A$1:$I$89,5,0)</f>
        <v>152.00640000000004</v>
      </c>
      <c r="P45" s="13">
        <f t="shared" si="33"/>
        <v>39.034194016561486</v>
      </c>
      <c r="Q45" s="20">
        <f t="shared" si="53"/>
        <v>332.72903457884462</v>
      </c>
      <c r="R45" s="59">
        <f t="shared" si="0"/>
        <v>626.06236791217793</v>
      </c>
      <c r="S45" s="59">
        <f ca="1">AVERAGE(OFFSET($R$3,0,0,'Données projet'!$E$9+1,1))-AVERAGE(OFFSET($H$3,0,0,'Données projet'!$E$9+1,1))</f>
        <v>251.05216782177348</v>
      </c>
      <c r="T45" s="59">
        <f t="shared" si="34"/>
        <v>247.96048911281406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6.9533252675536463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6.9533252675536463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8.1999999999999993</v>
      </c>
      <c r="AI45" s="13">
        <f>IF('Données projet'!$A$62&gt;35,AI44+AH45-AQ44,IF(A45&lt;'Données projet'!$A$62,$AF$205^A45,IF(A45='Données projet'!$A$62,'Données projet'!$B$62,AI44+AH45-AQ44)))</f>
        <v>180.39999999999998</v>
      </c>
      <c r="AJ45" s="13">
        <f>AI45*VLOOKUP('Données projet'!$B$10,Paramètres!$A$1:$I$89,3,0)*VLOOKUP('Données projet'!$B$10,Paramètres!$A$1:$I$89,5,0)</f>
        <v>143.52624</v>
      </c>
      <c r="AK45" s="13">
        <f t="shared" si="35"/>
        <v>37.103644337236275</v>
      </c>
      <c r="AL45" s="20">
        <f t="shared" si="4"/>
        <v>314.59704855401981</v>
      </c>
      <c r="AM45" s="59">
        <f t="shared" si="5"/>
        <v>607.93038188735318</v>
      </c>
      <c r="AN45" s="59">
        <f ca="1">AVERAGE(OFFSET($AM$3,0,0,'Données projet'!$E$10+1,1))-AVERAGE(OFFSET($H$3,0,0,'Données projet'!$E$10+1,1))</f>
        <v>219.43439115440339</v>
      </c>
      <c r="AO45" s="59">
        <f t="shared" si="36"/>
        <v>217.8880462742099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10.484994650373284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10.484994650373284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172.46112000000005</v>
      </c>
      <c r="BF45" s="13">
        <f t="shared" si="37"/>
        <v>43.640770644577643</v>
      </c>
      <c r="BG45" s="20">
        <f t="shared" si="7"/>
        <v>376.37745953930607</v>
      </c>
      <c r="BH45" s="59">
        <f t="shared" si="8"/>
        <v>669.71079287263933</v>
      </c>
      <c r="BI45" s="59">
        <f ca="1">AVERAGE(OFFSET($BH$3,0,0,'Données projet'!$E$11+1,1))-AVERAGE(OFFSET($H$3,0,0,'Données projet'!$E$11+1,1))</f>
        <v>279.89725537926205</v>
      </c>
      <c r="BJ45" s="59">
        <f t="shared" si="38"/>
        <v>276.69392352410654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18.498932616655878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18.498932616655878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</v>
      </c>
      <c r="N46" s="13">
        <f>IF('Données projet'!$A$36&gt;35,N45+M46-V45,IF(A46&lt;'Données projet'!$A$36,$K$205^A46,IF(A46='Données projet'!$A$36,'Données projet'!$B$36,N45+M46-V45)))</f>
        <v>182.00000000000003</v>
      </c>
      <c r="O46" s="13">
        <f>N46*VLOOKUP('Données projet'!$B$9,Paramètres!$A$1:$I$89,3,0)*VLOOKUP('Données projet'!$B$9,Paramètres!$A$1:$I$89,5,0)</f>
        <v>158.99520000000004</v>
      </c>
      <c r="P46" s="13">
        <f t="shared" si="33"/>
        <v>40.615796933386044</v>
      </c>
      <c r="Q46" s="20">
        <f t="shared" si="53"/>
        <v>347.65581965898076</v>
      </c>
      <c r="R46" s="59">
        <f t="shared" si="0"/>
        <v>640.98915299231408</v>
      </c>
      <c r="S46" s="59">
        <f ca="1">AVERAGE(OFFSET($R$3,0,0,'Données projet'!$E$9+1,1))-AVERAGE(OFFSET($H$3,0,0,'Données projet'!$E$9+1,1))</f>
        <v>251.05216782177348</v>
      </c>
      <c r="T46" s="59">
        <f t="shared" si="34"/>
        <v>247.96048911281406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6.816974800166558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6.816974800166558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8.1999999999999993</v>
      </c>
      <c r="AI46" s="13">
        <f>IF('Données projet'!$A$62&gt;35,AI45+AH46-AQ45,IF(A46&lt;'Données projet'!$A$62,$AF$205^A46,IF(A46='Données projet'!$A$62,'Données projet'!$B$62,AI45+AH46-AQ45)))</f>
        <v>188.59999999999997</v>
      </c>
      <c r="AJ46" s="13">
        <f>AI46*VLOOKUP('Données projet'!$B$10,Paramètres!$A$1:$I$89,3,0)*VLOOKUP('Données projet'!$B$10,Paramètres!$A$1:$I$89,5,0)</f>
        <v>150.05015999999998</v>
      </c>
      <c r="AK46" s="13">
        <f t="shared" si="35"/>
        <v>38.589984439024569</v>
      </c>
      <c r="AL46" s="20">
        <f t="shared" si="4"/>
        <v>328.54825156463437</v>
      </c>
      <c r="AM46" s="59">
        <f t="shared" si="5"/>
        <v>621.88158489796774</v>
      </c>
      <c r="AN46" s="59">
        <f ca="1">AVERAGE(OFFSET($AM$3,0,0,'Données projet'!$E$10+1,1))-AVERAGE(OFFSET($H$3,0,0,'Données projet'!$E$10+1,1))</f>
        <v>219.43439115440339</v>
      </c>
      <c r="AO46" s="59">
        <f t="shared" si="36"/>
        <v>217.8880462742099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10.279390300494725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10.279390300494725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180.41088000000005</v>
      </c>
      <c r="BF46" s="13">
        <f t="shared" si="37"/>
        <v>45.413587262495575</v>
      </c>
      <c r="BG46" s="20">
        <f t="shared" si="7"/>
        <v>393.31094714884654</v>
      </c>
      <c r="BH46" s="59">
        <f t="shared" si="8"/>
        <v>686.64428048217985</v>
      </c>
      <c r="BI46" s="59">
        <f ca="1">AVERAGE(OFFSET($BH$3,0,0,'Données projet'!$E$11+1,1))-AVERAGE(OFFSET($H$3,0,0,'Données projet'!$E$11+1,1))</f>
        <v>279.89725537926205</v>
      </c>
      <c r="BJ46" s="59">
        <f t="shared" si="38"/>
        <v>276.69392352410654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18.136179831278024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18.136179831278024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</v>
      </c>
      <c r="N47" s="13">
        <f>IF('Données projet'!$A$36&gt;35,N46+M47-V46,IF(A47&lt;'Données projet'!$A$36,$K$205^A47,IF(A47='Données projet'!$A$36,'Données projet'!$B$36,N46+M47-V46)))</f>
        <v>190.00000000000003</v>
      </c>
      <c r="O47" s="13">
        <f>N47*VLOOKUP('Données projet'!$B$9,Paramètres!$A$1:$I$89,3,0)*VLOOKUP('Données projet'!$B$9,Paramètres!$A$1:$I$89,5,0)</f>
        <v>165.98400000000004</v>
      </c>
      <c r="P47" s="13">
        <f t="shared" si="33"/>
        <v>42.189325525922285</v>
      </c>
      <c r="Q47" s="20">
        <f t="shared" si="53"/>
        <v>362.56854195764805</v>
      </c>
      <c r="R47" s="59">
        <f t="shared" si="0"/>
        <v>655.90187529098137</v>
      </c>
      <c r="S47" s="59">
        <f ca="1">AVERAGE(OFFSET($R$3,0,0,'Données projet'!$E$9+1,1))-AVERAGE(OFFSET($H$3,0,0,'Données projet'!$E$9+1,1))</f>
        <v>251.05216782177348</v>
      </c>
      <c r="T47" s="59">
        <f t="shared" si="34"/>
        <v>247.96048911281406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6.6832980822793573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6.6832980822793573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8.1999999999999993</v>
      </c>
      <c r="AI47" s="13">
        <f>IF('Données projet'!$A$62&gt;35,AI46+AH47-AQ46,IF(A47&lt;'Données projet'!$A$62,$AF$205^A47,IF(A47='Données projet'!$A$62,'Données projet'!$B$62,AI46+AH47-AQ46)))</f>
        <v>196.79999999999995</v>
      </c>
      <c r="AJ47" s="13">
        <f>AI47*VLOOKUP('Données projet'!$B$10,Paramètres!$A$1:$I$89,3,0)*VLOOKUP('Données projet'!$B$10,Paramètres!$A$1:$I$89,5,0)</f>
        <v>156.57407999999998</v>
      </c>
      <c r="AK47" s="13">
        <f t="shared" si="35"/>
        <v>40.068818872547467</v>
      </c>
      <c r="AL47" s="20">
        <f t="shared" si="4"/>
        <v>342.48638220302013</v>
      </c>
      <c r="AM47" s="59">
        <f t="shared" si="5"/>
        <v>635.81971553635344</v>
      </c>
      <c r="AN47" s="59">
        <f ca="1">AVERAGE(OFFSET($AM$3,0,0,'Données projet'!$E$10+1,1))-AVERAGE(OFFSET($H$3,0,0,'Données projet'!$E$10+1,1))</f>
        <v>219.43439115440339</v>
      </c>
      <c r="AO47" s="59">
        <f t="shared" si="36"/>
        <v>217.8880462742099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10.077817726511014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10.077817726511014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188.36064000000005</v>
      </c>
      <c r="BF47" s="13">
        <f t="shared" si="37"/>
        <v>47.177331040995796</v>
      </c>
      <c r="BG47" s="20">
        <f t="shared" si="7"/>
        <v>410.22863289640105</v>
      </c>
      <c r="BH47" s="59">
        <f t="shared" si="8"/>
        <v>703.56196622973437</v>
      </c>
      <c r="BI47" s="59">
        <f ca="1">AVERAGE(OFFSET($BH$3,0,0,'Données projet'!$E$11+1,1))-AVERAGE(OFFSET($H$3,0,0,'Données projet'!$E$11+1,1))</f>
        <v>279.89725537926205</v>
      </c>
      <c r="BJ47" s="59">
        <f t="shared" si="38"/>
        <v>276.69392352410654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17.780540406764079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17.780540406764079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198</v>
      </c>
      <c r="L48" s="12">
        <f>VLOOKUP(A48,'Données projet'!$A$35:$I$55,9,0)</f>
        <v>8</v>
      </c>
      <c r="M48" s="12">
        <f t="array" ref="M48">INDEX(L:L,MIN(IF(ISNUMBER(L48:L244),ROW(L48:L244),"")))</f>
        <v>8</v>
      </c>
      <c r="N48" s="13">
        <f>IF('Données projet'!$A$36&gt;35,N47+M48-V47,IF(A48&lt;'Données projet'!$A$36,$K$205^A48,IF(A48='Données projet'!$A$36,'Données projet'!$B$36,N47+M48-V47)))</f>
        <v>198.00000000000003</v>
      </c>
      <c r="O48" s="13">
        <f>N48*VLOOKUP('Données projet'!$B$9,Paramètres!$A$1:$I$89,3,0)*VLOOKUP('Données projet'!$B$9,Paramètres!$A$1:$I$89,5,0)</f>
        <v>172.97280000000003</v>
      </c>
      <c r="P48" s="13">
        <f t="shared" si="33"/>
        <v>43.75515863819728</v>
      </c>
      <c r="Q48" s="20">
        <f t="shared" si="53"/>
        <v>377.46786129486031</v>
      </c>
      <c r="R48" s="59">
        <f t="shared" si="0"/>
        <v>670.80119462819357</v>
      </c>
      <c r="S48" s="59">
        <f ca="1">AVERAGE(OFFSET($R$3,0,0,'Données projet'!$E$9+1,1))-AVERAGE(OFFSET($H$3,0,0,'Données projet'!$E$9+1,1))</f>
        <v>251.05216782177348</v>
      </c>
      <c r="T48" s="59">
        <f t="shared" si="34"/>
        <v>247.96048911281406</v>
      </c>
      <c r="U48" s="15">
        <f>IF(ISNA(VLOOKUP(A48,'Données projet'!$A$35:$I$55,3,0)),0,VLOOKUP(A48,'Données projet'!$A$35:$I$55,3,0))</f>
        <v>8</v>
      </c>
      <c r="V48" s="15">
        <f>IF(ISNA(VLOOKUP(A48,'Données projet'!$A$35:$I$55,4,0)),0,VLOOKUP(A48,'Données projet'!$A$35:$I$55,4,0))</f>
        <v>26</v>
      </c>
      <c r="W48" s="16">
        <f>IF(ISNA(VLOOKUP(A48,'Données projet'!$A$35:$I$55,5,0)),0%,VLOOKUP(A48,'Données projet'!$A$35:$I$55,5,0)*VLOOKUP('Données projet'!$B$9,Paramètres!$A$1:$I$89,7,0))</f>
        <v>0.129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9.7913310329153678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9.7913310329153678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205</v>
      </c>
      <c r="AG48" s="12">
        <f>VLOOKUP(A48,'Données projet'!$A$61:$I$81,9,0)</f>
        <v>8.1999999999999993</v>
      </c>
      <c r="AH48" s="12">
        <f t="array" ref="AH48">INDEX(AG:AG,MIN(IF(ISNUMBER(AG48:AG244),ROW(AG48:AG244),"")))</f>
        <v>8.1999999999999993</v>
      </c>
      <c r="AI48" s="13">
        <f>IF('Données projet'!$A$62&gt;35,AI47+AH48-AQ47,IF(A48&lt;'Données projet'!$A$62,$AF$205^A48,IF(A48='Données projet'!$A$62,'Données projet'!$B$62,AI47+AH48-AQ47)))</f>
        <v>204.99999999999994</v>
      </c>
      <c r="AJ48" s="13">
        <f>AI48*VLOOKUP('Données projet'!$B$10,Paramètres!$A$1:$I$89,3,0)*VLOOKUP('Données projet'!$B$10,Paramètres!$A$1:$I$89,5,0)</f>
        <v>163.09799999999996</v>
      </c>
      <c r="AK48" s="13">
        <f t="shared" si="35"/>
        <v>41.540496136845142</v>
      </c>
      <c r="AL48" s="20">
        <f t="shared" si="4"/>
        <v>356.4120474383385</v>
      </c>
      <c r="AM48" s="59">
        <f t="shared" si="5"/>
        <v>649.74538077167176</v>
      </c>
      <c r="AN48" s="59">
        <f ca="1">AVERAGE(OFFSET($AM$3,0,0,'Données projet'!$E$10+1,1))-AVERAGE(OFFSET($H$3,0,0,'Données projet'!$E$10+1,1))</f>
        <v>219.43439115440339</v>
      </c>
      <c r="AO48" s="59">
        <f t="shared" si="36"/>
        <v>217.8880462742099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22</v>
      </c>
      <c r="AR48" s="16">
        <f>IF(ISNA(VLOOKUP(A48,'Données projet'!$A$61:$I$81,5,0)),0%,VLOOKUP(A48,'Données projet'!$A$61:$I$81,5,0)*VLOOKUP('Données projet'!$B$10,Paramètres!$A$1:$I$89,7,0))</f>
        <v>0.21200000000000002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13.982242926928715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13.982242926928715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196.31040000000004</v>
      </c>
      <c r="BF48" s="13">
        <f t="shared" si="37"/>
        <v>48.932428681108973</v>
      </c>
      <c r="BG48" s="20">
        <f t="shared" si="7"/>
        <v>427.13125995293154</v>
      </c>
      <c r="BH48" s="59">
        <f t="shared" si="8"/>
        <v>720.46459328626486</v>
      </c>
      <c r="BI48" s="59">
        <f ca="1">AVERAGE(OFFSET($BH$3,0,0,'Données projet'!$E$11+1,1))-AVERAGE(OFFSET($H$3,0,0,'Données projet'!$E$11+1,1))</f>
        <v>279.89725537926205</v>
      </c>
      <c r="BJ48" s="59">
        <f t="shared" si="38"/>
        <v>276.69392352410654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0.26500000000000001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23.135253011584762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23.135253011584762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7.4</v>
      </c>
      <c r="N49" s="13">
        <f>IF('Données projet'!$A$36&gt;35,N48+M49-V48,IF(A49&lt;'Données projet'!$A$36,$K$205^A49,IF(A49='Données projet'!$A$36,'Données projet'!$B$36,N48+M49-V48)))</f>
        <v>179.40000000000003</v>
      </c>
      <c r="O49" s="13">
        <f>N49*VLOOKUP('Données projet'!$B$9,Paramètres!$A$1:$I$89,3,0)*VLOOKUP('Données projet'!$B$9,Paramètres!$A$1:$I$89,5,0)</f>
        <v>156.72384000000005</v>
      </c>
      <c r="P49" s="13">
        <f t="shared" si="33"/>
        <v>40.102680984620484</v>
      </c>
      <c r="Q49" s="20">
        <f t="shared" si="53"/>
        <v>342.80619071488076</v>
      </c>
      <c r="R49" s="59">
        <f t="shared" si="0"/>
        <v>636.13952404821407</v>
      </c>
      <c r="S49" s="59">
        <f ca="1">AVERAGE(OFFSET($R$3,0,0,'Données projet'!$E$9+1,1))-AVERAGE(OFFSET($H$3,0,0,'Données projet'!$E$9+1,1))</f>
        <v>251.05216782177348</v>
      </c>
      <c r="T49" s="59">
        <f t="shared" si="34"/>
        <v>247.96048911281406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9.5993290034821293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9.5993290034821293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190.19999999999993</v>
      </c>
      <c r="AJ49" s="13">
        <f>AI49*VLOOKUP('Données projet'!$B$10,Paramètres!$A$1:$I$89,3,0)*VLOOKUP('Données projet'!$B$10,Paramètres!$A$1:$I$89,5,0)</f>
        <v>151.32311999999996</v>
      </c>
      <c r="AK49" s="13">
        <f t="shared" si="35"/>
        <v>38.879115530839606</v>
      </c>
      <c r="AL49" s="20">
        <f t="shared" si="4"/>
        <v>331.26889354954557</v>
      </c>
      <c r="AM49" s="59">
        <f t="shared" si="5"/>
        <v>624.60222688287888</v>
      </c>
      <c r="AN49" s="59">
        <f ca="1">AVERAGE(OFFSET($AM$3,0,0,'Données projet'!$E$10+1,1))-AVERAGE(OFFSET($H$3,0,0,'Données projet'!$E$10+1,1))</f>
        <v>219.43439115440339</v>
      </c>
      <c r="AO49" s="59">
        <f t="shared" si="36"/>
        <v>217.8880462742099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13.708059671457725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13.708059671457725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183.81792000000007</v>
      </c>
      <c r="BF49" s="13">
        <f t="shared" si="37"/>
        <v>46.170562638655326</v>
      </c>
      <c r="BG49" s="20">
        <f t="shared" si="7"/>
        <v>400.56327392899146</v>
      </c>
      <c r="BH49" s="59">
        <f t="shared" si="8"/>
        <v>693.89660726232478</v>
      </c>
      <c r="BI49" s="59">
        <f ca="1">AVERAGE(OFFSET($BH$3,0,0,'Données projet'!$E$11+1,1))-AVERAGE(OFFSET($H$3,0,0,'Données projet'!$E$11+1,1))</f>
        <v>279.89725537926205</v>
      </c>
      <c r="BJ49" s="59">
        <f t="shared" si="38"/>
        <v>276.69392352410654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22.681584811138567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22.681584811138567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7.4</v>
      </c>
      <c r="N50" s="13">
        <f>IF('Données projet'!$A$36&gt;35,N49+M50-V49,IF(A50&lt;'Données projet'!$A$36,$K$205^A50,IF(A50='Données projet'!$A$36,'Données projet'!$B$36,N49+M50-V49)))</f>
        <v>186.80000000000004</v>
      </c>
      <c r="O50" s="13">
        <f>N50*VLOOKUP('Données projet'!$B$9,Paramètres!$A$1:$I$89,3,0)*VLOOKUP('Données projet'!$B$9,Paramètres!$A$1:$I$89,5,0)</f>
        <v>163.18848000000006</v>
      </c>
      <c r="P50" s="13">
        <f t="shared" si="33"/>
        <v>41.560857991048017</v>
      </c>
      <c r="Q50" s="20">
        <f t="shared" si="53"/>
        <v>356.60509700107536</v>
      </c>
      <c r="R50" s="59">
        <f t="shared" si="0"/>
        <v>649.93843033440862</v>
      </c>
      <c r="S50" s="59">
        <f ca="1">AVERAGE(OFFSET($R$3,0,0,'Données projet'!$E$9+1,1))-AVERAGE(OFFSET($H$3,0,0,'Données projet'!$E$9+1,1))</f>
        <v>251.05216782177348</v>
      </c>
      <c r="T50" s="59">
        <f t="shared" si="34"/>
        <v>247.96048911281406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9.4110920167364025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9.4110920167364025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197.39999999999992</v>
      </c>
      <c r="AJ50" s="13">
        <f>AI50*VLOOKUP('Données projet'!$B$10,Paramètres!$A$1:$I$89,3,0)*VLOOKUP('Données projet'!$B$10,Paramètres!$A$1:$I$89,5,0)</f>
        <v>157.05143999999996</v>
      </c>
      <c r="AK50" s="13">
        <f t="shared" si="35"/>
        <v>40.176741230099708</v>
      </c>
      <c r="AL50" s="20">
        <f t="shared" si="4"/>
        <v>343.50574897575689</v>
      </c>
      <c r="AM50" s="59">
        <f t="shared" si="5"/>
        <v>636.83908230909014</v>
      </c>
      <c r="AN50" s="59">
        <f ca="1">AVERAGE(OFFSET($AM$3,0,0,'Données projet'!$E$10+1,1))-AVERAGE(OFFSET($H$3,0,0,'Données projet'!$E$10+1,1))</f>
        <v>219.43439115440339</v>
      </c>
      <c r="AO50" s="59">
        <f t="shared" si="36"/>
        <v>217.8880462742099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13.439252982391249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13.439252982391249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190.79424000000006</v>
      </c>
      <c r="BF50" s="13">
        <f t="shared" si="37"/>
        <v>47.715505384501149</v>
      </c>
      <c r="BG50" s="20">
        <f t="shared" si="7"/>
        <v>415.40447321133956</v>
      </c>
      <c r="BH50" s="59">
        <f t="shared" si="8"/>
        <v>708.73780654467282</v>
      </c>
      <c r="BI50" s="59">
        <f ca="1">AVERAGE(OFFSET($BH$3,0,0,'Données projet'!$E$11+1,1))-AVERAGE(OFFSET($H$3,0,0,'Données projet'!$E$11+1,1))</f>
        <v>279.89725537926205</v>
      </c>
      <c r="BJ50" s="59">
        <f t="shared" si="38"/>
        <v>276.69392352410654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22.236812767392841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22.236812767392841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7.4</v>
      </c>
      <c r="N51" s="13">
        <f>IF('Données projet'!$A$36&gt;35,N50+M51-V50,IF(A51&lt;'Données projet'!$A$36,$K$205^A51,IF(A51='Données projet'!$A$36,'Données projet'!$B$36,N50+M51-V50)))</f>
        <v>194.20000000000005</v>
      </c>
      <c r="O51" s="13">
        <f>N51*VLOOKUP('Données projet'!$B$9,Paramètres!$A$1:$I$89,3,0)*VLOOKUP('Données projet'!$B$9,Paramètres!$A$1:$I$89,5,0)</f>
        <v>169.65312000000006</v>
      </c>
      <c r="P51" s="13">
        <f t="shared" si="33"/>
        <v>43.012324771430336</v>
      </c>
      <c r="Q51" s="20">
        <f t="shared" si="53"/>
        <v>370.39231631024131</v>
      </c>
      <c r="R51" s="59">
        <f t="shared" si="0"/>
        <v>663.72564964357457</v>
      </c>
      <c r="S51" s="59">
        <f ca="1">AVERAGE(OFFSET($R$3,0,0,'Données projet'!$E$9+1,1))-AVERAGE(OFFSET($H$3,0,0,'Données projet'!$E$9+1,1))</f>
        <v>251.05216782177348</v>
      </c>
      <c r="T51" s="59">
        <f t="shared" si="34"/>
        <v>247.96048911281406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9.2265462424875349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9.2265462424875349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204.59999999999991</v>
      </c>
      <c r="AJ51" s="13">
        <f>AI51*VLOOKUP('Données projet'!$B$10,Paramètres!$A$1:$I$89,3,0)*VLOOKUP('Données projet'!$B$10,Paramètres!$A$1:$I$89,5,0)</f>
        <v>162.77975999999995</v>
      </c>
      <c r="AK51" s="13">
        <f t="shared" si="35"/>
        <v>41.468868129640057</v>
      </c>
      <c r="AL51" s="20">
        <f t="shared" si="4"/>
        <v>355.73302732578964</v>
      </c>
      <c r="AM51" s="59">
        <f t="shared" si="5"/>
        <v>649.06636065912289</v>
      </c>
      <c r="AN51" s="59">
        <f ca="1">AVERAGE(OFFSET($AM$3,0,0,'Données projet'!$E$10+1,1))-AVERAGE(OFFSET($H$3,0,0,'Données projet'!$E$10+1,1))</f>
        <v>219.43439115440339</v>
      </c>
      <c r="AO51" s="59">
        <f t="shared" si="36"/>
        <v>217.8880462742099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13.175717428541477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13.175717428541477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197.77056000000005</v>
      </c>
      <c r="BF51" s="13">
        <f t="shared" si="37"/>
        <v>49.253885093250254</v>
      </c>
      <c r="BG51" s="20">
        <f t="shared" si="7"/>
        <v>430.23424187074426</v>
      </c>
      <c r="BH51" s="59">
        <f t="shared" si="8"/>
        <v>723.56757520407757</v>
      </c>
      <c r="BI51" s="59">
        <f ca="1">AVERAGE(OFFSET($BH$3,0,0,'Données projet'!$E$11+1,1))-AVERAGE(OFFSET($H$3,0,0,'Données projet'!$E$11+1,1))</f>
        <v>279.89725537926205</v>
      </c>
      <c r="BJ51" s="59">
        <f t="shared" si="38"/>
        <v>276.69392352410654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21.800762432140811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21.800762432140811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7.4</v>
      </c>
      <c r="N52" s="13">
        <f>IF('Données projet'!$A$36&gt;35,N51+M52-V51,IF(A52&lt;'Données projet'!$A$36,$K$205^A52,IF(A52='Données projet'!$A$36,'Données projet'!$B$36,N51+M52-V51)))</f>
        <v>201.60000000000005</v>
      </c>
      <c r="O52" s="13">
        <f>N52*VLOOKUP('Données projet'!$B$9,Paramètres!$A$1:$I$89,3,0)*VLOOKUP('Données projet'!$B$9,Paramètres!$A$1:$I$89,5,0)</f>
        <v>176.11776000000006</v>
      </c>
      <c r="P52" s="13">
        <f t="shared" si="33"/>
        <v>44.457366290237246</v>
      </c>
      <c r="Q52" s="20">
        <f t="shared" si="53"/>
        <v>384.16834495549665</v>
      </c>
      <c r="R52" s="59">
        <f t="shared" si="0"/>
        <v>677.50167828882991</v>
      </c>
      <c r="S52" s="59">
        <f ca="1">AVERAGE(OFFSET($R$3,0,0,'Données projet'!$E$9+1,1))-AVERAGE(OFFSET($H$3,0,0,'Données projet'!$E$9+1,1))</f>
        <v>251.05216782177348</v>
      </c>
      <c r="T52" s="59">
        <f t="shared" si="34"/>
        <v>247.96048911281406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9.0456192983098784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9.0456192983098784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211.7999999999999</v>
      </c>
      <c r="AJ52" s="13">
        <f>AI52*VLOOKUP('Données projet'!$B$10,Paramètres!$A$1:$I$89,3,0)*VLOOKUP('Données projet'!$B$10,Paramètres!$A$1:$I$89,5,0)</f>
        <v>168.50807999999992</v>
      </c>
      <c r="AK52" s="13">
        <f t="shared" si="35"/>
        <v>42.755711908378117</v>
      </c>
      <c r="AL52" s="20">
        <f t="shared" si="4"/>
        <v>367.95110424042508</v>
      </c>
      <c r="AM52" s="59">
        <f t="shared" si="5"/>
        <v>661.2844375737584</v>
      </c>
      <c r="AN52" s="59">
        <f ca="1">AVERAGE(OFFSET($AM$3,0,0,'Données projet'!$E$10+1,1))-AVERAGE(OFFSET($H$3,0,0,'Données projet'!$E$10+1,1))</f>
        <v>219.43439115440339</v>
      </c>
      <c r="AO52" s="59">
        <f t="shared" si="36"/>
        <v>217.8880462742099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12.917349646161881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12.917349646161881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204.74688000000003</v>
      </c>
      <c r="BF52" s="13">
        <f t="shared" si="37"/>
        <v>50.785959801489987</v>
      </c>
      <c r="BG52" s="20">
        <f t="shared" si="7"/>
        <v>445.05302932092837</v>
      </c>
      <c r="BH52" s="59">
        <f t="shared" si="8"/>
        <v>738.38636265426169</v>
      </c>
      <c r="BI52" s="59">
        <f ca="1">AVERAGE(OFFSET($BH$3,0,0,'Données projet'!$E$11+1,1))-AVERAGE(OFFSET($H$3,0,0,'Données projet'!$E$11+1,1))</f>
        <v>279.89725537926205</v>
      </c>
      <c r="BJ52" s="59">
        <f t="shared" si="38"/>
        <v>276.69392352410654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21.37326277799863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21.37326277799863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209</v>
      </c>
      <c r="L53" s="12">
        <f>VLOOKUP(A53,'Données projet'!$A$35:$I$55,9,0)</f>
        <v>7.4</v>
      </c>
      <c r="M53" s="12">
        <f t="array" ref="M53">INDEX(L:L,MIN(IF(ISNUMBER(L53:L249),ROW(L53:L249),"")))</f>
        <v>7.4</v>
      </c>
      <c r="N53" s="13">
        <f>IF('Données projet'!$A$36&gt;35,N52+M53-V52,IF(A53&lt;'Données projet'!$A$36,$K$205^A53,IF(A53='Données projet'!$A$36,'Données projet'!$B$36,N52+M53-V52)))</f>
        <v>209.00000000000006</v>
      </c>
      <c r="O53" s="13">
        <f>N53*VLOOKUP('Données projet'!$B$9,Paramètres!$A$1:$I$89,3,0)*VLOOKUP('Données projet'!$B$9,Paramètres!$A$1:$I$89,5,0)</f>
        <v>182.58240000000009</v>
      </c>
      <c r="P53" s="13">
        <f t="shared" si="33"/>
        <v>45.896245406460288</v>
      </c>
      <c r="Q53" s="20">
        <f t="shared" si="53"/>
        <v>397.93364074958509</v>
      </c>
      <c r="R53" s="59">
        <f t="shared" si="0"/>
        <v>691.26697408291841</v>
      </c>
      <c r="S53" s="59">
        <f ca="1">AVERAGE(OFFSET($R$3,0,0,'Données projet'!$E$9+1,1))-AVERAGE(OFFSET($H$3,0,0,'Données projet'!$E$9+1,1))</f>
        <v>251.05216782177348</v>
      </c>
      <c r="T53" s="59">
        <f t="shared" si="34"/>
        <v>247.96048911281406</v>
      </c>
      <c r="U53" s="15">
        <f>IF(ISNA(VLOOKUP(A53,'Données projet'!$A$35:$I$55,3,0)),0,VLOOKUP(A53,'Données projet'!$A$35:$I$55,3,0))</f>
        <v>9</v>
      </c>
      <c r="V53" s="15">
        <f>IF(ISNA(VLOOKUP(A53,'Données projet'!$A$35:$I$55,4,0)),0,VLOOKUP(A53,'Données projet'!$A$35:$I$55,4,0))</f>
        <v>24</v>
      </c>
      <c r="W53" s="16">
        <f>IF(ISNA(VLOOKUP(A53,'Données projet'!$A$35:$I$55,5,0)),0%,VLOOKUP(A53,'Données projet'!$A$35:$I$55,5,0)*VLOOKUP('Données projet'!$B$9,Paramètres!$A$1:$I$89,7,0))</f>
        <v>0.17200000000000001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12.854810497608627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12.854810497608627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219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218.99999999999989</v>
      </c>
      <c r="AJ53" s="13">
        <f>AI53*VLOOKUP('Données projet'!$B$10,Paramètres!$A$1:$I$89,3,0)*VLOOKUP('Données projet'!$B$10,Paramètres!$A$1:$I$89,5,0)</f>
        <v>174.23639999999992</v>
      </c>
      <c r="AK53" s="13">
        <f t="shared" si="35"/>
        <v>44.03747274965864</v>
      </c>
      <c r="AL53" s="20">
        <f t="shared" si="4"/>
        <v>380.160328372322</v>
      </c>
      <c r="AM53" s="59">
        <f t="shared" si="5"/>
        <v>673.49366170565531</v>
      </c>
      <c r="AN53" s="59">
        <f ca="1">AVERAGE(OFFSET($AM$3,0,0,'Données projet'!$E$10+1,1))-AVERAGE(OFFSET($H$3,0,0,'Données projet'!$E$10+1,1))</f>
        <v>219.43439115440339</v>
      </c>
      <c r="AO53" s="59">
        <f t="shared" si="36"/>
        <v>217.8880462742099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17</v>
      </c>
      <c r="AR53" s="16">
        <f>IF(ISNA(VLOOKUP(A53,'Données projet'!$A$61:$I$81,5,0)),0%,VLOOKUP(A53,'Données projet'!$A$61:$I$81,5,0)*VLOOKUP('Données projet'!$B$10,Paramètres!$A$1:$I$89,7,0))</f>
        <v>0.26500000000000001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16.626250912379614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16.626250912379614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211.72320000000005</v>
      </c>
      <c r="BF53" s="13">
        <f t="shared" si="37"/>
        <v>52.31196896421207</v>
      </c>
      <c r="BG53" s="20">
        <f t="shared" si="7"/>
        <v>459.86125261266943</v>
      </c>
      <c r="BH53" s="59">
        <f t="shared" si="8"/>
        <v>753.19458594600269</v>
      </c>
      <c r="BI53" s="59">
        <f ca="1">AVERAGE(OFFSET($BH$3,0,0,'Données projet'!$E$11+1,1))-AVERAGE(OFFSET($H$3,0,0,'Données projet'!$E$11+1,1))</f>
        <v>279.89725537926205</v>
      </c>
      <c r="BJ53" s="59">
        <f t="shared" si="38"/>
        <v>276.69392352410654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0.26500000000000001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25.469320505726479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25.469320505726479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6.6</v>
      </c>
      <c r="N54" s="13">
        <f>IF('Données projet'!$A$36&gt;35,N53+M54-V53,IF(A54&lt;'Données projet'!$A$36,$K$205^A54,IF(A54='Données projet'!$A$36,'Données projet'!$B$36,N53+M54-V53)))</f>
        <v>191.60000000000005</v>
      </c>
      <c r="O54" s="13">
        <f>N54*VLOOKUP('Données projet'!$B$9,Paramètres!$A$1:$I$89,3,0)*VLOOKUP('Données projet'!$B$9,Paramètres!$A$1:$I$89,5,0)</f>
        <v>167.38176000000007</v>
      </c>
      <c r="P54" s="13">
        <f t="shared" si="33"/>
        <v>42.503096259839239</v>
      </c>
      <c r="Q54" s="20">
        <f t="shared" si="53"/>
        <v>365.5494579858867</v>
      </c>
      <c r="R54" s="59">
        <f t="shared" si="0"/>
        <v>658.88279131922002</v>
      </c>
      <c r="S54" s="59">
        <f ca="1">AVERAGE(OFFSET($R$3,0,0,'Données projet'!$E$9+1,1))-AVERAGE(OFFSET($H$3,0,0,'Données projet'!$E$9+1,1))</f>
        <v>251.05216782177348</v>
      </c>
      <c r="T54" s="59">
        <f t="shared" si="34"/>
        <v>247.96048911281406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12.602735504410724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12.602735504410724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</v>
      </c>
      <c r="AI54" s="13">
        <f>IF('Données projet'!$A$62&gt;35,AI53+AH54-AQ53,IF(A54&lt;'Données projet'!$A$62,$AF$205^A54,IF(A54='Données projet'!$A$62,'Données projet'!$B$62,AI53+AH54-AQ53)))</f>
        <v>207.99999999999989</v>
      </c>
      <c r="AJ54" s="13">
        <f>AI54*VLOOKUP('Données projet'!$B$10,Paramètres!$A$1:$I$89,3,0)*VLOOKUP('Données projet'!$B$10,Paramètres!$A$1:$I$89,5,0)</f>
        <v>165.48479999999992</v>
      </c>
      <c r="AK54" s="13">
        <f t="shared" si="35"/>
        <v>42.077190125964002</v>
      </c>
      <c r="AL54" s="20">
        <f t="shared" si="4"/>
        <v>361.5037994693871</v>
      </c>
      <c r="AM54" s="59">
        <f t="shared" si="5"/>
        <v>654.83713280272036</v>
      </c>
      <c r="AN54" s="59">
        <f ca="1">AVERAGE(OFFSET($AM$3,0,0,'Données projet'!$E$10+1,1))-AVERAGE(OFFSET($H$3,0,0,'Données projet'!$E$10+1,1))</f>
        <v>219.43439115440339</v>
      </c>
      <c r="AO54" s="59">
        <f t="shared" si="36"/>
        <v>217.8880462742099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16.300220272999564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16.300220272999564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202.31328000000002</v>
      </c>
      <c r="BF54" s="13">
        <f t="shared" si="37"/>
        <v>50.25221588808207</v>
      </c>
      <c r="BG54" s="20">
        <f t="shared" si="7"/>
        <v>439.88490533840962</v>
      </c>
      <c r="BH54" s="59">
        <f t="shared" si="8"/>
        <v>733.21823867174294</v>
      </c>
      <c r="BI54" s="59">
        <f ca="1">AVERAGE(OFFSET($BH$3,0,0,'Données projet'!$E$11+1,1))-AVERAGE(OFFSET($H$3,0,0,'Données projet'!$E$11+1,1))</f>
        <v>279.89725537926205</v>
      </c>
      <c r="BJ54" s="59">
        <f t="shared" si="38"/>
        <v>276.69392352410654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24.96988266536076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24.96988266536076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6.6</v>
      </c>
      <c r="N55" s="13">
        <f>IF('Données projet'!$A$36&gt;35,N54+M55-V54,IF(A55&lt;'Données projet'!$A$36,$K$205^A55,IF(A55='Données projet'!$A$36,'Données projet'!$B$36,N54+M55-V54)))</f>
        <v>198.20000000000005</v>
      </c>
      <c r="O55" s="13">
        <f>N55*VLOOKUP('Données projet'!$B$9,Paramètres!$A$1:$I$89,3,0)*VLOOKUP('Données projet'!$B$9,Paramètres!$A$1:$I$89,5,0)</f>
        <v>173.14752000000007</v>
      </c>
      <c r="P55" s="13">
        <f t="shared" si="33"/>
        <v>43.794208927254068</v>
      </c>
      <c r="Q55" s="20">
        <f t="shared" si="53"/>
        <v>377.84017788163425</v>
      </c>
      <c r="R55" s="59">
        <f t="shared" si="0"/>
        <v>671.17351121496756</v>
      </c>
      <c r="S55" s="59">
        <f ca="1">AVERAGE(OFFSET($R$3,0,0,'Données projet'!$E$9+1,1))-AVERAGE(OFFSET($H$3,0,0,'Données projet'!$E$9+1,1))</f>
        <v>251.05216782177348</v>
      </c>
      <c r="T55" s="59">
        <f t="shared" si="34"/>
        <v>247.96048911281406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12.355603548078868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12.355603548078868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</v>
      </c>
      <c r="AI55" s="13">
        <f>IF('Données projet'!$A$62&gt;35,AI54+AH55-AQ54,IF(A55&lt;'Données projet'!$A$62,$AF$205^A55,IF(A55='Données projet'!$A$62,'Données projet'!$B$62,AI54+AH55-AQ54)))</f>
        <v>213.99999999999989</v>
      </c>
      <c r="AJ55" s="13">
        <f>AI55*VLOOKUP('Données projet'!$B$10,Paramètres!$A$1:$I$89,3,0)*VLOOKUP('Données projet'!$B$10,Paramètres!$A$1:$I$89,5,0)</f>
        <v>170.25839999999991</v>
      </c>
      <c r="AK55" s="13">
        <f t="shared" si="35"/>
        <v>43.147891472685018</v>
      </c>
      <c r="AL55" s="20">
        <f t="shared" si="4"/>
        <v>371.68262431492622</v>
      </c>
      <c r="AM55" s="59">
        <f t="shared" si="5"/>
        <v>665.01595764825947</v>
      </c>
      <c r="AN55" s="59">
        <f ca="1">AVERAGE(OFFSET($AM$3,0,0,'Données projet'!$E$10+1,1))-AVERAGE(OFFSET($H$3,0,0,'Données projet'!$E$10+1,1))</f>
        <v>219.43439115440339</v>
      </c>
      <c r="AO55" s="59">
        <f t="shared" si="36"/>
        <v>217.8880462742099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15.980582895598703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15.980582895598703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208.31616</v>
      </c>
      <c r="BF55" s="13">
        <f t="shared" si="37"/>
        <v>51.567452064520282</v>
      </c>
      <c r="BG55" s="20">
        <f t="shared" si="7"/>
        <v>452.63062434570611</v>
      </c>
      <c r="BH55" s="59">
        <f t="shared" si="8"/>
        <v>745.96395767903937</v>
      </c>
      <c r="BI55" s="59">
        <f ca="1">AVERAGE(OFFSET($BH$3,0,0,'Données projet'!$E$11+1,1))-AVERAGE(OFFSET($H$3,0,0,'Données projet'!$E$11+1,1))</f>
        <v>279.89725537926205</v>
      </c>
      <c r="BJ55" s="59">
        <f t="shared" si="38"/>
        <v>276.69392352410654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24.480238496417613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24.480238496417613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6.6</v>
      </c>
      <c r="N56" s="13">
        <f>IF('Données projet'!$A$36&gt;35,N55+M56-V55,IF(A56&lt;'Données projet'!$A$36,$K$205^A56,IF(A56='Données projet'!$A$36,'Données projet'!$B$36,N55+M56-V55)))</f>
        <v>204.80000000000004</v>
      </c>
      <c r="O56" s="13">
        <f>N56*VLOOKUP('Données projet'!$B$9,Paramètres!$A$1:$I$89,3,0)*VLOOKUP('Données projet'!$B$9,Paramètres!$A$1:$I$89,5,0)</f>
        <v>178.91328000000004</v>
      </c>
      <c r="P56" s="13">
        <f t="shared" si="33"/>
        <v>45.080325843494848</v>
      </c>
      <c r="Q56" s="20">
        <f t="shared" si="53"/>
        <v>390.12219684408689</v>
      </c>
      <c r="R56" s="59">
        <f t="shared" si="0"/>
        <v>683.4555301774202</v>
      </c>
      <c r="S56" s="59">
        <f ca="1">AVERAGE(OFFSET($R$3,0,0,'Données projet'!$E$9+1,1))-AVERAGE(OFFSET($H$3,0,0,'Données projet'!$E$9+1,1))</f>
        <v>251.05216782177348</v>
      </c>
      <c r="T56" s="59">
        <f t="shared" si="34"/>
        <v>247.96048911281406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12.11331769867507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12.11331769867507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</v>
      </c>
      <c r="AI56" s="13">
        <f>IF('Données projet'!$A$62&gt;35,AI55+AH56-AQ55,IF(A56&lt;'Données projet'!$A$62,$AF$205^A56,IF(A56='Données projet'!$A$62,'Données projet'!$B$62,AI55+AH56-AQ55)))</f>
        <v>219.99999999999989</v>
      </c>
      <c r="AJ56" s="13">
        <f>AI56*VLOOKUP('Données projet'!$B$10,Paramètres!$A$1:$I$89,3,0)*VLOOKUP('Données projet'!$B$10,Paramètres!$A$1:$I$89,5,0)</f>
        <v>175.03199999999993</v>
      </c>
      <c r="AK56" s="13">
        <f t="shared" si="35"/>
        <v>44.215103743191008</v>
      </c>
      <c r="AL56" s="20">
        <f t="shared" si="4"/>
        <v>381.85537235272426</v>
      </c>
      <c r="AM56" s="59">
        <f t="shared" si="5"/>
        <v>675.18870568605757</v>
      </c>
      <c r="AN56" s="59">
        <f ca="1">AVERAGE(OFFSET($AM$3,0,0,'Données projet'!$E$10+1,1))-AVERAGE(OFFSET($H$3,0,0,'Données projet'!$E$10+1,1))</f>
        <v>219.43439115440339</v>
      </c>
      <c r="AO56" s="59">
        <f t="shared" si="36"/>
        <v>217.8880462742099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15.667213412209124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15.667213412209124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214.31903999999997</v>
      </c>
      <c r="BF56" s="13">
        <f t="shared" si="37"/>
        <v>52.878283414659698</v>
      </c>
      <c r="BG56" s="20">
        <f t="shared" si="7"/>
        <v>465.3686716138655</v>
      </c>
      <c r="BH56" s="59">
        <f t="shared" si="8"/>
        <v>758.70200494719882</v>
      </c>
      <c r="BI56" s="59">
        <f ca="1">AVERAGE(OFFSET($BH$3,0,0,'Données projet'!$E$11+1,1))-AVERAGE(OFFSET($H$3,0,0,'Données projet'!$E$11+1,1))</f>
        <v>279.89725537926205</v>
      </c>
      <c r="BJ56" s="59">
        <f t="shared" si="38"/>
        <v>276.69392352410654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24.000195950973986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24.000195950973986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6.6</v>
      </c>
      <c r="N57" s="13">
        <f>IF('Données projet'!$A$36&gt;35,N56+M57-V56,IF(A57&lt;'Données projet'!$A$36,$K$205^A57,IF(A57='Données projet'!$A$36,'Données projet'!$B$36,N56+M57-V56)))</f>
        <v>211.40000000000003</v>
      </c>
      <c r="O57" s="13">
        <f>N57*VLOOKUP('Données projet'!$B$9,Paramètres!$A$1:$I$89,3,0)*VLOOKUP('Données projet'!$B$9,Paramètres!$A$1:$I$89,5,0)</f>
        <v>184.67904000000004</v>
      </c>
      <c r="P57" s="13">
        <f t="shared" si="33"/>
        <v>46.361626470742223</v>
      </c>
      <c r="Q57" s="20">
        <f t="shared" si="53"/>
        <v>402.39582743654279</v>
      </c>
      <c r="R57" s="59">
        <f t="shared" si="0"/>
        <v>695.7291607698761</v>
      </c>
      <c r="S57" s="59">
        <f ca="1">AVERAGE(OFFSET($R$3,0,0,'Données projet'!$E$9+1,1))-AVERAGE(OFFSET($H$3,0,0,'Données projet'!$E$9+1,1))</f>
        <v>251.05216782177348</v>
      </c>
      <c r="T57" s="59">
        <f t="shared" si="34"/>
        <v>247.96048911281406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11.875782926998305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11.875782926998305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</v>
      </c>
      <c r="AI57" s="13">
        <f>IF('Données projet'!$A$62&gt;35,AI56+AH57-AQ56,IF(A57&lt;'Données projet'!$A$62,$AF$205^A57,IF(A57='Données projet'!$A$62,'Données projet'!$B$62,AI56+AH57-AQ56)))</f>
        <v>225.99999999999989</v>
      </c>
      <c r="AJ57" s="13">
        <f>AI57*VLOOKUP('Données projet'!$B$10,Paramètres!$A$1:$I$89,3,0)*VLOOKUP('Données projet'!$B$10,Paramètres!$A$1:$I$89,5,0)</f>
        <v>179.80559999999991</v>
      </c>
      <c r="AK57" s="13">
        <f t="shared" si="35"/>
        <v>45.278933028529984</v>
      </c>
      <c r="AL57" s="20">
        <f t="shared" si="4"/>
        <v>392.02222835802286</v>
      </c>
      <c r="AM57" s="59">
        <f t="shared" si="5"/>
        <v>685.35556169135612</v>
      </c>
      <c r="AN57" s="59">
        <f ca="1">AVERAGE(OFFSET($AM$3,0,0,'Données projet'!$E$10+1,1))-AVERAGE(OFFSET($H$3,0,0,'Données projet'!$E$10+1,1))</f>
        <v>219.43439115440339</v>
      </c>
      <c r="AO57" s="59">
        <f t="shared" si="36"/>
        <v>217.8880462742099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15.359988913252302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15.359988913252302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220.32192000000001</v>
      </c>
      <c r="BF57" s="13">
        <f t="shared" si="37"/>
        <v>54.18484748666976</v>
      </c>
      <c r="BG57" s="20">
        <f t="shared" si="7"/>
        <v>478.09928670594991</v>
      </c>
      <c r="BH57" s="59">
        <f t="shared" si="8"/>
        <v>771.43262003928317</v>
      </c>
      <c r="BI57" s="59">
        <f ca="1">AVERAGE(OFFSET($BH$3,0,0,'Données projet'!$E$11+1,1))-AVERAGE(OFFSET($H$3,0,0,'Données projet'!$E$11+1,1))</f>
        <v>279.89725537926205</v>
      </c>
      <c r="BJ57" s="59">
        <f t="shared" si="38"/>
        <v>276.69392352410654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23.529566747049468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23.529566747049468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218</v>
      </c>
      <c r="L58" s="12">
        <f>VLOOKUP(A58,'Données projet'!$A$35:$I$55,9,0)</f>
        <v>6.6</v>
      </c>
      <c r="M58" s="12">
        <f t="array" ref="M58">INDEX(L:L,MIN(IF(ISNUMBER(L58:L254),ROW(L58:L254),"")))</f>
        <v>6.6</v>
      </c>
      <c r="N58" s="13">
        <f>IF('Données projet'!$A$36&gt;35,N57+M58-V57,IF(A58&lt;'Données projet'!$A$36,$K$205^A58,IF(A58='Données projet'!$A$36,'Données projet'!$B$36,N57+M58-V57)))</f>
        <v>218.00000000000003</v>
      </c>
      <c r="O58" s="13">
        <f>N58*VLOOKUP('Données projet'!$B$9,Paramètres!$A$1:$I$89,3,0)*VLOOKUP('Données projet'!$B$9,Paramètres!$A$1:$I$89,5,0)</f>
        <v>190.44480000000004</v>
      </c>
      <c r="P58" s="13">
        <f t="shared" si="33"/>
        <v>47.638278428909231</v>
      </c>
      <c r="Q58" s="20">
        <f t="shared" si="53"/>
        <v>414.66136159701699</v>
      </c>
      <c r="R58" s="59">
        <f t="shared" si="0"/>
        <v>707.99469493035031</v>
      </c>
      <c r="S58" s="59">
        <f ca="1">AVERAGE(OFFSET($R$3,0,0,'Données projet'!$E$9+1,1))-AVERAGE(OFFSET($H$3,0,0,'Données projet'!$E$9+1,1))</f>
        <v>251.05216782177348</v>
      </c>
      <c r="T58" s="59">
        <f t="shared" si="34"/>
        <v>247.96048911281406</v>
      </c>
      <c r="U58" s="15">
        <f>IF(ISNA(VLOOKUP(A58,'Données projet'!$A$35:$I$55,3,0)),0,VLOOKUP(A58,'Données projet'!$A$35:$I$55,3,0))</f>
        <v>10</v>
      </c>
      <c r="V58" s="15">
        <f>IF(ISNA(VLOOKUP(A58,'Données projet'!$A$35:$I$55,4,0)),0,VLOOKUP(A58,'Données projet'!$A$35:$I$55,4,0))</f>
        <v>23</v>
      </c>
      <c r="W58" s="16">
        <f>IF(ISNA(VLOOKUP(A58,'Données projet'!$A$35:$I$55,5,0)),0%,VLOOKUP(A58,'Données projet'!$A$35:$I$55,5,0)*VLOOKUP('Données projet'!$B$9,Paramètres!$A$1:$I$89,7,0))</f>
        <v>0.17200000000000001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15.463369248915519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15.463369248915519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232</v>
      </c>
      <c r="AG58" s="12">
        <f>VLOOKUP(A58,'Données projet'!$A$61:$I$81,9,0)</f>
        <v>6</v>
      </c>
      <c r="AH58" s="12">
        <f t="array" ref="AH58">INDEX(AG:AG,MIN(IF(ISNUMBER(AG58:AG254),ROW(AG58:AG254),"")))</f>
        <v>6</v>
      </c>
      <c r="AI58" s="13">
        <f>IF('Données projet'!$A$62&gt;35,AI57+AH58-AQ57,IF(A58&lt;'Données projet'!$A$62,$AF$205^A58,IF(A58='Données projet'!$A$62,'Données projet'!$B$62,AI57+AH58-AQ57)))</f>
        <v>231.99999999999989</v>
      </c>
      <c r="AJ58" s="13">
        <f>AI58*VLOOKUP('Données projet'!$B$10,Paramètres!$A$1:$I$89,3,0)*VLOOKUP('Données projet'!$B$10,Paramètres!$A$1:$I$89,5,0)</f>
        <v>184.57919999999993</v>
      </c>
      <c r="AK58" s="13">
        <f t="shared" si="35"/>
        <v>46.339479465836618</v>
      </c>
      <c r="AL58" s="20">
        <f t="shared" si="4"/>
        <v>402.18336673633195</v>
      </c>
      <c r="AM58" s="59">
        <f t="shared" si="5"/>
        <v>695.51670006966526</v>
      </c>
      <c r="AN58" s="59">
        <f ca="1">AVERAGE(OFFSET($AM$3,0,0,'Données projet'!$E$10+1,1))-AVERAGE(OFFSET($H$3,0,0,'Données projet'!$E$10+1,1))</f>
        <v>219.43439115440339</v>
      </c>
      <c r="AO58" s="59">
        <f t="shared" si="36"/>
        <v>217.8880462742099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13</v>
      </c>
      <c r="AR58" s="16">
        <f>IF(ISNA(VLOOKUP(A58,'Données projet'!$A$61:$I$81,5,0)),0%,VLOOKUP(A58,'Données projet'!$A$61:$I$81,5,0)*VLOOKUP('Données projet'!$B$10,Paramètres!$A$1:$I$89,7,0))</f>
        <v>0.26500000000000001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18.088708545311434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18.088708545311434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226.32479999999998</v>
      </c>
      <c r="BF58" s="13">
        <f t="shared" si="37"/>
        <v>55.48727390683667</v>
      </c>
      <c r="BG58" s="20">
        <f t="shared" si="7"/>
        <v>490.82269538774045</v>
      </c>
      <c r="BH58" s="59">
        <f t="shared" si="8"/>
        <v>784.15602872107377</v>
      </c>
      <c r="BI58" s="59">
        <f ca="1">AVERAGE(OFFSET($BH$3,0,0,'Données projet'!$E$11+1,1))-AVERAGE(OFFSET($H$3,0,0,'Données projet'!$E$11+1,1))</f>
        <v>279.89725537926205</v>
      </c>
      <c r="BJ58" s="59">
        <f t="shared" si="38"/>
        <v>276.69392352410654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0.318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27.630868820469271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27.630868820469271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</v>
      </c>
      <c r="N59" s="13">
        <f>IF('Données projet'!$A$36&gt;35,N58+M59-V58,IF(A59&lt;'Données projet'!$A$36,$K$205^A59,IF(A59='Données projet'!$A$36,'Données projet'!$B$36,N58+M59-V58)))</f>
        <v>201.00000000000003</v>
      </c>
      <c r="O59" s="13">
        <f>N59*VLOOKUP('Données projet'!$B$9,Paramètres!$A$1:$I$89,3,0)*VLOOKUP('Données projet'!$B$9,Paramètres!$A$1:$I$89,5,0)</f>
        <v>175.59360000000007</v>
      </c>
      <c r="P59" s="13">
        <f t="shared" si="33"/>
        <v>44.340433728638573</v>
      </c>
      <c r="Q59" s="20">
        <f t="shared" si="53"/>
        <v>383.05177541071225</v>
      </c>
      <c r="R59" s="59">
        <f t="shared" si="0"/>
        <v>676.38510874404551</v>
      </c>
      <c r="S59" s="59">
        <f ca="1">AVERAGE(OFFSET($R$3,0,0,'Données projet'!$E$9+1,1))-AVERAGE(OFFSET($H$3,0,0,'Données projet'!$E$9+1,1))</f>
        <v>251.05216782177348</v>
      </c>
      <c r="T59" s="59">
        <f t="shared" si="34"/>
        <v>247.96048911281406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15.160142009668222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15.160142009668222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5.2</v>
      </c>
      <c r="AI59" s="13">
        <f>IF('Données projet'!$A$62&gt;35,AI58+AH59-AQ58,IF(A59&lt;'Données projet'!$A$62,$AF$205^A59,IF(A59='Données projet'!$A$62,'Données projet'!$B$62,AI58+AH59-AQ58)))</f>
        <v>224.19999999999987</v>
      </c>
      <c r="AJ59" s="13">
        <f>AI59*VLOOKUP('Données projet'!$B$10,Paramètres!$A$1:$I$89,3,0)*VLOOKUP('Données projet'!$B$10,Paramètres!$A$1:$I$89,5,0)</f>
        <v>178.37351999999993</v>
      </c>
      <c r="AK59" s="13">
        <f t="shared" si="35"/>
        <v>44.960133388294842</v>
      </c>
      <c r="AL59" s="20">
        <f t="shared" si="4"/>
        <v>388.97277965128006</v>
      </c>
      <c r="AM59" s="59">
        <f t="shared" si="5"/>
        <v>682.30611298461338</v>
      </c>
      <c r="AN59" s="59">
        <f ca="1">AVERAGE(OFFSET($AM$3,0,0,'Données projet'!$E$10+1,1))-AVERAGE(OFFSET($H$3,0,0,'Données projet'!$E$10+1,1))</f>
        <v>219.43439115440339</v>
      </c>
      <c r="AO59" s="59">
        <f t="shared" si="36"/>
        <v>217.8880462742099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17.73400000376067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17.73400000376067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218.37503999999998</v>
      </c>
      <c r="BF59" s="13">
        <f t="shared" si="37"/>
        <v>53.761556452013281</v>
      </c>
      <c r="BG59" s="20">
        <f t="shared" si="7"/>
        <v>473.97123882058969</v>
      </c>
      <c r="BH59" s="59">
        <f t="shared" si="8"/>
        <v>767.304572153923</v>
      </c>
      <c r="BI59" s="59">
        <f ca="1">AVERAGE(OFFSET($BH$3,0,0,'Données projet'!$E$11+1,1))-AVERAGE(OFFSET($H$3,0,0,'Données projet'!$E$11+1,1))</f>
        <v>279.89725537926205</v>
      </c>
      <c r="BJ59" s="59">
        <f t="shared" si="38"/>
        <v>276.69392352410654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27.089044336065736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27.089044336065736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</v>
      </c>
      <c r="N60" s="13">
        <f>IF('Données projet'!$A$36&gt;35,N59+M60-V59,IF(A60&lt;'Données projet'!$A$36,$K$205^A60,IF(A60='Données projet'!$A$36,'Données projet'!$B$36,N59+M60-V59)))</f>
        <v>207.00000000000003</v>
      </c>
      <c r="O60" s="13">
        <f>N60*VLOOKUP('Données projet'!$B$9,Paramètres!$A$1:$I$89,3,0)*VLOOKUP('Données projet'!$B$9,Paramètres!$A$1:$I$89,5,0)</f>
        <v>180.83520000000004</v>
      </c>
      <c r="P60" s="13">
        <f t="shared" si="33"/>
        <v>45.507952685945142</v>
      </c>
      <c r="Q60" s="20">
        <f t="shared" si="53"/>
        <v>394.21432426135453</v>
      </c>
      <c r="R60" s="59">
        <f t="shared" si="0"/>
        <v>687.54765759468785</v>
      </c>
      <c r="S60" s="59">
        <f ca="1">AVERAGE(OFFSET($R$3,0,0,'Données projet'!$E$9+1,1))-AVERAGE(OFFSET($H$3,0,0,'Données projet'!$E$9+1,1))</f>
        <v>251.05216782177348</v>
      </c>
      <c r="T60" s="59">
        <f t="shared" si="34"/>
        <v>247.96048911281406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14.862860871632211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14.862860871632211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5.2</v>
      </c>
      <c r="AI60" s="13">
        <f>IF('Données projet'!$A$62&gt;35,AI59+AH60-AQ59,IF(A60&lt;'Données projet'!$A$62,$AF$205^A60,IF(A60='Données projet'!$A$62,'Données projet'!$B$62,AI59+AH60-AQ59)))</f>
        <v>229.39999999999986</v>
      </c>
      <c r="AJ60" s="13">
        <f>AI60*VLOOKUP('Données projet'!$B$10,Paramètres!$A$1:$I$89,3,0)*VLOOKUP('Données projet'!$B$10,Paramètres!$A$1:$I$89,5,0)</f>
        <v>182.51063999999988</v>
      </c>
      <c r="AK60" s="13">
        <f t="shared" si="35"/>
        <v>45.880306213791371</v>
      </c>
      <c r="AL60" s="20">
        <f t="shared" si="4"/>
        <v>397.78089798901971</v>
      </c>
      <c r="AM60" s="59">
        <f t="shared" si="5"/>
        <v>691.11423132235302</v>
      </c>
      <c r="AN60" s="59">
        <f ca="1">AVERAGE(OFFSET($AM$3,0,0,'Données projet'!$E$10+1,1))-AVERAGE(OFFSET($H$3,0,0,'Données projet'!$E$10+1,1))</f>
        <v>219.43439115440339</v>
      </c>
      <c r="AO60" s="59">
        <f t="shared" si="36"/>
        <v>217.8880462742099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17.386247080358867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17.386247080358867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223.40447999999995</v>
      </c>
      <c r="BF60" s="13">
        <f t="shared" si="37"/>
        <v>54.854170008795911</v>
      </c>
      <c r="BG60" s="20">
        <f t="shared" si="7"/>
        <v>484.63381543198619</v>
      </c>
      <c r="BH60" s="59">
        <f t="shared" si="8"/>
        <v>777.96714876531951</v>
      </c>
      <c r="BI60" s="59">
        <f ca="1">AVERAGE(OFFSET($BH$3,0,0,'Données projet'!$E$11+1,1))-AVERAGE(OFFSET($H$3,0,0,'Données projet'!$E$11+1,1))</f>
        <v>279.89725537926205</v>
      </c>
      <c r="BJ60" s="59">
        <f t="shared" si="38"/>
        <v>276.69392352410654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26.557844699321052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26.557844699321052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</v>
      </c>
      <c r="N61" s="13">
        <f>IF('Données projet'!$A$36&gt;35,N60+M61-V60,IF(A61&lt;'Données projet'!$A$36,$K$205^A61,IF(A61='Données projet'!$A$36,'Données projet'!$B$36,N60+M61-V60)))</f>
        <v>213.00000000000003</v>
      </c>
      <c r="O61" s="13">
        <f>N61*VLOOKUP('Données projet'!$B$9,Paramètres!$A$1:$I$89,3,0)*VLOOKUP('Données projet'!$B$9,Paramètres!$A$1:$I$89,5,0)</f>
        <v>186.07680000000005</v>
      </c>
      <c r="P61" s="13">
        <f t="shared" si="33"/>
        <v>46.671538591528673</v>
      </c>
      <c r="Q61" s="20">
        <f t="shared" si="53"/>
        <v>405.37002304691242</v>
      </c>
      <c r="R61" s="59">
        <f t="shared" si="0"/>
        <v>698.70335638024574</v>
      </c>
      <c r="S61" s="59">
        <f ca="1">AVERAGE(OFFSET($R$3,0,0,'Données projet'!$E$9+1,1))-AVERAGE(OFFSET($H$3,0,0,'Données projet'!$E$9+1,1))</f>
        <v>251.05216782177348</v>
      </c>
      <c r="T61" s="59">
        <f t="shared" si="34"/>
        <v>247.96048911281406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14.571409235389497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14.571409235389497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5.2</v>
      </c>
      <c r="AI61" s="13">
        <f>IF('Données projet'!$A$62&gt;35,AI60+AH61-AQ60,IF(A61&lt;'Données projet'!$A$62,$AF$205^A61,IF(A61='Données projet'!$A$62,'Données projet'!$B$62,AI60+AH61-AQ60)))</f>
        <v>234.59999999999985</v>
      </c>
      <c r="AJ61" s="13">
        <f>AI61*VLOOKUP('Données projet'!$B$10,Paramètres!$A$1:$I$89,3,0)*VLOOKUP('Données projet'!$B$10,Paramètres!$A$1:$I$89,5,0)</f>
        <v>186.64775999999989</v>
      </c>
      <c r="AK61" s="13">
        <f t="shared" si="35"/>
        <v>46.79805411155214</v>
      </c>
      <c r="AL61" s="20">
        <f t="shared" si="4"/>
        <v>406.58479291095313</v>
      </c>
      <c r="AM61" s="59">
        <f t="shared" si="5"/>
        <v>699.91812624428644</v>
      </c>
      <c r="AN61" s="59">
        <f ca="1">AVERAGE(OFFSET($AM$3,0,0,'Données projet'!$E$10+1,1))-AVERAGE(OFFSET($H$3,0,0,'Données projet'!$E$10+1,1))</f>
        <v>219.43439115440339</v>
      </c>
      <c r="AO61" s="59">
        <f t="shared" si="36"/>
        <v>217.8880462742099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17.045313379676635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17.045313379676635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228.43391999999994</v>
      </c>
      <c r="BF61" s="13">
        <f t="shared" si="37"/>
        <v>55.943923887219448</v>
      </c>
      <c r="BG61" s="20">
        <f t="shared" si="7"/>
        <v>495.29141143690708</v>
      </c>
      <c r="BH61" s="59">
        <f t="shared" si="8"/>
        <v>788.62474477024034</v>
      </c>
      <c r="BI61" s="59">
        <f ca="1">AVERAGE(OFFSET($BH$3,0,0,'Données projet'!$E$11+1,1))-AVERAGE(OFFSET($H$3,0,0,'Données projet'!$E$11+1,1))</f>
        <v>279.89725537926205</v>
      </c>
      <c r="BJ61" s="59">
        <f t="shared" si="38"/>
        <v>276.69392352410654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26.037061563453147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26.037061563453147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</v>
      </c>
      <c r="N62" s="13">
        <f>IF('Données projet'!$A$36&gt;35,N61+M62-V61,IF(A62&lt;'Données projet'!$A$36,$K$205^A62,IF(A62='Données projet'!$A$36,'Données projet'!$B$36,N61+M62-V61)))</f>
        <v>219.00000000000003</v>
      </c>
      <c r="O62" s="13">
        <f>N62*VLOOKUP('Données projet'!$B$9,Paramètres!$A$1:$I$89,3,0)*VLOOKUP('Données projet'!$B$9,Paramètres!$A$1:$I$89,5,0)</f>
        <v>191.31840000000005</v>
      </c>
      <c r="P62" s="13">
        <f t="shared" si="33"/>
        <v>47.831314962098396</v>
      </c>
      <c r="Q62" s="20">
        <f t="shared" si="53"/>
        <v>416.51908689232141</v>
      </c>
      <c r="R62" s="59">
        <f t="shared" si="0"/>
        <v>709.85242022565467</v>
      </c>
      <c r="S62" s="59">
        <f ca="1">AVERAGE(OFFSET($R$3,0,0,'Données projet'!$E$9+1,1))-AVERAGE(OFFSET($H$3,0,0,'Données projet'!$E$9+1,1))</f>
        <v>251.05216782177348</v>
      </c>
      <c r="T62" s="59">
        <f t="shared" si="34"/>
        <v>247.96048911281406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14.285672787965558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14.285672787965558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5.2</v>
      </c>
      <c r="AI62" s="13">
        <f>IF('Données projet'!$A$62&gt;35,AI61+AH62-AQ61,IF(A62&lt;'Données projet'!$A$62,$AF$205^A62,IF(A62='Données projet'!$A$62,'Données projet'!$B$62,AI61+AH62-AQ61)))</f>
        <v>239.79999999999984</v>
      </c>
      <c r="AJ62" s="13">
        <f>AI62*VLOOKUP('Données projet'!$B$10,Paramètres!$A$1:$I$89,3,0)*VLOOKUP('Données projet'!$B$10,Paramètres!$A$1:$I$89,5,0)</f>
        <v>190.78487999999987</v>
      </c>
      <c r="AK62" s="13">
        <f t="shared" si="35"/>
        <v>47.713437020051622</v>
      </c>
      <c r="AL62" s="20">
        <f t="shared" si="4"/>
        <v>415.384568809923</v>
      </c>
      <c r="AM62" s="59">
        <f t="shared" si="5"/>
        <v>708.71790214325631</v>
      </c>
      <c r="AN62" s="59">
        <f ca="1">AVERAGE(OFFSET($AM$3,0,0,'Données projet'!$E$10+1,1))-AVERAGE(OFFSET($H$3,0,0,'Données projet'!$E$10+1,1))</f>
        <v>219.43439115440339</v>
      </c>
      <c r="AO62" s="59">
        <f t="shared" si="36"/>
        <v>217.8880462742099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16.711065180915757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16.711065180915757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233.46335999999994</v>
      </c>
      <c r="BF62" s="13">
        <f t="shared" si="37"/>
        <v>57.030888299157333</v>
      </c>
      <c r="BG62" s="20">
        <f t="shared" si="7"/>
        <v>505.94414912103224</v>
      </c>
      <c r="BH62" s="59">
        <f t="shared" si="8"/>
        <v>799.27748245436555</v>
      </c>
      <c r="BI62" s="59">
        <f ca="1">AVERAGE(OFFSET($BH$3,0,0,'Données projet'!$E$11+1,1))-AVERAGE(OFFSET($H$3,0,0,'Données projet'!$E$11+1,1))</f>
        <v>279.89725537926205</v>
      </c>
      <c r="BJ62" s="59">
        <f t="shared" si="38"/>
        <v>276.69392352410654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25.526490667233261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25.526490667233261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225</v>
      </c>
      <c r="L63" s="12">
        <f>VLOOKUP(A63,'Données projet'!$A$35:$I$55,9,0)</f>
        <v>6</v>
      </c>
      <c r="M63" s="12">
        <f t="array" ref="M63">INDEX(L:L,MIN(IF(ISNUMBER(L63:L259),ROW(L63:L259),"")))</f>
        <v>6</v>
      </c>
      <c r="N63" s="13">
        <f>IF('Données projet'!$A$36&gt;35,N62+M63-V62,IF(A63&lt;'Données projet'!$A$36,$K$205^A63,IF(A63='Données projet'!$A$36,'Données projet'!$B$36,N62+M63-V62)))</f>
        <v>225.00000000000003</v>
      </c>
      <c r="O63" s="13">
        <f>N63*VLOOKUP('Données projet'!$B$9,Paramètres!$A$1:$I$89,3,0)*VLOOKUP('Données projet'!$B$9,Paramètres!$A$1:$I$89,5,0)</f>
        <v>196.56000000000006</v>
      </c>
      <c r="P63" s="13">
        <f t="shared" si="33"/>
        <v>48.987398161128134</v>
      </c>
      <c r="Q63" s="20">
        <f t="shared" si="53"/>
        <v>427.66171846396492</v>
      </c>
      <c r="R63" s="59">
        <f t="shared" si="0"/>
        <v>720.99505179729817</v>
      </c>
      <c r="S63" s="59">
        <f ca="1">AVERAGE(OFFSET($R$3,0,0,'Données projet'!$E$9+1,1))-AVERAGE(OFFSET($H$3,0,0,'Données projet'!$E$9+1,1))</f>
        <v>251.05216782177348</v>
      </c>
      <c r="T63" s="59">
        <f t="shared" si="34"/>
        <v>247.96048911281406</v>
      </c>
      <c r="U63" s="15">
        <f>IF(ISNA(VLOOKUP(A63,'Données projet'!$A$35:$I$55,3,0)),0,VLOOKUP(A63,'Données projet'!$A$35:$I$55,3,0))</f>
        <v>11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0.215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18.365850697866911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18.365850697866911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245</v>
      </c>
      <c r="AG63" s="12">
        <f>VLOOKUP(A63,'Données projet'!$A$61:$I$81,9,0)</f>
        <v>5.2</v>
      </c>
      <c r="AH63" s="12">
        <f t="array" ref="AH63">INDEX(AG:AG,MIN(IF(ISNUMBER(AG63:AG259),ROW(AG63:AG259),"")))</f>
        <v>5.2</v>
      </c>
      <c r="AI63" s="13">
        <f>IF('Données projet'!$A$62&gt;35,AI62+AH63-AQ62,IF(A63&lt;'Données projet'!$A$62,$AF$205^A63,IF(A63='Données projet'!$A$62,'Données projet'!$B$62,AI62+AH63-AQ62)))</f>
        <v>244.99999999999983</v>
      </c>
      <c r="AJ63" s="13">
        <f>AI63*VLOOKUP('Données projet'!$B$10,Paramètres!$A$1:$I$89,3,0)*VLOOKUP('Données projet'!$B$10,Paramètres!$A$1:$I$89,5,0)</f>
        <v>194.92199999999988</v>
      </c>
      <c r="AK63" s="13">
        <f t="shared" si="35"/>
        <v>48.626512129794925</v>
      </c>
      <c r="AL63" s="20">
        <f t="shared" si="4"/>
        <v>424.18032529272591</v>
      </c>
      <c r="AM63" s="59">
        <f t="shared" si="5"/>
        <v>717.51365862605917</v>
      </c>
      <c r="AN63" s="59">
        <f ca="1">AVERAGE(OFFSET($AM$3,0,0,'Données projet'!$E$10+1,1))-AVERAGE(OFFSET($H$3,0,0,'Données projet'!$E$10+1,1))</f>
        <v>219.43439115440339</v>
      </c>
      <c r="AO63" s="59">
        <f t="shared" si="36"/>
        <v>217.8880462742099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12</v>
      </c>
      <c r="AR63" s="16">
        <f>IF(ISNA(VLOOKUP(A63,'Données projet'!$A$61:$I$81,5,0)),0%,VLOOKUP(A63,'Données projet'!$A$61:$I$81,5,0)*VLOOKUP('Données projet'!$B$10,Paramètres!$A$1:$I$89,7,0))</f>
        <v>0.318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19.739590070238989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19.739590070238989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238.4927999999999</v>
      </c>
      <c r="BF63" s="13">
        <f t="shared" si="37"/>
        <v>58.115130258576542</v>
      </c>
      <c r="BG63" s="20">
        <f t="shared" si="7"/>
        <v>516.59214520035403</v>
      </c>
      <c r="BH63" s="59">
        <f t="shared" si="8"/>
        <v>809.92547853368728</v>
      </c>
      <c r="BI63" s="59">
        <f ca="1">AVERAGE(OFFSET($BH$3,0,0,'Données projet'!$E$11+1,1))-AVERAGE(OFFSET($H$3,0,0,'Données projet'!$E$11+1,1))</f>
        <v>279.89725537926205</v>
      </c>
      <c r="BJ63" s="59">
        <f t="shared" si="38"/>
        <v>276.69392352410654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0.318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29.018296464867731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29.018296464867731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5.6</v>
      </c>
      <c r="N64" s="13">
        <f>IF('Données projet'!$A$36&gt;35,N63+M64-V63,IF(A64&lt;'Données projet'!$A$36,$K$205^A64,IF(A64='Données projet'!$A$36,'Données projet'!$B$36,N63+M64-V63)))</f>
        <v>209.60000000000002</v>
      </c>
      <c r="O64" s="13">
        <f>N64*VLOOKUP('Données projet'!$B$9,Paramètres!$A$1:$I$89,3,0)*VLOOKUP('Données projet'!$B$9,Paramètres!$A$1:$I$89,5,0)</f>
        <v>183.10656000000003</v>
      </c>
      <c r="P64" s="13">
        <f t="shared" si="33"/>
        <v>46.012648718992089</v>
      </c>
      <c r="Q64" s="20">
        <f t="shared" si="53"/>
        <v>399.04928851891128</v>
      </c>
      <c r="R64" s="59">
        <f t="shared" si="0"/>
        <v>692.3826218522446</v>
      </c>
      <c r="S64" s="59">
        <f ca="1">AVERAGE(OFFSET($R$3,0,0,'Données projet'!$E$9+1,1))-AVERAGE(OFFSET($H$3,0,0,'Données projet'!$E$9+1,1))</f>
        <v>251.05216782177348</v>
      </c>
      <c r="T64" s="59">
        <f t="shared" si="34"/>
        <v>247.96048911281406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18.005707567744555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18.005707567744555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4.4000000000000004</v>
      </c>
      <c r="AI64" s="13">
        <f>IF('Données projet'!$A$62&gt;35,AI63+AH64-AQ63,IF(A64&lt;'Données projet'!$A$62,$AF$205^A64,IF(A64='Données projet'!$A$62,'Données projet'!$B$62,AI63+AH64-AQ63)))</f>
        <v>237.39999999999984</v>
      </c>
      <c r="AJ64" s="13">
        <f>AI64*VLOOKUP('Données projet'!$B$10,Paramètres!$A$1:$I$89,3,0)*VLOOKUP('Données projet'!$B$10,Paramètres!$A$1:$I$89,5,0)</f>
        <v>188.87543999999988</v>
      </c>
      <c r="AK64" s="13">
        <f t="shared" si="35"/>
        <v>47.291242769027726</v>
      </c>
      <c r="AL64" s="20">
        <f t="shared" si="4"/>
        <v>411.32363915605634</v>
      </c>
      <c r="AM64" s="59">
        <f t="shared" si="5"/>
        <v>704.65697248938966</v>
      </c>
      <c r="AN64" s="59">
        <f ca="1">AVERAGE(OFFSET($AM$3,0,0,'Données projet'!$E$10+1,1))-AVERAGE(OFFSET($H$3,0,0,'Données projet'!$E$10+1,1))</f>
        <v>219.43439115440339</v>
      </c>
      <c r="AO64" s="59">
        <f t="shared" si="36"/>
        <v>217.8880462742099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19.352508748922698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19.352508748922698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231.35423999999992</v>
      </c>
      <c r="BF64" s="13">
        <f t="shared" si="37"/>
        <v>56.575399756999062</v>
      </c>
      <c r="BG64" s="20">
        <f t="shared" si="7"/>
        <v>501.47745591010658</v>
      </c>
      <c r="BH64" s="59">
        <f t="shared" si="8"/>
        <v>794.8107892434399</v>
      </c>
      <c r="BI64" s="59">
        <f ca="1">AVERAGE(OFFSET($BH$3,0,0,'Données projet'!$E$11+1,1))-AVERAGE(OFFSET($H$3,0,0,'Données projet'!$E$11+1,1))</f>
        <v>279.89725537926205</v>
      </c>
      <c r="BJ64" s="59">
        <f t="shared" si="38"/>
        <v>276.69392352410654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28.449265370604845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28.449265370604845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5.6</v>
      </c>
      <c r="N65" s="13">
        <f>IF('Données projet'!$A$36&gt;35,N64+M65-V64,IF(A65&lt;'Données projet'!$A$36,$K$205^A65,IF(A65='Données projet'!$A$36,'Données projet'!$B$36,N64+M65-V64)))</f>
        <v>215.20000000000002</v>
      </c>
      <c r="O65" s="13">
        <f>N65*VLOOKUP('Données projet'!$B$9,Paramètres!$A$1:$I$89,3,0)*VLOOKUP('Données projet'!$B$9,Paramètres!$A$1:$I$89,5,0)</f>
        <v>187.99872000000002</v>
      </c>
      <c r="P65" s="13">
        <f t="shared" si="33"/>
        <v>47.097225953569499</v>
      </c>
      <c r="Q65" s="20">
        <f t="shared" si="53"/>
        <v>409.45877253580028</v>
      </c>
      <c r="R65" s="59">
        <f t="shared" si="0"/>
        <v>702.79210586913359</v>
      </c>
      <c r="S65" s="59">
        <f ca="1">AVERAGE(OFFSET($R$3,0,0,'Données projet'!$E$9+1,1))-AVERAGE(OFFSET($H$3,0,0,'Données projet'!$E$9+1,1))</f>
        <v>251.05216782177348</v>
      </c>
      <c r="T65" s="59">
        <f t="shared" si="34"/>
        <v>247.96048911281406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17.652626624738279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17.652626624738279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4.4000000000000004</v>
      </c>
      <c r="AI65" s="13">
        <f>IF('Données projet'!$A$62&gt;35,AI64+AH65-AQ64,IF(A65&lt;'Données projet'!$A$62,$AF$205^A65,IF(A65='Données projet'!$A$62,'Données projet'!$B$62,AI64+AH65-AQ64)))</f>
        <v>241.79999999999984</v>
      </c>
      <c r="AJ65" s="13">
        <f>AI65*VLOOKUP('Données projet'!$B$10,Paramètres!$A$1:$I$89,3,0)*VLOOKUP('Données projet'!$B$10,Paramètres!$A$1:$I$89,5,0)</f>
        <v>192.37607999999989</v>
      </c>
      <c r="AK65" s="13">
        <f t="shared" si="35"/>
        <v>48.064889828485896</v>
      </c>
      <c r="AL65" s="20">
        <f t="shared" si="4"/>
        <v>418.76802245127936</v>
      </c>
      <c r="AM65" s="59">
        <f t="shared" si="5"/>
        <v>712.10135578461268</v>
      </c>
      <c r="AN65" s="59">
        <f ca="1">AVERAGE(OFFSET($AM$3,0,0,'Données projet'!$E$10+1,1))-AVERAGE(OFFSET($H$3,0,0,'Données projet'!$E$10+1,1))</f>
        <v>219.43439115440339</v>
      </c>
      <c r="AO65" s="59">
        <f t="shared" si="36"/>
        <v>217.8880462742099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18.973017856221126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18.973017856221126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235.5724799999999</v>
      </c>
      <c r="BF65" s="13">
        <f t="shared" si="37"/>
        <v>57.485898111011707</v>
      </c>
      <c r="BG65" s="20">
        <f t="shared" si="7"/>
        <v>510.41000854334516</v>
      </c>
      <c r="BH65" s="59">
        <f t="shared" si="8"/>
        <v>803.74334187667841</v>
      </c>
      <c r="BI65" s="59">
        <f ca="1">AVERAGE(OFFSET($BH$3,0,0,'Données projet'!$E$11+1,1))-AVERAGE(OFFSET($H$3,0,0,'Données projet'!$E$11+1,1))</f>
        <v>279.89725537926205</v>
      </c>
      <c r="BJ65" s="59">
        <f t="shared" si="38"/>
        <v>276.69392352410654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27.891392629025759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27.891392629025759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5.6</v>
      </c>
      <c r="N66" s="13">
        <f>IF('Données projet'!$A$36&gt;35,N65+M66-V65,IF(A66&lt;'Données projet'!$A$36,$K$205^A66,IF(A66='Données projet'!$A$36,'Données projet'!$B$36,N65+M66-V65)))</f>
        <v>220.8</v>
      </c>
      <c r="O66" s="13">
        <f>N66*VLOOKUP('Données projet'!$B$9,Paramètres!$A$1:$I$89,3,0)*VLOOKUP('Données projet'!$B$9,Paramètres!$A$1:$I$89,5,0)</f>
        <v>192.89088000000004</v>
      </c>
      <c r="P66" s="13">
        <f t="shared" si="33"/>
        <v>48.178522586846704</v>
      </c>
      <c r="Q66" s="20">
        <f t="shared" si="53"/>
        <v>419.86254283875809</v>
      </c>
      <c r="R66" s="59">
        <f t="shared" si="0"/>
        <v>713.1958761720914</v>
      </c>
      <c r="S66" s="59">
        <f ca="1">AVERAGE(OFFSET($R$3,0,0,'Données projet'!$E$9+1,1))-AVERAGE(OFFSET($H$3,0,0,'Données projet'!$E$9+1,1))</f>
        <v>251.05216782177348</v>
      </c>
      <c r="T66" s="59">
        <f t="shared" si="34"/>
        <v>247.96048911281406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17.306469383666244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17.306469383666244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4.4000000000000004</v>
      </c>
      <c r="AI66" s="13">
        <f>IF('Données projet'!$A$62&gt;35,AI65+AH66-AQ65,IF(A66&lt;'Données projet'!$A$62,$AF$205^A66,IF(A66='Données projet'!$A$62,'Données projet'!$B$62,AI65+AH66-AQ65)))</f>
        <v>246.19999999999985</v>
      </c>
      <c r="AJ66" s="13">
        <f>AI66*VLOOKUP('Données projet'!$B$10,Paramètres!$A$1:$I$89,3,0)*VLOOKUP('Données projet'!$B$10,Paramètres!$A$1:$I$89,5,0)</f>
        <v>195.87671999999989</v>
      </c>
      <c r="AK66" s="13">
        <f t="shared" si="35"/>
        <v>48.836899853879942</v>
      </c>
      <c r="AL66" s="20">
        <f t="shared" si="4"/>
        <v>426.20955457884071</v>
      </c>
      <c r="AM66" s="59">
        <f t="shared" si="5"/>
        <v>719.54288791217402</v>
      </c>
      <c r="AN66" s="59">
        <f ca="1">AVERAGE(OFFSET($AM$3,0,0,'Données projet'!$E$10+1,1))-AVERAGE(OFFSET($H$3,0,0,'Données projet'!$E$10+1,1))</f>
        <v>219.43439115440339</v>
      </c>
      <c r="AO66" s="59">
        <f t="shared" si="36"/>
        <v>217.8880462742099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18.600968548458845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18.600968548458845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239.79071999999991</v>
      </c>
      <c r="BF66" s="13">
        <f t="shared" si="37"/>
        <v>58.394500584818381</v>
      </c>
      <c r="BG66" s="20">
        <f t="shared" si="7"/>
        <v>519.33925918522516</v>
      </c>
      <c r="BH66" s="59">
        <f t="shared" si="8"/>
        <v>812.67259251855853</v>
      </c>
      <c r="BI66" s="59">
        <f ca="1">AVERAGE(OFFSET($BH$3,0,0,'Données projet'!$E$11+1,1))-AVERAGE(OFFSET($H$3,0,0,'Données projet'!$E$11+1,1))</f>
        <v>279.89725537926205</v>
      </c>
      <c r="BJ66" s="59">
        <f t="shared" si="38"/>
        <v>276.69392352410654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27.344459431640267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27.344459431640267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5.6</v>
      </c>
      <c r="N67" s="13">
        <f>IF('Données projet'!$A$36&gt;35,N66+M67-V66,IF(A67&lt;'Données projet'!$A$36,$K$205^A67,IF(A67='Données projet'!$A$36,'Données projet'!$B$36,N66+M67-V66)))</f>
        <v>226.4</v>
      </c>
      <c r="O67" s="13">
        <f>N67*VLOOKUP('Données projet'!$B$9,Paramètres!$A$1:$I$89,3,0)*VLOOKUP('Données projet'!$B$9,Paramètres!$A$1:$I$89,5,0)</f>
        <v>197.78304000000003</v>
      </c>
      <c r="P67" s="13">
        <f t="shared" si="33"/>
        <v>49.256631390532817</v>
      </c>
      <c r="Q67" s="20">
        <f t="shared" ref="Q67:Q98" si="54">(O67+P67)*0.475*44/12</f>
        <v>430.26076100517804</v>
      </c>
      <c r="R67" s="59">
        <f t="shared" ref="R67:R130" si="55">Q67+(I67+J67)*44/12</f>
        <v>723.59409433851135</v>
      </c>
      <c r="S67" s="59">
        <f ca="1">AVERAGE(OFFSET($R$3,0,0,'Données projet'!$E$9+1,1))-AVERAGE(OFFSET($H$3,0,0,'Données projet'!$E$9+1,1))</f>
        <v>251.05216782177348</v>
      </c>
      <c r="T67" s="59">
        <f t="shared" si="34"/>
        <v>247.96048911281406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16.967100074956562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16.967100074956562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4.4000000000000004</v>
      </c>
      <c r="AI67" s="13">
        <f>IF('Données projet'!$A$62&gt;35,AI66+AH67-AQ66,IF(A67&lt;'Données projet'!$A$62,$AF$205^A67,IF(A67='Données projet'!$A$62,'Données projet'!$B$62,AI66+AH67-AQ66)))</f>
        <v>250.59999999999985</v>
      </c>
      <c r="AJ67" s="13">
        <f>AI67*VLOOKUP('Données projet'!$B$10,Paramètres!$A$1:$I$89,3,0)*VLOOKUP('Données projet'!$B$10,Paramètres!$A$1:$I$89,5,0)</f>
        <v>199.3773599999999</v>
      </c>
      <c r="AK67" s="13">
        <f t="shared" si="35"/>
        <v>49.607305476717762</v>
      </c>
      <c r="AL67" s="20">
        <f t="shared" si="4"/>
        <v>433.64829237194994</v>
      </c>
      <c r="AM67" s="59">
        <f t="shared" si="5"/>
        <v>726.98162570528325</v>
      </c>
      <c r="AN67" s="59">
        <f ca="1">AVERAGE(OFFSET($AM$3,0,0,'Données projet'!$E$10+1,1))-AVERAGE(OFFSET($H$3,0,0,'Données projet'!$E$10+1,1))</f>
        <v>219.43439115440339</v>
      </c>
      <c r="AO67" s="59">
        <f t="shared" si="36"/>
        <v>217.8880462742099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18.236214900694108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18.236214900694108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244.00895999999986</v>
      </c>
      <c r="BF67" s="13">
        <f t="shared" si="37"/>
        <v>59.301244377330541</v>
      </c>
      <c r="BG67" s="20">
        <f t="shared" si="7"/>
        <v>528.26527262385048</v>
      </c>
      <c r="BH67" s="59">
        <f t="shared" si="8"/>
        <v>821.59860595718374</v>
      </c>
      <c r="BI67" s="59">
        <f ca="1">AVERAGE(OFFSET($BH$3,0,0,'Données projet'!$E$11+1,1))-AVERAGE(OFFSET($H$3,0,0,'Données projet'!$E$11+1,1))</f>
        <v>279.89725537926205</v>
      </c>
      <c r="BJ67" s="59">
        <f t="shared" si="38"/>
        <v>276.69392352410654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26.808251260659194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26.808251260659194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232</v>
      </c>
      <c r="L68" s="12">
        <f>VLOOKUP(A68,'Données projet'!$A$35:$I$55,9,0)</f>
        <v>5.6</v>
      </c>
      <c r="M68" s="12">
        <f t="array" ref="M68">INDEX(L:L,MIN(IF(ISNUMBER(L68:L264),ROW(L68:L264),"")))</f>
        <v>5.6</v>
      </c>
      <c r="N68" s="13">
        <f>IF('Données projet'!$A$36&gt;35,N67+M68-V67,IF(A68&lt;'Données projet'!$A$36,$K$205^A68,IF(A68='Données projet'!$A$36,'Données projet'!$B$36,N67+M68-V67)))</f>
        <v>232</v>
      </c>
      <c r="O68" s="13">
        <f>N68*VLOOKUP('Données projet'!$B$9,Paramètres!$A$1:$I$89,3,0)*VLOOKUP('Données projet'!$B$9,Paramètres!$A$1:$I$89,5,0)</f>
        <v>202.67520000000002</v>
      </c>
      <c r="P68" s="13">
        <f t="shared" si="33"/>
        <v>50.331640285313689</v>
      </c>
      <c r="Q68" s="20">
        <f t="shared" si="54"/>
        <v>440.653580163588</v>
      </c>
      <c r="R68" s="59">
        <f t="shared" si="55"/>
        <v>733.98691349692126</v>
      </c>
      <c r="S68" s="59">
        <f ca="1">AVERAGE(OFFSET($R$3,0,0,'Données projet'!$E$9+1,1))-AVERAGE(OFFSET($H$3,0,0,'Données projet'!$E$9+1,1))</f>
        <v>251.05216782177348</v>
      </c>
      <c r="T68" s="59">
        <f t="shared" si="34"/>
        <v>247.96048911281406</v>
      </c>
      <c r="U68" s="15">
        <f>IF(ISNA(VLOOKUP(A68,'Données projet'!$A$35:$I$55,3,0)),0,VLOOKUP(A68,'Données projet'!$A$35:$I$55,3,0))</f>
        <v>12</v>
      </c>
      <c r="V68" s="15">
        <f>IF(ISNA(VLOOKUP(A68,'Données projet'!$A$35:$I$55,4,0)),0,VLOOKUP(A68,'Données projet'!$A$35:$I$55,4,0))</f>
        <v>20</v>
      </c>
      <c r="W68" s="16">
        <f>IF(ISNA(VLOOKUP(A68,'Données projet'!$A$35:$I$55,5,0)),0%,VLOOKUP(A68,'Données projet'!$A$35:$I$55,5,0)*VLOOKUP('Données projet'!$B$9,Paramètres!$A$1:$I$89,7,0))</f>
        <v>0.215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20.787062962703779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20.787062962703779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255</v>
      </c>
      <c r="AG68" s="12">
        <f>VLOOKUP(A68,'Données projet'!$A$61:$I$81,9,0)</f>
        <v>4.4000000000000004</v>
      </c>
      <c r="AH68" s="12">
        <f t="array" ref="AH68">INDEX(AG:AG,MIN(IF(ISNUMBER(AG68:AG264),ROW(AG68:AG264),"")))</f>
        <v>4.4000000000000004</v>
      </c>
      <c r="AI68" s="13">
        <f>IF('Données projet'!$A$62&gt;35,AI67+AH68-AQ67,IF(A68&lt;'Données projet'!$A$62,$AF$205^A68,IF(A68='Données projet'!$A$62,'Données projet'!$B$62,AI67+AH68-AQ67)))</f>
        <v>254.99999999999986</v>
      </c>
      <c r="AJ68" s="13">
        <f>AI68*VLOOKUP('Données projet'!$B$10,Paramètres!$A$1:$I$89,3,0)*VLOOKUP('Données projet'!$B$10,Paramètres!$A$1:$I$89,5,0)</f>
        <v>202.8779999999999</v>
      </c>
      <c r="AK68" s="13">
        <f t="shared" si="35"/>
        <v>50.376138116990084</v>
      </c>
      <c r="AL68" s="20">
        <f t="shared" ref="AL68:AL131" si="58">(AJ68+AK68)*0.475*44/12</f>
        <v>441.08429055375751</v>
      </c>
      <c r="AM68" s="59">
        <f t="shared" ref="AM68:AM131" si="59">AL68+(AD68+AE68)*44/12</f>
        <v>734.41762388709083</v>
      </c>
      <c r="AN68" s="59">
        <f ca="1">AVERAGE(OFFSET($AM$3,0,0,'Données projet'!$E$10+1,1))-AVERAGE(OFFSET($H$3,0,0,'Données projet'!$E$10+1,1))</f>
        <v>219.43439115440339</v>
      </c>
      <c r="AO68" s="59">
        <f t="shared" si="36"/>
        <v>217.8880462742099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11</v>
      </c>
      <c r="AR68" s="16">
        <f>IF(ISNA(VLOOKUP(A68,'Données projet'!$A$61:$I$81,5,0)),0%,VLOOKUP(A68,'Données projet'!$A$61:$I$81,5,0)*VLOOKUP('Données projet'!$B$10,Paramètres!$A$1:$I$89,7,0))</f>
        <v>0.318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20.955147643863821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20.955147643863821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248.22719999999987</v>
      </c>
      <c r="BF68" s="13">
        <f t="shared" si="37"/>
        <v>60.20616532763993</v>
      </c>
      <c r="BG68" s="20">
        <f t="shared" ref="BG68:BG131" si="61">(BE68+BF68)*0.475*44/12</f>
        <v>537.18811127897254</v>
      </c>
      <c r="BH68" s="59">
        <f t="shared" ref="BH68:BH131" si="62">BG68+(AY68+AZ68)*44/12</f>
        <v>830.52144461230591</v>
      </c>
      <c r="BI68" s="59">
        <f ca="1">AVERAGE(OFFSET($BH$3,0,0,'Données projet'!$E$11+1,1))-AVERAGE(OFFSET($H$3,0,0,'Données projet'!$E$11+1,1))</f>
        <v>279.89725537926205</v>
      </c>
      <c r="BJ68" s="59">
        <f t="shared" si="38"/>
        <v>276.69392352410654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0.371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30.607619574019761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30.607619574019761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</v>
      </c>
      <c r="N69" s="13">
        <f>IF('Données projet'!$A$36&gt;35,N68+M69-V68,IF(A69&lt;'Données projet'!$A$36,$K$205^A69,IF(A69='Données projet'!$A$36,'Données projet'!$B$36,N68+M69-V68)))</f>
        <v>217</v>
      </c>
      <c r="O69" s="13">
        <f>N69*VLOOKUP('Données projet'!$B$9,Paramètres!$A$1:$I$89,3,0)*VLOOKUP('Données projet'!$B$9,Paramètres!$A$1:$I$89,5,0)</f>
        <v>189.57120000000003</v>
      </c>
      <c r="P69" s="13">
        <f t="shared" ref="P69:P132" si="87">EXP(-1.0587+0.8836*LN(O69)+0.284)</f>
        <v>47.44513879693244</v>
      </c>
      <c r="Q69" s="20">
        <f t="shared" si="54"/>
        <v>412.8034567379907</v>
      </c>
      <c r="R69" s="59">
        <f t="shared" si="55"/>
        <v>706.13679007132396</v>
      </c>
      <c r="S69" s="59">
        <f ca="1">AVERAGE(OFFSET($R$3,0,0,'Données projet'!$E$9+1,1))-AVERAGE(OFFSET($H$3,0,0,'Données projet'!$E$9+1,1))</f>
        <v>251.05216782177348</v>
      </c>
      <c r="T69" s="59">
        <f t="shared" ref="T69:T132" si="88">$T$3</f>
        <v>247.96048911281406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20.379441336861632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20.379441336861632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3.8</v>
      </c>
      <c r="AI69" s="13">
        <f>IF('Données projet'!$A$62&gt;35,AI68+AH69-AQ68,IF(A69&lt;'Données projet'!$A$62,$AF$205^A69,IF(A69='Données projet'!$A$62,'Données projet'!$B$62,AI68+AH69-AQ68)))</f>
        <v>247.79999999999984</v>
      </c>
      <c r="AJ69" s="13">
        <f>AI69*VLOOKUP('Données projet'!$B$10,Paramètres!$A$1:$I$89,3,0)*VLOOKUP('Données projet'!$B$10,Paramètres!$A$1:$I$89,5,0)</f>
        <v>197.14967999999988</v>
      </c>
      <c r="AK69" s="13">
        <f t="shared" ref="AK69:AK132" si="89">EXP(-1.0587+0.8836*LN(AJ69)+0.284)</f>
        <v>49.11723130862363</v>
      </c>
      <c r="AL69" s="20">
        <f t="shared" si="58"/>
        <v>428.91487052918592</v>
      </c>
      <c r="AM69" s="59">
        <f t="shared" si="59"/>
        <v>722.24820386251918</v>
      </c>
      <c r="AN69" s="59">
        <f ca="1">AVERAGE(OFFSET($AM$3,0,0,'Données projet'!$E$10+1,1))-AVERAGE(OFFSET($H$3,0,0,'Données projet'!$E$10+1,1))</f>
        <v>219.43439115440339</v>
      </c>
      <c r="AO69" s="59">
        <f t="shared" ref="AO69:AO132" si="90">$AO$3</f>
        <v>217.8880462742099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20.544229979945658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20.544229979945658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241.41311999999988</v>
      </c>
      <c r="BF69" s="13">
        <f t="shared" ref="BF69:BF132" si="91">EXP(-1.0587+0.8836*LN(BE69)+0.284)</f>
        <v>58.743466172863258</v>
      </c>
      <c r="BG69" s="20">
        <f t="shared" si="61"/>
        <v>522.77272091773659</v>
      </c>
      <c r="BH69" s="59">
        <f t="shared" si="62"/>
        <v>816.10605425106996</v>
      </c>
      <c r="BI69" s="59">
        <f ca="1">AVERAGE(OFFSET($BH$3,0,0,'Données projet'!$E$11+1,1))-AVERAGE(OFFSET($H$3,0,0,'Données projet'!$E$11+1,1))</f>
        <v>279.89725537926205</v>
      </c>
      <c r="BJ69" s="59">
        <f t="shared" ref="BJ69:BJ132" si="92">$BJ$3</f>
        <v>276.69392352410654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30.007422822977784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30.007422822977784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</v>
      </c>
      <c r="N70" s="13">
        <f>IF('Données projet'!$A$36&gt;35,N69+M70-V69,IF(A70&lt;'Données projet'!$A$36,$K$205^A70,IF(A70='Données projet'!$A$36,'Données projet'!$B$36,N69+M70-V69)))</f>
        <v>222</v>
      </c>
      <c r="O70" s="13">
        <f>N70*VLOOKUP('Données projet'!$B$9,Paramètres!$A$1:$I$89,3,0)*VLOOKUP('Données projet'!$B$9,Paramètres!$A$1:$I$89,5,0)</f>
        <v>193.93920000000003</v>
      </c>
      <c r="P70" s="13">
        <f t="shared" si="87"/>
        <v>48.409811198069384</v>
      </c>
      <c r="Q70" s="20">
        <f t="shared" si="54"/>
        <v>422.09119450330417</v>
      </c>
      <c r="R70" s="59">
        <f t="shared" si="55"/>
        <v>715.42452783663748</v>
      </c>
      <c r="S70" s="59">
        <f ca="1">AVERAGE(OFFSET($R$3,0,0,'Données projet'!$E$9+1,1))-AVERAGE(OFFSET($H$3,0,0,'Données projet'!$E$9+1,1))</f>
        <v>251.05216782177348</v>
      </c>
      <c r="T70" s="59">
        <f t="shared" si="88"/>
        <v>247.96048911281406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19.979812922477606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19.979812922477606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3.8</v>
      </c>
      <c r="AI70" s="13">
        <f>IF('Données projet'!$A$62&gt;35,AI69+AH70-AQ69,IF(A70&lt;'Données projet'!$A$62,$AF$205^A70,IF(A70='Données projet'!$A$62,'Données projet'!$B$62,AI69+AH70-AQ69)))</f>
        <v>251.59999999999985</v>
      </c>
      <c r="AJ70" s="13">
        <f>AI70*VLOOKUP('Données projet'!$B$10,Paramètres!$A$1:$I$89,3,0)*VLOOKUP('Données projet'!$B$10,Paramètres!$A$1:$I$89,5,0)</f>
        <v>200.17295999999988</v>
      </c>
      <c r="AK70" s="13">
        <f t="shared" si="89"/>
        <v>49.782177185855986</v>
      </c>
      <c r="AL70" s="20">
        <f t="shared" si="58"/>
        <v>435.33853059869892</v>
      </c>
      <c r="AM70" s="59">
        <f t="shared" si="59"/>
        <v>728.67186393203224</v>
      </c>
      <c r="AN70" s="59">
        <f ca="1">AVERAGE(OFFSET($AM$3,0,0,'Données projet'!$E$10+1,1))-AVERAGE(OFFSET($H$3,0,0,'Données projet'!$E$10+1,1))</f>
        <v>219.43439115440339</v>
      </c>
      <c r="AO70" s="59">
        <f t="shared" si="90"/>
        <v>217.8880462742099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20.141370160781904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20.141370160781904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245.14463999999992</v>
      </c>
      <c r="BF70" s="13">
        <f t="shared" si="91"/>
        <v>59.545054798309039</v>
      </c>
      <c r="BG70" s="20">
        <f t="shared" si="61"/>
        <v>530.66788510705476</v>
      </c>
      <c r="BH70" s="59">
        <f t="shared" si="62"/>
        <v>824.00121844038813</v>
      </c>
      <c r="BI70" s="59">
        <f ca="1">AVERAGE(OFFSET($BH$3,0,0,'Données projet'!$E$11+1,1))-AVERAGE(OFFSET($H$3,0,0,'Données projet'!$E$11+1,1))</f>
        <v>279.89725537926205</v>
      </c>
      <c r="BJ70" s="59">
        <f t="shared" si="92"/>
        <v>276.69392352410654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29.418995564139866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29.418995564139866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</v>
      </c>
      <c r="N71" s="13">
        <f>IF('Données projet'!$A$36&gt;35,N70+M71-V70,IF(A71&lt;'Données projet'!$A$36,$K$205^A71,IF(A71='Données projet'!$A$36,'Données projet'!$B$36,N70+M71-V70)))</f>
        <v>227</v>
      </c>
      <c r="O71" s="13">
        <f>N71*VLOOKUP('Données projet'!$B$9,Paramètres!$A$1:$I$89,3,0)*VLOOKUP('Données projet'!$B$9,Paramètres!$A$1:$I$89,5,0)</f>
        <v>198.30720000000002</v>
      </c>
      <c r="P71" s="13">
        <f t="shared" si="87"/>
        <v>49.371957679623371</v>
      </c>
      <c r="Q71" s="20">
        <f t="shared" si="54"/>
        <v>431.37453295867743</v>
      </c>
      <c r="R71" s="59">
        <f t="shared" si="55"/>
        <v>724.70786629201075</v>
      </c>
      <c r="S71" s="59">
        <f ca="1">AVERAGE(OFFSET($R$3,0,0,'Données projet'!$E$9+1,1))-AVERAGE(OFFSET($H$3,0,0,'Données projet'!$E$9+1,1))</f>
        <v>251.05216782177348</v>
      </c>
      <c r="T71" s="59">
        <f t="shared" si="88"/>
        <v>247.96048911281406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19.588020977550389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19.588020977550389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3.8</v>
      </c>
      <c r="AI71" s="13">
        <f>IF('Données projet'!$A$62&gt;35,AI70+AH71-AQ70,IF(A71&lt;'Données projet'!$A$62,$AF$205^A71,IF(A71='Données projet'!$A$62,'Données projet'!$B$62,AI70+AH71-AQ70)))</f>
        <v>255.39999999999986</v>
      </c>
      <c r="AJ71" s="13">
        <f>AI71*VLOOKUP('Données projet'!$B$10,Paramètres!$A$1:$I$89,3,0)*VLOOKUP('Données projet'!$B$10,Paramètres!$A$1:$I$89,5,0)</f>
        <v>203.1962399999999</v>
      </c>
      <c r="AK71" s="13">
        <f t="shared" si="89"/>
        <v>50.445955049216174</v>
      </c>
      <c r="AL71" s="20">
        <f t="shared" si="58"/>
        <v>441.76015637738465</v>
      </c>
      <c r="AM71" s="59">
        <f t="shared" si="59"/>
        <v>735.0934897107179</v>
      </c>
      <c r="AN71" s="59">
        <f ca="1">AVERAGE(OFFSET($AM$3,0,0,'Données projet'!$E$10+1,1))-AVERAGE(OFFSET($H$3,0,0,'Données projet'!$E$10+1,1))</f>
        <v>219.43439115440339</v>
      </c>
      <c r="AO71" s="59">
        <f t="shared" si="90"/>
        <v>217.8880462742099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19.746410176951724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19.746410176951724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248.87615999999991</v>
      </c>
      <c r="BF71" s="13">
        <f t="shared" si="91"/>
        <v>60.345224363146883</v>
      </c>
      <c r="BG71" s="20">
        <f t="shared" si="61"/>
        <v>538.56057776581395</v>
      </c>
      <c r="BH71" s="59">
        <f t="shared" si="62"/>
        <v>831.89391109914732</v>
      </c>
      <c r="BI71" s="59">
        <f ca="1">AVERAGE(OFFSET($BH$3,0,0,'Données projet'!$E$11+1,1))-AVERAGE(OFFSET($H$3,0,0,'Données projet'!$E$11+1,1))</f>
        <v>279.89725537926205</v>
      </c>
      <c r="BJ71" s="59">
        <f t="shared" si="92"/>
        <v>276.69392352410654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28.842107004942573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28.842107004942573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</v>
      </c>
      <c r="N72" s="13">
        <f>IF('Données projet'!$A$36&gt;35,N71+M72-V71,IF(A72&lt;'Données projet'!$A$36,$K$205^A72,IF(A72='Données projet'!$A$36,'Données projet'!$B$36,N71+M72-V71)))</f>
        <v>232</v>
      </c>
      <c r="O72" s="13">
        <f>N72*VLOOKUP('Données projet'!$B$9,Paramètres!$A$1:$I$89,3,0)*VLOOKUP('Données projet'!$B$9,Paramètres!$A$1:$I$89,5,0)</f>
        <v>202.67520000000002</v>
      </c>
      <c r="P72" s="13">
        <f t="shared" si="87"/>
        <v>50.331640285313689</v>
      </c>
      <c r="Q72" s="20">
        <f t="shared" si="54"/>
        <v>440.653580163588</v>
      </c>
      <c r="R72" s="59">
        <f t="shared" si="55"/>
        <v>733.98691349692126</v>
      </c>
      <c r="S72" s="59">
        <f ca="1">AVERAGE(OFFSET($R$3,0,0,'Données projet'!$E$9+1,1))-AVERAGE(OFFSET($H$3,0,0,'Données projet'!$E$9+1,1))</f>
        <v>251.05216782177348</v>
      </c>
      <c r="T72" s="59">
        <f t="shared" si="88"/>
        <v>247.96048911281406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19.203911833693702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19.203911833693702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3.8</v>
      </c>
      <c r="AI72" s="13">
        <f>IF('Données projet'!$A$62&gt;35,AI71+AH72-AQ71,IF(A72&lt;'Données projet'!$A$62,$AF$205^A72,IF(A72='Données projet'!$A$62,'Données projet'!$B$62,AI71+AH72-AQ71)))</f>
        <v>259.19999999999987</v>
      </c>
      <c r="AJ72" s="13">
        <f>AI72*VLOOKUP('Données projet'!$B$10,Paramètres!$A$1:$I$89,3,0)*VLOOKUP('Données projet'!$B$10,Paramètres!$A$1:$I$89,5,0)</f>
        <v>206.21951999999993</v>
      </c>
      <c r="AK72" s="13">
        <f t="shared" si="89"/>
        <v>51.10858428464028</v>
      </c>
      <c r="AL72" s="20">
        <f t="shared" si="58"/>
        <v>448.17978162908167</v>
      </c>
      <c r="AM72" s="59">
        <f t="shared" si="59"/>
        <v>741.51311496241499</v>
      </c>
      <c r="AN72" s="59">
        <f ca="1">AVERAGE(OFFSET($AM$3,0,0,'Données projet'!$E$10+1,1))-AVERAGE(OFFSET($H$3,0,0,'Données projet'!$E$10+1,1))</f>
        <v>219.43439115440339</v>
      </c>
      <c r="AO72" s="59">
        <f t="shared" si="90"/>
        <v>217.8880462742099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19.359195117502651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19.359195117502651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252.60767999999996</v>
      </c>
      <c r="BF72" s="13">
        <f t="shared" si="91"/>
        <v>61.143998601713257</v>
      </c>
      <c r="BG72" s="20">
        <f t="shared" si="61"/>
        <v>546.4508402313171</v>
      </c>
      <c r="BH72" s="59">
        <f t="shared" si="62"/>
        <v>839.78417356465047</v>
      </c>
      <c r="BI72" s="59">
        <f ca="1">AVERAGE(OFFSET($BH$3,0,0,'Données projet'!$E$11+1,1))-AVERAGE(OFFSET($H$3,0,0,'Données projet'!$E$11+1,1))</f>
        <v>279.89725537926205</v>
      </c>
      <c r="BJ72" s="59">
        <f t="shared" si="92"/>
        <v>276.69392352410654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28.276530878523861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28.276530878523861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237</v>
      </c>
      <c r="L73" s="12">
        <f>VLOOKUP(A73,'Données projet'!$A$35:$I$55,9,0)</f>
        <v>5</v>
      </c>
      <c r="M73" s="12">
        <f t="array" ref="M73">INDEX(L:L,MIN(IF(ISNUMBER(L73:L269),ROW(L73:L269),"")))</f>
        <v>5</v>
      </c>
      <c r="N73" s="13">
        <f>IF('Données projet'!$A$36&gt;35,N72+M73-V72,IF(A73&lt;'Données projet'!$A$36,$K$205^A73,IF(A73='Données projet'!$A$36,'Données projet'!$B$36,N72+M73-V72)))</f>
        <v>237</v>
      </c>
      <c r="O73" s="13">
        <f>N73*VLOOKUP('Données projet'!$B$9,Paramètres!$A$1:$I$89,3,0)*VLOOKUP('Données projet'!$B$9,Paramètres!$A$1:$I$89,5,0)</f>
        <v>207.04320000000001</v>
      </c>
      <c r="P73" s="13">
        <f t="shared" si="87"/>
        <v>51.288918231806321</v>
      </c>
      <c r="Q73" s="20">
        <f t="shared" si="54"/>
        <v>449.92843925372944</v>
      </c>
      <c r="R73" s="59">
        <f t="shared" si="55"/>
        <v>743.26177258706275</v>
      </c>
      <c r="S73" s="59">
        <f ca="1">AVERAGE(OFFSET($R$3,0,0,'Données projet'!$E$9+1,1))-AVERAGE(OFFSET($H$3,0,0,'Données projet'!$E$9+1,1))</f>
        <v>251.05216782177348</v>
      </c>
      <c r="T73" s="59">
        <f t="shared" si="88"/>
        <v>247.96048911281406</v>
      </c>
      <c r="U73" s="15">
        <f>IF(ISNA(VLOOKUP(A73,'Données projet'!$A$35:$I$55,3,0)),0,VLOOKUP(A73,'Données projet'!$A$35:$I$55,3,0))</f>
        <v>13</v>
      </c>
      <c r="V73" s="15">
        <f>IF(ISNA(VLOOKUP(A73,'Données projet'!$A$35:$I$55,4,0)),0,VLOOKUP(A73,'Données projet'!$A$35:$I$55,4,0))</f>
        <v>18</v>
      </c>
      <c r="W73" s="16">
        <f>IF(ISNA(VLOOKUP(A73,'Données projet'!$A$35:$I$55,5,0)),0%,VLOOKUP(A73,'Données projet'!$A$35:$I$55,5,0)*VLOOKUP('Données projet'!$B$9,Paramètres!$A$1:$I$89,7,0))</f>
        <v>0.25800000000000001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23.312226396877172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23.312226396877172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3.8</v>
      </c>
      <c r="AH73" s="12">
        <f t="array" ref="AH73">INDEX(AG:AG,MIN(IF(ISNUMBER(AG73:AG269),ROW(AG73:AG269),"")))</f>
        <v>3.8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209.2427999999999</v>
      </c>
      <c r="AK73" s="13">
        <f t="shared" si="89"/>
        <v>51.770083677016814</v>
      </c>
      <c r="AL73" s="20">
        <f t="shared" si="58"/>
        <v>454.59743907080406</v>
      </c>
      <c r="AM73" s="59">
        <f t="shared" si="59"/>
        <v>747.93077240413731</v>
      </c>
      <c r="AN73" s="59">
        <f ca="1">AVERAGE(OFFSET($AM$3,0,0,'Données projet'!$E$10+1,1))-AVERAGE(OFFSET($H$3,0,0,'Données projet'!$E$10+1,1))</f>
        <v>219.43439115440339</v>
      </c>
      <c r="AO73" s="59">
        <f t="shared" si="90"/>
        <v>217.8880462742099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10</v>
      </c>
      <c r="AR73" s="16">
        <f>IF(ISNA(VLOOKUP(A73,'Données projet'!$A$61:$I$81,5,0)),0%,VLOOKUP(A73,'Données projet'!$A$61:$I$81,5,0)*VLOOKUP('Données projet'!$B$10,Paramètres!$A$1:$I$89,7,0))</f>
        <v>0.371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22.242563497169808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22.242563497169808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256.33919999999995</v>
      </c>
      <c r="BF73" s="13">
        <f t="shared" si="91"/>
        <v>61.941400506884484</v>
      </c>
      <c r="BG73" s="20">
        <f t="shared" si="61"/>
        <v>554.33871254949031</v>
      </c>
      <c r="BH73" s="59">
        <f t="shared" si="62"/>
        <v>847.67204588282357</v>
      </c>
      <c r="BI73" s="59">
        <f ca="1">AVERAGE(OFFSET($BH$3,0,0,'Données projet'!$E$11+1,1))-AVERAGE(OFFSET($H$3,0,0,'Données projet'!$E$11+1,1))</f>
        <v>279.89725537926205</v>
      </c>
      <c r="BJ73" s="59">
        <f t="shared" si="92"/>
        <v>276.69392352410654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0.371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32.04710712414024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32.04710712414024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4.4000000000000004</v>
      </c>
      <c r="N74" s="13">
        <f>IF('Données projet'!$A$36&gt;35,N73+M74-V73,IF(A74&lt;'Données projet'!$A$36,$K$205^A74,IF(A74='Données projet'!$A$36,'Données projet'!$B$36,N73+M74-V73)))</f>
        <v>223.4</v>
      </c>
      <c r="O74" s="13">
        <f>N74*VLOOKUP('Données projet'!$B$9,Paramètres!$A$1:$I$89,3,0)*VLOOKUP('Données projet'!$B$9,Paramètres!$A$1:$I$89,5,0)</f>
        <v>195.16224000000003</v>
      </c>
      <c r="P74" s="13">
        <f t="shared" si="87"/>
        <v>48.67946410296608</v>
      </c>
      <c r="Q74" s="20">
        <f t="shared" si="54"/>
        <v>424.69096797933258</v>
      </c>
      <c r="R74" s="59">
        <f t="shared" si="55"/>
        <v>718.0243013126659</v>
      </c>
      <c r="S74" s="59">
        <f ca="1">AVERAGE(OFFSET($R$3,0,0,'Données projet'!$E$9+1,1))-AVERAGE(OFFSET($H$3,0,0,'Données projet'!$E$9+1,1))</f>
        <v>251.05216782177348</v>
      </c>
      <c r="T74" s="59">
        <f t="shared" si="88"/>
        <v>247.96048911281406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22.855087856288499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22.855087856288499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3.4</v>
      </c>
      <c r="AI74" s="13">
        <f>IF('Données projet'!$A$62&gt;35,AI73+AH74-AQ73,IF(A74&lt;'Données projet'!$A$62,$AF$205^A74,IF(A74='Données projet'!$A$62,'Données projet'!$B$62,AI73+AH74-AQ73)))</f>
        <v>256.39999999999986</v>
      </c>
      <c r="AJ74" s="13">
        <f>AI74*VLOOKUP('Données projet'!$B$10,Paramètres!$A$1:$I$89,3,0)*VLOOKUP('Données projet'!$B$10,Paramètres!$A$1:$I$89,5,0)</f>
        <v>203.99183999999988</v>
      </c>
      <c r="AK74" s="13">
        <f t="shared" si="89"/>
        <v>50.620441749347997</v>
      </c>
      <c r="AL74" s="20">
        <f t="shared" si="58"/>
        <v>443.44972404678083</v>
      </c>
      <c r="AM74" s="59">
        <f t="shared" si="59"/>
        <v>736.78305738011409</v>
      </c>
      <c r="AN74" s="59">
        <f ca="1">AVERAGE(OFFSET($AM$3,0,0,'Données projet'!$E$10+1,1))-AVERAGE(OFFSET($H$3,0,0,'Données projet'!$E$10+1,1))</f>
        <v>219.43439115440339</v>
      </c>
      <c r="AO74" s="59">
        <f t="shared" si="90"/>
        <v>217.8880462742099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21.806400393614449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21.806400393614449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249.20063999999996</v>
      </c>
      <c r="BF74" s="13">
        <f t="shared" si="91"/>
        <v>60.414738047899995</v>
      </c>
      <c r="BG74" s="20">
        <f t="shared" si="61"/>
        <v>539.24678343342578</v>
      </c>
      <c r="BH74" s="59">
        <f t="shared" si="62"/>
        <v>832.58011676675915</v>
      </c>
      <c r="BI74" s="59">
        <f ca="1">AVERAGE(OFFSET($BH$3,0,0,'Données projet'!$E$11+1,1))-AVERAGE(OFFSET($H$3,0,0,'Données projet'!$E$11+1,1))</f>
        <v>279.89725537926205</v>
      </c>
      <c r="BJ74" s="59">
        <f t="shared" si="92"/>
        <v>276.69392352410654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31.418682900241109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31.418682900241109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4.4000000000000004</v>
      </c>
      <c r="N75" s="13">
        <f>IF('Données projet'!$A$36&gt;35,N74+M75-V74,IF(A75&lt;'Données projet'!$A$36,$K$205^A75,IF(A75='Données projet'!$A$36,'Données projet'!$B$36,N74+M75-V74)))</f>
        <v>227.8</v>
      </c>
      <c r="O75" s="13">
        <f>N75*VLOOKUP('Données projet'!$B$9,Paramètres!$A$1:$I$89,3,0)*VLOOKUP('Données projet'!$B$9,Paramètres!$A$1:$I$89,5,0)</f>
        <v>199.00608000000003</v>
      </c>
      <c r="P75" s="13">
        <f t="shared" si="87"/>
        <v>49.525670897515027</v>
      </c>
      <c r="Q75" s="20">
        <f t="shared" si="54"/>
        <v>432.85946614650538</v>
      </c>
      <c r="R75" s="59">
        <f t="shared" si="55"/>
        <v>726.19279947983864</v>
      </c>
      <c r="S75" s="59">
        <f ca="1">AVERAGE(OFFSET($R$3,0,0,'Données projet'!$E$9+1,1))-AVERAGE(OFFSET($H$3,0,0,'Données projet'!$E$9+1,1))</f>
        <v>251.05216782177348</v>
      </c>
      <c r="T75" s="59">
        <f t="shared" si="88"/>
        <v>247.96048911281406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22.406913523653792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22.406913523653792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3.4</v>
      </c>
      <c r="AI75" s="13">
        <f>IF('Données projet'!$A$62&gt;35,AI74+AH75-AQ74,IF(A75&lt;'Données projet'!$A$62,$AF$205^A75,IF(A75='Données projet'!$A$62,'Données projet'!$B$62,AI74+AH75-AQ74)))</f>
        <v>259.79999999999984</v>
      </c>
      <c r="AJ75" s="13">
        <f>AI75*VLOOKUP('Données projet'!$B$10,Paramètres!$A$1:$I$89,3,0)*VLOOKUP('Données projet'!$B$10,Paramètres!$A$1:$I$89,5,0)</f>
        <v>206.69687999999991</v>
      </c>
      <c r="AK75" s="13">
        <f t="shared" si="89"/>
        <v>51.213106197404436</v>
      </c>
      <c r="AL75" s="20">
        <f t="shared" si="58"/>
        <v>449.1932259604792</v>
      </c>
      <c r="AM75" s="59">
        <f t="shared" si="59"/>
        <v>742.52655929381251</v>
      </c>
      <c r="AN75" s="59">
        <f ca="1">AVERAGE(OFFSET($AM$3,0,0,'Données projet'!$E$10+1,1))-AVERAGE(OFFSET($H$3,0,0,'Données projet'!$E$10+1,1))</f>
        <v>219.43439115440339</v>
      </c>
      <c r="AO75" s="59">
        <f t="shared" si="90"/>
        <v>217.8880462742099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21.378790182486586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21.378790182486586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252.60767999999996</v>
      </c>
      <c r="BF75" s="13">
        <f t="shared" si="91"/>
        <v>61.143998601713257</v>
      </c>
      <c r="BG75" s="20">
        <f t="shared" si="61"/>
        <v>546.4508402313171</v>
      </c>
      <c r="BH75" s="59">
        <f t="shared" si="62"/>
        <v>839.78417356465047</v>
      </c>
      <c r="BI75" s="59">
        <f ca="1">AVERAGE(OFFSET($BH$3,0,0,'Données projet'!$E$11+1,1))-AVERAGE(OFFSET($H$3,0,0,'Données projet'!$E$11+1,1))</f>
        <v>279.89725537926205</v>
      </c>
      <c r="BJ75" s="59">
        <f t="shared" si="92"/>
        <v>276.69392352410654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30.802581692071712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30.802581692071712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4.4000000000000004</v>
      </c>
      <c r="N76" s="13">
        <f>IF('Données projet'!$A$36&gt;35,N75+M76-V75,IF(A76&lt;'Données projet'!$A$36,$K$205^A76,IF(A76='Données projet'!$A$36,'Données projet'!$B$36,N75+M76-V75)))</f>
        <v>232.20000000000002</v>
      </c>
      <c r="O76" s="13">
        <f>N76*VLOOKUP('Données projet'!$B$9,Paramètres!$A$1:$I$89,3,0)*VLOOKUP('Données projet'!$B$9,Paramètres!$A$1:$I$89,5,0)</f>
        <v>202.84992000000003</v>
      </c>
      <c r="P76" s="13">
        <f t="shared" si="87"/>
        <v>50.369977187686075</v>
      </c>
      <c r="Q76" s="20">
        <f t="shared" si="54"/>
        <v>441.02465426855332</v>
      </c>
      <c r="R76" s="59">
        <f t="shared" si="55"/>
        <v>734.35798760188663</v>
      </c>
      <c r="S76" s="59">
        <f ca="1">AVERAGE(OFFSET($R$3,0,0,'Données projet'!$E$9+1,1))-AVERAGE(OFFSET($H$3,0,0,'Données projet'!$E$9+1,1))</f>
        <v>251.05216782177348</v>
      </c>
      <c r="T76" s="59">
        <f t="shared" si="88"/>
        <v>247.96048911281406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21.967527616322698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21.967527616322698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3.4</v>
      </c>
      <c r="AI76" s="13">
        <f>IF('Données projet'!$A$62&gt;35,AI75+AH76-AQ75,IF(A76&lt;'Données projet'!$A$62,$AF$205^A76,IF(A76='Données projet'!$A$62,'Données projet'!$B$62,AI75+AH76-AQ75)))</f>
        <v>263.19999999999982</v>
      </c>
      <c r="AJ76" s="13">
        <f>AI76*VLOOKUP('Données projet'!$B$10,Paramètres!$A$1:$I$89,3,0)*VLOOKUP('Données projet'!$B$10,Paramètres!$A$1:$I$89,5,0)</f>
        <v>209.40191999999988</v>
      </c>
      <c r="AK76" s="13">
        <f t="shared" si="89"/>
        <v>51.804868484579039</v>
      </c>
      <c r="AL76" s="20">
        <f t="shared" si="58"/>
        <v>454.93515661064157</v>
      </c>
      <c r="AM76" s="59">
        <f t="shared" si="59"/>
        <v>748.26848994397483</v>
      </c>
      <c r="AN76" s="59">
        <f ca="1">AVERAGE(OFFSET($AM$3,0,0,'Données projet'!$E$10+1,1))-AVERAGE(OFFSET($H$3,0,0,'Données projet'!$E$10+1,1))</f>
        <v>219.43439115440339</v>
      </c>
      <c r="AO76" s="59">
        <f t="shared" si="90"/>
        <v>217.8880462742099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20.959565146782463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20.959565146782463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256.01471999999995</v>
      </c>
      <c r="BF76" s="13">
        <f t="shared" si="91"/>
        <v>61.872115120174627</v>
      </c>
      <c r="BG76" s="20">
        <f t="shared" si="61"/>
        <v>553.65290450097075</v>
      </c>
      <c r="BH76" s="59">
        <f t="shared" si="62"/>
        <v>846.98623783430412</v>
      </c>
      <c r="BI76" s="59">
        <f ca="1">AVERAGE(OFFSET($BH$3,0,0,'Données projet'!$E$11+1,1))-AVERAGE(OFFSET($H$3,0,0,'Données projet'!$E$11+1,1))</f>
        <v>279.89725537926205</v>
      </c>
      <c r="BJ76" s="59">
        <f t="shared" si="92"/>
        <v>276.69392352410654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30.198561852809885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30.198561852809885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4.4000000000000004</v>
      </c>
      <c r="N77" s="13">
        <f>IF('Données projet'!$A$36&gt;35,N76+M77-V76,IF(A77&lt;'Données projet'!$A$36,$K$205^A77,IF(A77='Données projet'!$A$36,'Données projet'!$B$36,N76+M77-V76)))</f>
        <v>236.60000000000002</v>
      </c>
      <c r="O77" s="13">
        <f>N77*VLOOKUP('Données projet'!$B$9,Paramètres!$A$1:$I$89,3,0)*VLOOKUP('Données projet'!$B$9,Paramètres!$A$1:$I$89,5,0)</f>
        <v>206.69376000000005</v>
      </c>
      <c r="P77" s="13">
        <f t="shared" si="87"/>
        <v>51.212423138937325</v>
      </c>
      <c r="Q77" s="20">
        <f t="shared" si="54"/>
        <v>449.18660230031583</v>
      </c>
      <c r="R77" s="59">
        <f t="shared" si="55"/>
        <v>742.51993563364908</v>
      </c>
      <c r="S77" s="59">
        <f ca="1">AVERAGE(OFFSET($R$3,0,0,'Données projet'!$E$9+1,1))-AVERAGE(OFFSET($H$3,0,0,'Données projet'!$E$9+1,1))</f>
        <v>251.05216782177348</v>
      </c>
      <c r="T77" s="59">
        <f t="shared" si="88"/>
        <v>247.96048911281406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21.536757798635428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21.536757798635428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3.4</v>
      </c>
      <c r="AI77" s="13">
        <f>IF('Données projet'!$A$62&gt;35,AI76+AH77-AQ76,IF(A77&lt;'Données projet'!$A$62,$AF$205^A77,IF(A77='Données projet'!$A$62,'Données projet'!$B$62,AI76+AH77-AQ76)))</f>
        <v>266.5999999999998</v>
      </c>
      <c r="AJ77" s="13">
        <f>AI77*VLOOKUP('Données projet'!$B$10,Paramètres!$A$1:$I$89,3,0)*VLOOKUP('Données projet'!$B$10,Paramètres!$A$1:$I$89,5,0)</f>
        <v>212.10695999999984</v>
      </c>
      <c r="AK77" s="13">
        <f t="shared" si="89"/>
        <v>52.395741612408194</v>
      </c>
      <c r="AL77" s="20">
        <f t="shared" si="58"/>
        <v>460.67553864161067</v>
      </c>
      <c r="AM77" s="59">
        <f t="shared" si="59"/>
        <v>754.00887197494399</v>
      </c>
      <c r="AN77" s="59">
        <f ca="1">AVERAGE(OFFSET($AM$3,0,0,'Données projet'!$E$10+1,1))-AVERAGE(OFFSET($H$3,0,0,'Données projet'!$E$10+1,1))</f>
        <v>219.43439115440339</v>
      </c>
      <c r="AO77" s="59">
        <f t="shared" si="90"/>
        <v>217.8880462742099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20.548560858326475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20.548560858326475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259.42175999999995</v>
      </c>
      <c r="BF77" s="13">
        <f t="shared" si="91"/>
        <v>62.599104588107195</v>
      </c>
      <c r="BG77" s="20">
        <f t="shared" si="61"/>
        <v>560.85300582428658</v>
      </c>
      <c r="BH77" s="59">
        <f t="shared" si="62"/>
        <v>854.18633915761984</v>
      </c>
      <c r="BI77" s="59">
        <f ca="1">AVERAGE(OFFSET($BH$3,0,0,'Données projet'!$E$11+1,1))-AVERAGE(OFFSET($H$3,0,0,'Données projet'!$E$11+1,1))</f>
        <v>279.89725537926205</v>
      </c>
      <c r="BJ77" s="59">
        <f t="shared" si="92"/>
        <v>276.69392352410654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29.606386474180258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29.606386474180258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241</v>
      </c>
      <c r="L78" s="12">
        <f>VLOOKUP(A78,'Données projet'!$A$35:$I$55,9,0)</f>
        <v>4.4000000000000004</v>
      </c>
      <c r="M78" s="12">
        <f t="array" ref="M78">INDEX(L:L,MIN(IF(ISNUMBER(L78:L274),ROW(L78:L274),"")))</f>
        <v>4.4000000000000004</v>
      </c>
      <c r="N78" s="13">
        <f>IF('Données projet'!$A$36&gt;35,N77+M78-V77,IF(A78&lt;'Données projet'!$A$36,$K$205^A78,IF(A78='Données projet'!$A$36,'Données projet'!$B$36,N77+M78-V77)))</f>
        <v>241.00000000000003</v>
      </c>
      <c r="O78" s="13">
        <f>N78*VLOOKUP('Données projet'!$B$9,Paramètres!$A$1:$I$89,3,0)*VLOOKUP('Données projet'!$B$9,Paramètres!$A$1:$I$89,5,0)</f>
        <v>210.53760000000005</v>
      </c>
      <c r="P78" s="13">
        <f t="shared" si="87"/>
        <v>52.053047337322276</v>
      </c>
      <c r="Q78" s="20">
        <f t="shared" si="54"/>
        <v>457.34537744583628</v>
      </c>
      <c r="R78" s="59">
        <f t="shared" si="55"/>
        <v>750.67871077916959</v>
      </c>
      <c r="S78" s="59">
        <f ca="1">AVERAGE(OFFSET($R$3,0,0,'Données projet'!$E$9+1,1))-AVERAGE(OFFSET($H$3,0,0,'Données projet'!$E$9+1,1))</f>
        <v>251.05216782177348</v>
      </c>
      <c r="T78" s="59">
        <f t="shared" si="88"/>
        <v>247.96048911281406</v>
      </c>
      <c r="U78" s="15">
        <f>IF(ISNA(VLOOKUP(A78,'Données projet'!$A$35:$I$55,3,0)),0,VLOOKUP(A78,'Données projet'!$A$35:$I$55,3,0))</f>
        <v>14</v>
      </c>
      <c r="V78" s="15">
        <f>IF(ISNA(VLOOKUP(A78,'Données projet'!$A$35:$I$55,4,0)),0,VLOOKUP(A78,'Données projet'!$A$35:$I$55,4,0))</f>
        <v>16</v>
      </c>
      <c r="W78" s="16">
        <f>IF(ISNA(VLOOKUP(A78,'Données projet'!$A$35:$I$55,5,0)),0%,VLOOKUP(A78,'Données projet'!$A$35:$I$55,5,0)*VLOOKUP('Données projet'!$B$9,Paramètres!$A$1:$I$89,7,0))</f>
        <v>0.25800000000000001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25.10100539078498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25.10100539078498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270</v>
      </c>
      <c r="AG78" s="12">
        <f>VLOOKUP(A78,'Données projet'!$A$61:$I$81,9,0)</f>
        <v>3.4</v>
      </c>
      <c r="AH78" s="12">
        <f t="array" ref="AH78">INDEX(AG:AG,MIN(IF(ISNUMBER(AG78:AG274),ROW(AG78:AG274),"")))</f>
        <v>3.4</v>
      </c>
      <c r="AI78" s="13">
        <f>IF('Données projet'!$A$62&gt;35,AI77+AH78-AQ77,IF(A78&lt;'Données projet'!$A$62,$AF$205^A78,IF(A78='Données projet'!$A$62,'Données projet'!$B$62,AI77+AH78-AQ77)))</f>
        <v>269.99999999999977</v>
      </c>
      <c r="AJ78" s="13">
        <f>AI78*VLOOKUP('Données projet'!$B$10,Paramètres!$A$1:$I$89,3,0)*VLOOKUP('Données projet'!$B$10,Paramètres!$A$1:$I$89,5,0)</f>
        <v>214.81199999999981</v>
      </c>
      <c r="AK78" s="13">
        <f t="shared" si="89"/>
        <v>52.985738231738011</v>
      </c>
      <c r="AL78" s="20">
        <f t="shared" si="58"/>
        <v>466.41439408694333</v>
      </c>
      <c r="AM78" s="59">
        <f t="shared" si="59"/>
        <v>759.74772742027665</v>
      </c>
      <c r="AN78" s="59">
        <f ca="1">AVERAGE(OFFSET($AM$3,0,0,'Données projet'!$E$10+1,1))-AVERAGE(OFFSET($H$3,0,0,'Données projet'!$E$10+1,1))</f>
        <v>219.43439115440339</v>
      </c>
      <c r="AO78" s="59">
        <f t="shared" si="90"/>
        <v>217.8880462742099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9</v>
      </c>
      <c r="AR78" s="16">
        <f>IF(ISNA(VLOOKUP(A78,'Données projet'!$A$61:$I$81,5,0)),0%,VLOOKUP(A78,'Données projet'!$A$61:$I$81,5,0)*VLOOKUP('Données projet'!$B$10,Paramètres!$A$1:$I$89,7,0))</f>
        <v>0.371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23.082307462459717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23.082307462459717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262.82879999999989</v>
      </c>
      <c r="BF78" s="13">
        <f t="shared" si="91"/>
        <v>63.324983518559428</v>
      </c>
      <c r="BG78" s="20">
        <f t="shared" si="61"/>
        <v>568.05117296149081</v>
      </c>
      <c r="BH78" s="59">
        <f t="shared" si="62"/>
        <v>861.38450629482418</v>
      </c>
      <c r="BI78" s="59">
        <f ca="1">AVERAGE(OFFSET($BH$3,0,0,'Données projet'!$E$11+1,1))-AVERAGE(OFFSET($H$3,0,0,'Données projet'!$E$11+1,1))</f>
        <v>279.89725537926205</v>
      </c>
      <c r="BJ78" s="59">
        <f t="shared" si="92"/>
        <v>276.69392352410654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0.42400000000000004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33.588525819245078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33.588525819245078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</v>
      </c>
      <c r="N79" s="13">
        <f>IF('Données projet'!$A$36&gt;35,N78+M79-V78,IF(A79&lt;'Données projet'!$A$36,$K$205^A79,IF(A79='Données projet'!$A$36,'Données projet'!$B$36,N78+M79-V78)))</f>
        <v>229.00000000000003</v>
      </c>
      <c r="O79" s="13">
        <f>N79*VLOOKUP('Données projet'!$B$9,Paramètres!$A$1:$I$89,3,0)*VLOOKUP('Données projet'!$B$9,Paramètres!$A$1:$I$89,5,0)</f>
        <v>200.05440000000007</v>
      </c>
      <c r="P79" s="13">
        <f t="shared" si="87"/>
        <v>49.756123009618236</v>
      </c>
      <c r="Q79" s="20">
        <f t="shared" si="54"/>
        <v>435.08666090841854</v>
      </c>
      <c r="R79" s="59">
        <f t="shared" si="55"/>
        <v>728.41999424175185</v>
      </c>
      <c r="S79" s="59">
        <f ca="1">AVERAGE(OFFSET($R$3,0,0,'Données projet'!$E$9+1,1))-AVERAGE(OFFSET($H$3,0,0,'Données projet'!$E$9+1,1))</f>
        <v>251.05216782177348</v>
      </c>
      <c r="T79" s="59">
        <f t="shared" si="88"/>
        <v>247.96048911281406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24.608789985173228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24.608789985173228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2.8</v>
      </c>
      <c r="AI79" s="13">
        <f>IF('Données projet'!$A$62&gt;35,AI78+AH79-AQ78,IF(A79&lt;'Données projet'!$A$62,$AF$205^A79,IF(A79='Données projet'!$A$62,'Données projet'!$B$62,AI78+AH79-AQ78)))</f>
        <v>263.79999999999978</v>
      </c>
      <c r="AJ79" s="13">
        <f>AI79*VLOOKUP('Données projet'!$B$10,Paramètres!$A$1:$I$89,3,0)*VLOOKUP('Données projet'!$B$10,Paramètres!$A$1:$I$89,5,0)</f>
        <v>209.87927999999985</v>
      </c>
      <c r="AK79" s="13">
        <f t="shared" si="89"/>
        <v>51.909204458241767</v>
      </c>
      <c r="AL79" s="20">
        <f t="shared" si="58"/>
        <v>455.94827709810414</v>
      </c>
      <c r="AM79" s="59">
        <f t="shared" si="59"/>
        <v>749.28161043143746</v>
      </c>
      <c r="AN79" s="59">
        <f ca="1">AVERAGE(OFFSET($AM$3,0,0,'Données projet'!$E$10+1,1))-AVERAGE(OFFSET($H$3,0,0,'Données projet'!$E$10+1,1))</f>
        <v>219.43439115440339</v>
      </c>
      <c r="AO79" s="59">
        <f t="shared" si="90"/>
        <v>217.8880462742099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22.629677491938267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22.629677491938267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256.01471999999995</v>
      </c>
      <c r="BF79" s="13">
        <f t="shared" si="91"/>
        <v>61.872115120174627</v>
      </c>
      <c r="BG79" s="20">
        <f t="shared" si="61"/>
        <v>553.65290450097075</v>
      </c>
      <c r="BH79" s="59">
        <f t="shared" si="62"/>
        <v>846.98623783430412</v>
      </c>
      <c r="BI79" s="59">
        <f ca="1">AVERAGE(OFFSET($BH$3,0,0,'Données projet'!$E$11+1,1))-AVERAGE(OFFSET($H$3,0,0,'Données projet'!$E$11+1,1))</f>
        <v>279.89725537926205</v>
      </c>
      <c r="BJ79" s="59">
        <f t="shared" si="92"/>
        <v>276.69392352410654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32.929875314907513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32.929875314907513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</v>
      </c>
      <c r="N80" s="13">
        <f>IF('Données projet'!$A$36&gt;35,N79+M80-V79,IF(A80&lt;'Données projet'!$A$36,$K$205^A80,IF(A80='Données projet'!$A$36,'Données projet'!$B$36,N79+M80-V79)))</f>
        <v>233.00000000000003</v>
      </c>
      <c r="O80" s="13">
        <f>N80*VLOOKUP('Données projet'!$B$9,Paramètres!$A$1:$I$89,3,0)*VLOOKUP('Données projet'!$B$9,Paramètres!$A$1:$I$89,5,0)</f>
        <v>203.54880000000003</v>
      </c>
      <c r="P80" s="13">
        <f t="shared" si="87"/>
        <v>50.523286400023487</v>
      </c>
      <c r="Q80" s="20">
        <f t="shared" si="54"/>
        <v>442.50888381337427</v>
      </c>
      <c r="R80" s="59">
        <f t="shared" si="55"/>
        <v>735.84221714670753</v>
      </c>
      <c r="S80" s="59">
        <f ca="1">AVERAGE(OFFSET($R$3,0,0,'Données projet'!$E$9+1,1))-AVERAGE(OFFSET($H$3,0,0,'Données projet'!$E$9+1,1))</f>
        <v>251.05216782177348</v>
      </c>
      <c r="T80" s="59">
        <f t="shared" si="88"/>
        <v>247.96048911281406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24.12622662344377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24.12622662344377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2.8</v>
      </c>
      <c r="AI80" s="13">
        <f>IF('Données projet'!$A$62&gt;35,AI79+AH80-AQ79,IF(A80&lt;'Données projet'!$A$62,$AF$205^A80,IF(A80='Données projet'!$A$62,'Données projet'!$B$62,AI79+AH80-AQ79)))</f>
        <v>266.5999999999998</v>
      </c>
      <c r="AJ80" s="13">
        <f>AI80*VLOOKUP('Données projet'!$B$10,Paramètres!$A$1:$I$89,3,0)*VLOOKUP('Données projet'!$B$10,Paramètres!$A$1:$I$89,5,0)</f>
        <v>212.10695999999984</v>
      </c>
      <c r="AK80" s="13">
        <f t="shared" si="89"/>
        <v>52.395741612408194</v>
      </c>
      <c r="AL80" s="20">
        <f t="shared" si="58"/>
        <v>460.67553864161067</v>
      </c>
      <c r="AM80" s="59">
        <f t="shared" si="59"/>
        <v>754.00887197494399</v>
      </c>
      <c r="AN80" s="59">
        <f ca="1">AVERAGE(OFFSET($AM$3,0,0,'Données projet'!$E$10+1,1))-AVERAGE(OFFSET($H$3,0,0,'Données projet'!$E$10+1,1))</f>
        <v>219.43439115440339</v>
      </c>
      <c r="AO80" s="59">
        <f t="shared" si="90"/>
        <v>217.8880462742099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22.185923319061722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22.185923319061722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258.93503999999996</v>
      </c>
      <c r="BF80" s="13">
        <f t="shared" si="91"/>
        <v>62.495317322077135</v>
      </c>
      <c r="BG80" s="20">
        <f t="shared" si="61"/>
        <v>559.8245390026176</v>
      </c>
      <c r="BH80" s="59">
        <f t="shared" si="62"/>
        <v>853.15787233595097</v>
      </c>
      <c r="BI80" s="59">
        <f ca="1">AVERAGE(OFFSET($BH$3,0,0,'Données projet'!$E$11+1,1))-AVERAGE(OFFSET($H$3,0,0,'Données projet'!$E$11+1,1))</f>
        <v>279.89725537926205</v>
      </c>
      <c r="BJ80" s="59">
        <f t="shared" si="92"/>
        <v>276.69392352410654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32.284140545222868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32.284140545222868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</v>
      </c>
      <c r="N81" s="13">
        <f>IF('Données projet'!$A$36&gt;35,N80+M81-V80,IF(A81&lt;'Données projet'!$A$36,$K$205^A81,IF(A81='Données projet'!$A$36,'Données projet'!$B$36,N80+M81-V80)))</f>
        <v>237.00000000000003</v>
      </c>
      <c r="O81" s="13">
        <f>N81*VLOOKUP('Données projet'!$B$9,Paramètres!$A$1:$I$89,3,0)*VLOOKUP('Données projet'!$B$9,Paramètres!$A$1:$I$89,5,0)</f>
        <v>207.04320000000004</v>
      </c>
      <c r="P81" s="13">
        <f t="shared" si="87"/>
        <v>51.288918231806321</v>
      </c>
      <c r="Q81" s="20">
        <f t="shared" si="54"/>
        <v>449.92843925372944</v>
      </c>
      <c r="R81" s="59">
        <f t="shared" si="55"/>
        <v>743.26177258706275</v>
      </c>
      <c r="S81" s="59">
        <f ca="1">AVERAGE(OFFSET($R$3,0,0,'Données projet'!$E$9+1,1))-AVERAGE(OFFSET($H$3,0,0,'Données projet'!$E$9+1,1))</f>
        <v>251.05216782177348</v>
      </c>
      <c r="T81" s="59">
        <f t="shared" si="88"/>
        <v>247.96048911281406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23.653126034903238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23.653126034903238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2.8</v>
      </c>
      <c r="AI81" s="13">
        <f>IF('Données projet'!$A$62&gt;35,AI80+AH81-AQ80,IF(A81&lt;'Données projet'!$A$62,$AF$205^A81,IF(A81='Données projet'!$A$62,'Données projet'!$B$62,AI80+AH81-AQ80)))</f>
        <v>269.39999999999981</v>
      </c>
      <c r="AJ81" s="13">
        <f>AI81*VLOOKUP('Données projet'!$B$10,Paramètres!$A$1:$I$89,3,0)*VLOOKUP('Données projet'!$B$10,Paramètres!$A$1:$I$89,5,0)</f>
        <v>214.33463999999984</v>
      </c>
      <c r="AK81" s="13">
        <f t="shared" si="89"/>
        <v>52.881684324030282</v>
      </c>
      <c r="AL81" s="20">
        <f t="shared" si="58"/>
        <v>465.40176486435234</v>
      </c>
      <c r="AM81" s="59">
        <f t="shared" si="59"/>
        <v>758.7350981976856</v>
      </c>
      <c r="AN81" s="59">
        <f ca="1">AVERAGE(OFFSET($AM$3,0,0,'Données projet'!$E$10+1,1))-AVERAGE(OFFSET($H$3,0,0,'Données projet'!$E$10+1,1))</f>
        <v>219.43439115440339</v>
      </c>
      <c r="AO81" s="59">
        <f t="shared" si="90"/>
        <v>217.8880462742099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21.750870894851964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21.750870894851964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261.85536000000002</v>
      </c>
      <c r="BF81" s="13">
        <f t="shared" si="91"/>
        <v>63.117701913821712</v>
      </c>
      <c r="BG81" s="20">
        <f t="shared" si="61"/>
        <v>565.99474949990611</v>
      </c>
      <c r="BH81" s="59">
        <f t="shared" si="62"/>
        <v>859.32808283323948</v>
      </c>
      <c r="BI81" s="59">
        <f ca="1">AVERAGE(OFFSET($BH$3,0,0,'Données projet'!$E$11+1,1))-AVERAGE(OFFSET($H$3,0,0,'Données projet'!$E$11+1,1))</f>
        <v>279.89725537926205</v>
      </c>
      <c r="BJ81" s="59">
        <f t="shared" si="92"/>
        <v>276.69392352410654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31.651068240512419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31.651068240512419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</v>
      </c>
      <c r="N82" s="13">
        <f>IF('Données projet'!$A$36&gt;35,N81+M82-V81,IF(A82&lt;'Données projet'!$A$36,$K$205^A82,IF(A82='Données projet'!$A$36,'Données projet'!$B$36,N81+M82-V81)))</f>
        <v>241.00000000000003</v>
      </c>
      <c r="O82" s="13">
        <f>N82*VLOOKUP('Données projet'!$B$9,Paramètres!$A$1:$I$89,3,0)*VLOOKUP('Données projet'!$B$9,Paramètres!$A$1:$I$89,5,0)</f>
        <v>210.53760000000005</v>
      </c>
      <c r="P82" s="13">
        <f t="shared" si="87"/>
        <v>52.053047337322276</v>
      </c>
      <c r="Q82" s="20">
        <f t="shared" si="54"/>
        <v>457.34537744583628</v>
      </c>
      <c r="R82" s="59">
        <f t="shared" si="55"/>
        <v>750.67871077916959</v>
      </c>
      <c r="S82" s="59">
        <f ca="1">AVERAGE(OFFSET($R$3,0,0,'Données projet'!$E$9+1,1))-AVERAGE(OFFSET($H$3,0,0,'Données projet'!$E$9+1,1))</f>
        <v>251.05216782177348</v>
      </c>
      <c r="T82" s="59">
        <f t="shared" si="88"/>
        <v>247.96048911281406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23.18930266034112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23.18930266034112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2.8</v>
      </c>
      <c r="AI82" s="13">
        <f>IF('Données projet'!$A$62&gt;35,AI81+AH82-AQ81,IF(A82&lt;'Données projet'!$A$62,$AF$205^A82,IF(A82='Données projet'!$A$62,'Données projet'!$B$62,AI81+AH82-AQ81)))</f>
        <v>272.19999999999982</v>
      </c>
      <c r="AJ82" s="13">
        <f>AI82*VLOOKUP('Données projet'!$B$10,Paramètres!$A$1:$I$89,3,0)*VLOOKUP('Données projet'!$B$10,Paramètres!$A$1:$I$89,5,0)</f>
        <v>216.56231999999989</v>
      </c>
      <c r="AK82" s="13">
        <f t="shared" si="89"/>
        <v>53.367039486661959</v>
      </c>
      <c r="AL82" s="20">
        <f t="shared" si="58"/>
        <v>470.12696777260271</v>
      </c>
      <c r="AM82" s="59">
        <f t="shared" si="59"/>
        <v>763.46030110593597</v>
      </c>
      <c r="AN82" s="59">
        <f ca="1">AVERAGE(OFFSET($AM$3,0,0,'Données projet'!$E$10+1,1))-AVERAGE(OFFSET($H$3,0,0,'Données projet'!$E$10+1,1))</f>
        <v>219.43439115440339</v>
      </c>
      <c r="AO82" s="59">
        <f t="shared" si="90"/>
        <v>217.8880462742099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21.324349583325183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21.324349583325183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264.77567999999997</v>
      </c>
      <c r="BF82" s="13">
        <f t="shared" si="91"/>
        <v>63.739279068930159</v>
      </c>
      <c r="BG82" s="20">
        <f t="shared" si="61"/>
        <v>572.16355371171983</v>
      </c>
      <c r="BH82" s="59">
        <f t="shared" si="62"/>
        <v>865.4968870450532</v>
      </c>
      <c r="BI82" s="59">
        <f ca="1">AVERAGE(OFFSET($BH$3,0,0,'Données projet'!$E$11+1,1))-AVERAGE(OFFSET($H$3,0,0,'Données projet'!$E$11+1,1))</f>
        <v>279.89725537926205</v>
      </c>
      <c r="BJ82" s="59">
        <f t="shared" si="92"/>
        <v>276.69392352410654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31.030410097561361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31.030410097561361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245</v>
      </c>
      <c r="L83" s="12">
        <f>VLOOKUP(A83,'Données projet'!$A$35:$I$55,9,0)</f>
        <v>4</v>
      </c>
      <c r="M83" s="12">
        <f t="array" ref="M83">INDEX(L:L,MIN(IF(ISNUMBER(L83:L279),ROW(L83:L279),"")))</f>
        <v>4</v>
      </c>
      <c r="N83" s="13">
        <f>IF('Données projet'!$A$36&gt;35,N82+M83-V82,IF(A83&lt;'Données projet'!$A$36,$K$205^A83,IF(A83='Données projet'!$A$36,'Données projet'!$B$36,N82+M83-V82)))</f>
        <v>245.00000000000003</v>
      </c>
      <c r="O83" s="13">
        <f>N83*VLOOKUP('Données projet'!$B$9,Paramètres!$A$1:$I$89,3,0)*VLOOKUP('Données projet'!$B$9,Paramètres!$A$1:$I$89,5,0)</f>
        <v>214.03200000000004</v>
      </c>
      <c r="P83" s="13">
        <f t="shared" si="87"/>
        <v>52.815701536972242</v>
      </c>
      <c r="Q83" s="20">
        <f t="shared" si="54"/>
        <v>464.75974684356009</v>
      </c>
      <c r="R83" s="59">
        <f t="shared" si="55"/>
        <v>758.09308017689341</v>
      </c>
      <c r="S83" s="59">
        <f ca="1">AVERAGE(OFFSET($R$3,0,0,'Données projet'!$E$9+1,1))-AVERAGE(OFFSET($H$3,0,0,'Données projet'!$E$9+1,1))</f>
        <v>251.05216782177348</v>
      </c>
      <c r="T83" s="59">
        <f t="shared" si="88"/>
        <v>247.96048911281406</v>
      </c>
      <c r="U83" s="15">
        <f>IF(ISNA(VLOOKUP(A83,'Données projet'!$A$35:$I$55,3,0)),0,VLOOKUP(A83,'Données projet'!$A$35:$I$55,3,0))</f>
        <v>15</v>
      </c>
      <c r="V83" s="15">
        <f>IF(ISNA(VLOOKUP(A83,'Données projet'!$A$35:$I$55,4,0)),0,VLOOKUP(A83,'Données projet'!$A$35:$I$55,4,0))</f>
        <v>15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27.094885819123174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27.094885819123174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275</v>
      </c>
      <c r="AG83" s="12">
        <f>VLOOKUP(A83,'Données projet'!$A$61:$I$81,9,0)</f>
        <v>2.8</v>
      </c>
      <c r="AH83" s="12">
        <f t="array" ref="AH83">INDEX(AG:AG,MIN(IF(ISNUMBER(AG83:AG279),ROW(AG83:AG279),"")))</f>
        <v>2.8</v>
      </c>
      <c r="AI83" s="13">
        <f>IF('Données projet'!$A$62&gt;35,AI82+AH83-AQ82,IF(A83&lt;'Données projet'!$A$62,$AF$205^A83,IF(A83='Données projet'!$A$62,'Données projet'!$B$62,AI82+AH83-AQ82)))</f>
        <v>274.99999999999983</v>
      </c>
      <c r="AJ83" s="13">
        <f>AI83*VLOOKUP('Données projet'!$B$10,Paramètres!$A$1:$I$89,3,0)*VLOOKUP('Données projet'!$B$10,Paramètres!$A$1:$I$89,5,0)</f>
        <v>218.78999999999988</v>
      </c>
      <c r="AK83" s="13">
        <f t="shared" si="89"/>
        <v>53.851813843863468</v>
      </c>
      <c r="AL83" s="20">
        <f t="shared" si="58"/>
        <v>474.85115911139536</v>
      </c>
      <c r="AM83" s="59">
        <f t="shared" si="59"/>
        <v>768.18449244472868</v>
      </c>
      <c r="AN83" s="59">
        <f ca="1">AVERAGE(OFFSET($AM$3,0,0,'Données projet'!$E$10+1,1))-AVERAGE(OFFSET($H$3,0,0,'Données projet'!$E$10+1,1))</f>
        <v>219.43439115440339</v>
      </c>
      <c r="AO83" s="59">
        <f t="shared" si="90"/>
        <v>217.8880462742099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275</v>
      </c>
      <c r="AR83" s="16">
        <f>IF(ISNA(VLOOKUP(A83,'Données projet'!$A$61:$I$81,5,0)),0%,VLOOKUP(A83,'Données projet'!$A$61:$I$81,5,0)*VLOOKUP('Données projet'!$B$10,Paramètres!$A$1:$I$89,7,0))</f>
        <v>0.42400000000000004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123.45731857388313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123.45731857388313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267.69600000000003</v>
      </c>
      <c r="BF83" s="13">
        <f t="shared" si="91"/>
        <v>64.360058723585496</v>
      </c>
      <c r="BG83" s="20">
        <f t="shared" si="61"/>
        <v>578.33096894357811</v>
      </c>
      <c r="BH83" s="59">
        <f t="shared" si="62"/>
        <v>871.66430227691149</v>
      </c>
      <c r="BI83" s="59">
        <f ca="1">AVERAGE(OFFSET($BH$3,0,0,'Données projet'!$E$11+1,1))-AVERAGE(OFFSET($H$3,0,0,'Données projet'!$E$11+1,1))</f>
        <v>279.89725537926205</v>
      </c>
      <c r="BJ83" s="59">
        <f t="shared" si="92"/>
        <v>276.69392352410654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330</v>
      </c>
      <c r="BM83" s="16">
        <f>IF(ISNA(VLOOKUP(A83,'Données projet'!$A$87:$I$107,5,0)),0%,VLOOKUP(A83,'Données projet'!$A$87:$I$107,5,0)*VLOOKUP('Données projet'!$B$11,Paramètres!$A$1:$I$89,7,0))</f>
        <v>0.42400000000000004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155.89624213927743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155.89624213927743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3.6</v>
      </c>
      <c r="N84" s="13">
        <f>IF('Données projet'!$A$36&gt;35,N83+M84-V83,IF(A84&lt;'Données projet'!$A$36,$K$205^A84,IF(A84='Données projet'!$A$36,'Données projet'!$B$36,N83+M84-V83)))</f>
        <v>233.60000000000002</v>
      </c>
      <c r="O84" s="13">
        <f>N84*VLOOKUP('Données projet'!$B$9,Paramètres!$A$1:$I$89,3,0)*VLOOKUP('Données projet'!$B$9,Paramètres!$A$1:$I$89,5,0)</f>
        <v>204.07296000000005</v>
      </c>
      <c r="P84" s="13">
        <f t="shared" si="87"/>
        <v>50.638228095278635</v>
      </c>
      <c r="Q84" s="20">
        <f t="shared" si="54"/>
        <v>443.62198593261041</v>
      </c>
      <c r="R84" s="59">
        <f t="shared" si="55"/>
        <v>736.95531926594367</v>
      </c>
      <c r="S84" s="59">
        <f ca="1">AVERAGE(OFFSET($R$3,0,0,'Données projet'!$E$9+1,1))-AVERAGE(OFFSET($H$3,0,0,'Données projet'!$E$9+1,1))</f>
        <v>251.05216782177348</v>
      </c>
      <c r="T84" s="59">
        <f t="shared" si="88"/>
        <v>247.96048911281406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26.563571634458686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26.563571634458686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-1.3567387213697657E-13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219.43439115440339</v>
      </c>
      <c r="AO84" s="59">
        <f t="shared" si="90"/>
        <v>217.8880462742099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121.0363958581782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121.0363958581782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279.89725537926205</v>
      </c>
      <c r="BJ84" s="59">
        <f t="shared" si="92"/>
        <v>276.69392352410654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152.83921191824481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152.83921191824481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3.6</v>
      </c>
      <c r="N85" s="13">
        <f>IF('Données projet'!$A$36&gt;35,N84+M85-V84,IF(A85&lt;'Données projet'!$A$36,$K$205^A85,IF(A85='Données projet'!$A$36,'Données projet'!$B$36,N84+M85-V84)))</f>
        <v>237.20000000000002</v>
      </c>
      <c r="O85" s="13">
        <f>N85*VLOOKUP('Données projet'!$B$9,Paramètres!$A$1:$I$89,3,0)*VLOOKUP('Données projet'!$B$9,Paramètres!$A$1:$I$89,5,0)</f>
        <v>207.21792000000005</v>
      </c>
      <c r="P85" s="13">
        <f t="shared" si="87"/>
        <v>51.327160141561521</v>
      </c>
      <c r="Q85" s="20">
        <f t="shared" si="54"/>
        <v>450.29934791321972</v>
      </c>
      <c r="R85" s="59">
        <f t="shared" si="55"/>
        <v>743.63268124655303</v>
      </c>
      <c r="S85" s="59">
        <f ca="1">AVERAGE(OFFSET($R$3,0,0,'Données projet'!$E$9+1,1))-AVERAGE(OFFSET($H$3,0,0,'Données projet'!$E$9+1,1))</f>
        <v>251.05216782177348</v>
      </c>
      <c r="T85" s="59">
        <f t="shared" si="88"/>
        <v>247.96048911281406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26.042676196885814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26.042676196885814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-1.3567387213697657E-13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219.43439115440339</v>
      </c>
      <c r="AO85" s="59">
        <f t="shared" si="90"/>
        <v>217.8880462742099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118.66294596031119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118.66294596031119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279.89725537926205</v>
      </c>
      <c r="BJ85" s="59">
        <f t="shared" si="92"/>
        <v>276.69392352410654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149.84212819524234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149.84212819524234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3.6</v>
      </c>
      <c r="N86" s="13">
        <f>IF('Données projet'!$A$36&gt;35,N85+M86-V85,IF(A86&lt;'Données projet'!$A$36,$K$205^A86,IF(A86='Données projet'!$A$36,'Données projet'!$B$36,N85+M86-V85)))</f>
        <v>240.8</v>
      </c>
      <c r="O86" s="13">
        <f>N86*VLOOKUP('Données projet'!$B$9,Paramètres!$A$1:$I$89,3,0)*VLOOKUP('Données projet'!$B$9,Paramètres!$A$1:$I$89,5,0)</f>
        <v>210.36288000000002</v>
      </c>
      <c r="P86" s="13">
        <f t="shared" si="87"/>
        <v>52.014876138342963</v>
      </c>
      <c r="Q86" s="20">
        <f t="shared" si="54"/>
        <v>456.97459194094728</v>
      </c>
      <c r="R86" s="59">
        <f t="shared" si="55"/>
        <v>750.30792527428059</v>
      </c>
      <c r="S86" s="59">
        <f ca="1">AVERAGE(OFFSET($R$3,0,0,'Données projet'!$E$9+1,1))-AVERAGE(OFFSET($H$3,0,0,'Données projet'!$E$9+1,1))</f>
        <v>251.05216782177348</v>
      </c>
      <c r="T86" s="59">
        <f t="shared" si="88"/>
        <v>247.96048911281406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25.531995201128904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25.531995201128904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-1.3567387213697657E-13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219.43439115440339</v>
      </c>
      <c r="AO86" s="59">
        <f t="shared" si="90"/>
        <v>217.8880462742099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116.33603796727986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116.33603796727986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279.89725537926205</v>
      </c>
      <c r="BJ86" s="59">
        <f t="shared" si="92"/>
        <v>276.69392352410654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146.90381545600735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146.90381545600735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3.6</v>
      </c>
      <c r="N87" s="13">
        <f>IF('Données projet'!$A$36&gt;35,N86+M87-V86,IF(A87&lt;'Données projet'!$A$36,$K$205^A87,IF(A87='Données projet'!$A$36,'Données projet'!$B$36,N86+M87-V86)))</f>
        <v>244.4</v>
      </c>
      <c r="O87" s="13">
        <f>N87*VLOOKUP('Données projet'!$B$9,Paramètres!$A$1:$I$89,3,0)*VLOOKUP('Données projet'!$B$9,Paramètres!$A$1:$I$89,5,0)</f>
        <v>213.50784000000002</v>
      </c>
      <c r="P87" s="13">
        <f t="shared" si="87"/>
        <v>52.701396365805124</v>
      </c>
      <c r="Q87" s="20">
        <f t="shared" si="54"/>
        <v>463.6477533371106</v>
      </c>
      <c r="R87" s="59">
        <f t="shared" si="55"/>
        <v>756.98108667044391</v>
      </c>
      <c r="S87" s="59">
        <f ca="1">AVERAGE(OFFSET($R$3,0,0,'Données projet'!$E$9+1,1))-AVERAGE(OFFSET($H$3,0,0,'Données projet'!$E$9+1,1))</f>
        <v>251.05216782177348</v>
      </c>
      <c r="T87" s="59">
        <f t="shared" si="88"/>
        <v>247.96048911281406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25.031328348214135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25.031328348214135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-1.3567387213697657E-13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219.43439115440339</v>
      </c>
      <c r="AO87" s="59">
        <f t="shared" si="90"/>
        <v>217.8880462742099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114.05475922071815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114.05475922071815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279.89725537926205</v>
      </c>
      <c r="BJ87" s="59">
        <f t="shared" si="92"/>
        <v>276.69392352410654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144.02312123739497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144.02312123739497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248</v>
      </c>
      <c r="L88" s="12">
        <f>VLOOKUP(A88,'Données projet'!$A$35:$I$55,9,0)</f>
        <v>3.6</v>
      </c>
      <c r="M88" s="12">
        <f t="array" ref="M88">INDEX(L:L,MIN(IF(ISNUMBER(L88:L284),ROW(L88:L284),"")))</f>
        <v>3.6</v>
      </c>
      <c r="N88" s="13">
        <f>IF('Données projet'!$A$36&gt;35,N87+M88-V87,IF(A88&lt;'Données projet'!$A$36,$K$205^A88,IF(A88='Données projet'!$A$36,'Données projet'!$B$36,N87+M88-V87)))</f>
        <v>248</v>
      </c>
      <c r="O88" s="13">
        <f>N88*VLOOKUP('Données projet'!$B$9,Paramètres!$A$1:$I$89,3,0)*VLOOKUP('Données projet'!$B$9,Paramètres!$A$1:$I$89,5,0)</f>
        <v>216.65280000000004</v>
      </c>
      <c r="P88" s="13">
        <f t="shared" si="87"/>
        <v>53.38674047237982</v>
      </c>
      <c r="Q88" s="20">
        <f t="shared" si="54"/>
        <v>470.3188663227283</v>
      </c>
      <c r="R88" s="59">
        <f t="shared" si="55"/>
        <v>763.65219965606161</v>
      </c>
      <c r="S88" s="59">
        <f ca="1">AVERAGE(OFFSET($R$3,0,0,'Données projet'!$E$9+1,1))-AVERAGE(OFFSET($H$3,0,0,'Données projet'!$E$9+1,1))</f>
        <v>251.05216782177348</v>
      </c>
      <c r="T88" s="59">
        <f t="shared" si="88"/>
        <v>247.96048911281406</v>
      </c>
      <c r="U88" s="15">
        <f>IF(ISNA(VLOOKUP(A88,'Données projet'!$A$35:$I$55,3,0)),0,VLOOKUP(A88,'Données projet'!$A$35:$I$55,3,0))</f>
        <v>16</v>
      </c>
      <c r="V88" s="15">
        <f>IF(ISNA(VLOOKUP(A88,'Données projet'!$A$35:$I$55,4,0)),0,VLOOKUP(A88,'Données projet'!$A$35:$I$55,4,0))</f>
        <v>14</v>
      </c>
      <c r="W88" s="16">
        <f>IF(ISNA(VLOOKUP(A88,'Données projet'!$A$35:$I$55,5,0)),0%,VLOOKUP(A88,'Données projet'!$A$35:$I$55,5,0)*VLOOKUP('Données projet'!$B$9,Paramètres!$A$1:$I$89,7,0))</f>
        <v>0.30099999999999999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28.610103090790176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28.610103090790176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-1.3567387213697657E-13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219.43439115440339</v>
      </c>
      <c r="AO88" s="59">
        <f t="shared" si="90"/>
        <v>217.8880462742099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111.81821495893386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111.81821495893386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279.89725537926205</v>
      </c>
      <c r="BJ88" s="59">
        <f t="shared" si="92"/>
        <v>276.69392352410654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141.19891567535959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141.19891567535959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3</v>
      </c>
      <c r="N89" s="13">
        <f>IF('Données projet'!$A$36&gt;35,N88+M89-V88,IF(A89&lt;'Données projet'!$A$36,$K$205^A89,IF(A89='Données projet'!$A$36,'Données projet'!$B$36,N88+M89-V88)))</f>
        <v>237</v>
      </c>
      <c r="O89" s="13">
        <f>N89*VLOOKUP('Données projet'!$B$9,Paramètres!$A$1:$I$89,3,0)*VLOOKUP('Données projet'!$B$9,Paramètres!$A$1:$I$89,5,0)</f>
        <v>207.04320000000001</v>
      </c>
      <c r="P89" s="13">
        <f t="shared" si="87"/>
        <v>51.288918231806321</v>
      </c>
      <c r="Q89" s="20">
        <f t="shared" si="54"/>
        <v>449.92843925372944</v>
      </c>
      <c r="R89" s="59">
        <f t="shared" si="55"/>
        <v>743.26177258706275</v>
      </c>
      <c r="S89" s="59">
        <f ca="1">AVERAGE(OFFSET($R$3,0,0,'Données projet'!$E$9+1,1))-AVERAGE(OFFSET($H$3,0,0,'Données projet'!$E$9+1,1))</f>
        <v>251.05216782177348</v>
      </c>
      <c r="T89" s="59">
        <f t="shared" si="88"/>
        <v>247.96048911281406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28.049076419619578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28.049076419619578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-1.3567387213697657E-13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219.43439115440339</v>
      </c>
      <c r="AO89" s="59">
        <f t="shared" si="90"/>
        <v>217.8880462742099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109.62552796596587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109.62552796596587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279.89725537926205</v>
      </c>
      <c r="BJ89" s="59">
        <f t="shared" si="92"/>
        <v>276.69392352410654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138.43009106180043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138.43009106180043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3</v>
      </c>
      <c r="N90" s="13">
        <f>IF('Données projet'!$A$36&gt;35,N89+M90-V89,IF(A90&lt;'Données projet'!$A$36,$K$205^A90,IF(A90='Données projet'!$A$36,'Données projet'!$B$36,N89+M90-V89)))</f>
        <v>240</v>
      </c>
      <c r="O90" s="13">
        <f>N90*VLOOKUP('Données projet'!$B$9,Paramètres!$A$1:$I$89,3,0)*VLOOKUP('Données projet'!$B$9,Paramètres!$A$1:$I$89,5,0)</f>
        <v>209.66400000000002</v>
      </c>
      <c r="P90" s="13">
        <f t="shared" si="87"/>
        <v>51.862154403304537</v>
      </c>
      <c r="Q90" s="20">
        <f t="shared" si="54"/>
        <v>455.49138558575538</v>
      </c>
      <c r="R90" s="59">
        <f t="shared" si="55"/>
        <v>748.8247189190887</v>
      </c>
      <c r="S90" s="59">
        <f ca="1">AVERAGE(OFFSET($R$3,0,0,'Données projet'!$E$9+1,1))-AVERAGE(OFFSET($H$3,0,0,'Données projet'!$E$9+1,1))</f>
        <v>251.05216782177348</v>
      </c>
      <c r="T90" s="59">
        <f t="shared" si="88"/>
        <v>247.96048911281406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27.499051139278155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27.499051139278155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-1.3567387213697657E-13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219.43439115440339</v>
      </c>
      <c r="AO90" s="59">
        <f t="shared" si="90"/>
        <v>217.8880462742099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107.47583822752297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107.47583822752297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279.89725537926205</v>
      </c>
      <c r="BJ90" s="59">
        <f t="shared" si="92"/>
        <v>276.69392352410654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135.71556141009691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135.71556141009691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3</v>
      </c>
      <c r="N91" s="13">
        <f>IF('Données projet'!$A$36&gt;35,N90+M91-V90,IF(A91&lt;'Données projet'!$A$36,$K$205^A91,IF(A91='Données projet'!$A$36,'Données projet'!$B$36,N90+M91-V90)))</f>
        <v>243</v>
      </c>
      <c r="O91" s="13">
        <f>N91*VLOOKUP('Données projet'!$B$9,Paramètres!$A$1:$I$89,3,0)*VLOOKUP('Données projet'!$B$9,Paramètres!$A$1:$I$89,5,0)</f>
        <v>212.28480000000002</v>
      </c>
      <c r="P91" s="13">
        <f t="shared" si="87"/>
        <v>52.434557099704193</v>
      </c>
      <c r="Q91" s="20">
        <f t="shared" si="54"/>
        <v>461.05288028198476</v>
      </c>
      <c r="R91" s="59">
        <f t="shared" si="55"/>
        <v>754.38621361531807</v>
      </c>
      <c r="S91" s="59">
        <f ca="1">AVERAGE(OFFSET($R$3,0,0,'Données projet'!$E$9+1,1))-AVERAGE(OFFSET($H$3,0,0,'Données projet'!$E$9+1,1))</f>
        <v>251.05216782177348</v>
      </c>
      <c r="T91" s="59">
        <f t="shared" si="88"/>
        <v>247.96048911281406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26.959811519201931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26.959811519201931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-1.3567387213697657E-13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219.43439115440339</v>
      </c>
      <c r="AO91" s="59">
        <f t="shared" si="90"/>
        <v>217.8880462742099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105.36830259366967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105.36830259366967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279.89725537926205</v>
      </c>
      <c r="BJ91" s="59">
        <f t="shared" si="92"/>
        <v>276.69392352410654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133.05426202916368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133.05426202916368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3</v>
      </c>
      <c r="N92" s="13">
        <f>IF('Données projet'!$A$36&gt;35,N91+M92-V91,IF(A92&lt;'Données projet'!$A$36,$K$205^A92,IF(A92='Données projet'!$A$36,'Données projet'!$B$36,N91+M92-V91)))</f>
        <v>246</v>
      </c>
      <c r="O92" s="13">
        <f>N92*VLOOKUP('Données projet'!$B$9,Paramètres!$A$1:$I$89,3,0)*VLOOKUP('Données projet'!$B$9,Paramètres!$A$1:$I$89,5,0)</f>
        <v>214.90560000000005</v>
      </c>
      <c r="P92" s="13">
        <f t="shared" si="87"/>
        <v>53.006137800892326</v>
      </c>
      <c r="Q92" s="20">
        <f t="shared" si="54"/>
        <v>466.61294333655422</v>
      </c>
      <c r="R92" s="59">
        <f t="shared" si="55"/>
        <v>759.94627666988754</v>
      </c>
      <c r="S92" s="59">
        <f ca="1">AVERAGE(OFFSET($R$3,0,0,'Données projet'!$E$9+1,1))-AVERAGE(OFFSET($H$3,0,0,'Données projet'!$E$9+1,1))</f>
        <v>251.05216782177348</v>
      </c>
      <c r="T92" s="59">
        <f t="shared" si="88"/>
        <v>247.96048911281406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26.431146059171713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26.431146059171713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-1.3567387213697657E-13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219.43439115440339</v>
      </c>
      <c r="AO92" s="59">
        <f t="shared" si="90"/>
        <v>217.8880462742099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103.30209444812643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103.30209444812643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279.89725537926205</v>
      </c>
      <c r="BJ92" s="59">
        <f t="shared" si="92"/>
        <v>276.69392352410654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130.44514910585821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130.44514910585821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249</v>
      </c>
      <c r="L93" s="12">
        <f>VLOOKUP(A93,'Données projet'!$A$35:$I$55,9,0)</f>
        <v>3</v>
      </c>
      <c r="M93" s="12">
        <f t="array" ref="M93">INDEX(L:L,MIN(IF(ISNUMBER(L93:L289),ROW(L93:L289),"")))</f>
        <v>3</v>
      </c>
      <c r="N93" s="13">
        <f>IF('Données projet'!$A$36&gt;35,N92+M93-V92,IF(A93&lt;'Données projet'!$A$36,$K$205^A93,IF(A93='Données projet'!$A$36,'Données projet'!$B$36,N92+M93-V92)))</f>
        <v>249</v>
      </c>
      <c r="O93" s="13">
        <f>N93*VLOOKUP('Données projet'!$B$9,Paramètres!$A$1:$I$89,3,0)*VLOOKUP('Données projet'!$B$9,Paramètres!$A$1:$I$89,5,0)</f>
        <v>217.52640000000005</v>
      </c>
      <c r="P93" s="13">
        <f t="shared" si="87"/>
        <v>53.576907690651254</v>
      </c>
      <c r="Q93" s="20">
        <f t="shared" si="54"/>
        <v>472.17159422788433</v>
      </c>
      <c r="R93" s="59">
        <f t="shared" si="55"/>
        <v>765.50492756121764</v>
      </c>
      <c r="S93" s="59">
        <f ca="1">AVERAGE(OFFSET($R$3,0,0,'Données projet'!$E$9+1,1))-AVERAGE(OFFSET($H$3,0,0,'Données projet'!$E$9+1,1))</f>
        <v>251.05216782177348</v>
      </c>
      <c r="T93" s="59">
        <f t="shared" si="88"/>
        <v>247.96048911281406</v>
      </c>
      <c r="U93" s="15">
        <f>IF(ISNA(VLOOKUP(A93,'Données projet'!$A$35:$I$55,3,0)),0,VLOOKUP(A93,'Données projet'!$A$35:$I$55,3,0))</f>
        <v>17</v>
      </c>
      <c r="V93" s="15">
        <f>IF(ISNA(VLOOKUP(A93,'Données projet'!$A$35:$I$55,4,0)),0,VLOOKUP(A93,'Données projet'!$A$35:$I$55,4,0))</f>
        <v>249</v>
      </c>
      <c r="W93" s="16">
        <f>IF(ISNA(VLOOKUP(A93,'Données projet'!$A$35:$I$55,5,0)),0%,VLOOKUP(A93,'Données projet'!$A$35:$I$55,5,0)*VLOOKUP('Données projet'!$B$9,Paramètres!$A$1:$I$89,7,0))</f>
        <v>0.34400000000000003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108.63418064281269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108.63418064281269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-1.3567387213697657E-13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219.43439115440339</v>
      </c>
      <c r="AO93" s="59">
        <f t="shared" si="90"/>
        <v>217.8880462742099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101.27640338405475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101.27640338405475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279.89725537926205</v>
      </c>
      <c r="BJ93" s="59">
        <f t="shared" si="92"/>
        <v>276.69392352410654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127.88719929557702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127.88719929557702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251.05216782177348</v>
      </c>
      <c r="T94" s="59">
        <f t="shared" si="88"/>
        <v>247.96048911281406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106.50393062071467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106.50393062071467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-1.3567387213697657E-13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219.43439115440339</v>
      </c>
      <c r="AO94" s="59">
        <f t="shared" si="90"/>
        <v>217.8880462742099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99.290434886199961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99.290434886199961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279.89725537926205</v>
      </c>
      <c r="BJ94" s="59">
        <f t="shared" si="92"/>
        <v>276.69392352410654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125.37940932088011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125.37940932088011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251.05216782177348</v>
      </c>
      <c r="T95" s="59">
        <f t="shared" si="88"/>
        <v>247.96048911281406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104.41545350222577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104.41545350222577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-1.3567387213697657E-13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219.43439115440339</v>
      </c>
      <c r="AO95" s="59">
        <f t="shared" si="90"/>
        <v>217.8880462742099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97.34341001926694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97.34341001926694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279.89725537926205</v>
      </c>
      <c r="BJ95" s="59">
        <f t="shared" si="92"/>
        <v>276.69392352410654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122.92079557798617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122.92079557798617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251.05216782177348</v>
      </c>
      <c r="T96" s="59">
        <f t="shared" si="88"/>
        <v>247.96048911281406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102.36793014618517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102.36793014618517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-1.3567387213697657E-13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219.43439115440339</v>
      </c>
      <c r="AO96" s="59">
        <f t="shared" si="90"/>
        <v>217.8880462742099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95.434565122406568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95.434565122406568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279.89725537926205</v>
      </c>
      <c r="BJ96" s="59">
        <f t="shared" si="92"/>
        <v>276.69392352410654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120.51039375098406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120.51039375098406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251.05216782177348</v>
      </c>
      <c r="T97" s="59">
        <f t="shared" si="88"/>
        <v>247.96048911281406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100.3605574742906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100.3605574742906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-1.3567387213697657E-13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219.43439115440339</v>
      </c>
      <c r="AO97" s="59">
        <f t="shared" si="90"/>
        <v>217.8880462742099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93.563151509693199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93.563151509693199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279.89725537926205</v>
      </c>
      <c r="BJ97" s="59">
        <f t="shared" si="92"/>
        <v>276.69392352410654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118.14725843360954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118.14725843360954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251.05216782177348</v>
      </c>
      <c r="T98" s="59">
        <f t="shared" si="88"/>
        <v>247.96048911281406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98.392548156115453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98.392548156115453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-1.3567387213697657E-13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219.43439115440339</v>
      </c>
      <c r="AO98" s="59">
        <f t="shared" si="90"/>
        <v>217.8880462742099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91.728435176475557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91.728435176475557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279.89725537926205</v>
      </c>
      <c r="BJ98" s="59">
        <f t="shared" si="92"/>
        <v>276.69392352410654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115.8304627584385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115.8304627584385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251.05216782177348</v>
      </c>
      <c r="T99" s="59">
        <f t="shared" si="88"/>
        <v>247.96048911281406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96.463130300302566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96.463130300302566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-1.3567387213697657E-13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219.43439115440339</v>
      </c>
      <c r="AO99" s="59">
        <f t="shared" si="90"/>
        <v>217.8880462742099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89.929696511485844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89.929696511485844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279.89725537926205</v>
      </c>
      <c r="BJ99" s="59">
        <f t="shared" si="92"/>
        <v>276.69392352410654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113.55909803335173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113.55909803335173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251.05216782177348</v>
      </c>
      <c r="T100" s="59">
        <f t="shared" si="88"/>
        <v>247.96048911281406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94.571547151813476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94.571547151813476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-1.3567387213697657E-13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219.43439115440339</v>
      </c>
      <c r="AO100" s="59">
        <f t="shared" si="90"/>
        <v>217.8880462742099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88.166230014594319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88.166230014594319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279.89725537926205</v>
      </c>
      <c r="BJ100" s="59">
        <f t="shared" si="92"/>
        <v>276.69392352410654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111.33227338512823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111.33227338512823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251.05216782177348</v>
      </c>
      <c r="T101" s="59">
        <f t="shared" si="88"/>
        <v>247.96048911281406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92.717056795114459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92.717056795114459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-1.3567387213697657E-13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219.43439115440339</v>
      </c>
      <c r="AO101" s="59">
        <f t="shared" si="90"/>
        <v>217.8880462742099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86.437344020098479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86.437344020098479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279.89725537926205</v>
      </c>
      <c r="BJ101" s="59">
        <f t="shared" si="92"/>
        <v>276.69392352410654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109.14911541002748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109.14911541002748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251.05216782177348</v>
      </c>
      <c r="T102" s="59">
        <f t="shared" si="88"/>
        <v>247.96048911281406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90.898931863182881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90.898931863182881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-1.3567387213697657E-13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219.43439115440339</v>
      </c>
      <c r="AO102" s="59">
        <f t="shared" si="90"/>
        <v>217.8880462742099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84.742360425438378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84.742360425438378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279.89725537926205</v>
      </c>
      <c r="BJ102" s="59">
        <f t="shared" si="92"/>
        <v>276.69392352410654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107.00876783122357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107.00876783122357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251.05216782177348</v>
      </c>
      <c r="T103" s="59">
        <f t="shared" si="88"/>
        <v>247.96048911281406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89.116459252219769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89.116459252219769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-1.3567387213697657E-13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219.43439115440339</v>
      </c>
      <c r="AO103" s="59">
        <f t="shared" si="90"/>
        <v>217.8880462742099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83.080614425231644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83.080614425231644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279.89725537926205</v>
      </c>
      <c r="BJ103" s="59">
        <f t="shared" si="92"/>
        <v>276.69392352410654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104.91039116295688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104.91039116295688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251.05216782177348</v>
      </c>
      <c r="T104" s="59">
        <f t="shared" si="88"/>
        <v>247.96048911281406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87.368939841956703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87.368939841956703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-1.3567387213697657E-13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219.43439115440339</v>
      </c>
      <c r="AO104" s="59">
        <f t="shared" si="90"/>
        <v>217.8880462742099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81.451454250523994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81.451454250523994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279.89725537926205</v>
      </c>
      <c r="BJ104" s="59">
        <f t="shared" si="92"/>
        <v>276.69392352410654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102.85316238127152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102.85316238127152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251.05216782177348</v>
      </c>
      <c r="T105" s="59">
        <f t="shared" si="88"/>
        <v>247.96048911281406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85.655688221447306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85.655688221447306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-1.3567387213697657E-13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219.43439115440339</v>
      </c>
      <c r="AO105" s="59">
        <f t="shared" si="90"/>
        <v>217.8880462742099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79.854240913152765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79.854240913152765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279.89725537926205</v>
      </c>
      <c r="BJ105" s="59">
        <f t="shared" si="92"/>
        <v>276.69392352410654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100.83627460120934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100.83627460120934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251.05216782177348</v>
      </c>
      <c r="T106" s="59">
        <f t="shared" si="88"/>
        <v>247.96048911281406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83.976032420235796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83.976032420235796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-1.3567387213697657E-13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219.43439115440339</v>
      </c>
      <c r="AO106" s="59">
        <f t="shared" si="90"/>
        <v>217.8880462742099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78.288347955123456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78.288347955123456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279.89725537926205</v>
      </c>
      <c r="BJ106" s="59">
        <f t="shared" si="92"/>
        <v>276.69392352410654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98.858936760334103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98.858936760334103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251.05216782177348</v>
      </c>
      <c r="T107" s="59">
        <f t="shared" si="88"/>
        <v>247.96048911281406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82.329313644797168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82.329313644797168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-1.3567387213697657E-13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219.43439115440339</v>
      </c>
      <c r="AO107" s="59">
        <f t="shared" si="90"/>
        <v>217.8880462742099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76.753161202900699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76.753161202900699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279.89725537926205</v>
      </c>
      <c r="BJ107" s="59">
        <f t="shared" si="92"/>
        <v>276.69392352410654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96.920373308461436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96.920373308461436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251.05216782177348</v>
      </c>
      <c r="T108" s="59">
        <f t="shared" si="88"/>
        <v>247.96048911281406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80.714886020145613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80.714886020145613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-1.3567387213697657E-13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219.43439115440339</v>
      </c>
      <c r="AO108" s="59">
        <f t="shared" si="90"/>
        <v>217.8880462742099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75.248078526517574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75.248078526517574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279.89725537926205</v>
      </c>
      <c r="BJ108" s="59">
        <f t="shared" si="92"/>
        <v>276.69392352410654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95.019823903473039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95.019823903473039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251.05216782177348</v>
      </c>
      <c r="T109" s="59">
        <f t="shared" si="88"/>
        <v>247.96048911281406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79.132116336509853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79.132116336509853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-1.3567387213697657E-13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219.43439115440339</v>
      </c>
      <c r="AO109" s="59">
        <f t="shared" si="90"/>
        <v>217.8880462742099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73.772509603408537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73.772509603408537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279.89725537926205</v>
      </c>
      <c r="BJ109" s="59">
        <f t="shared" si="92"/>
        <v>276.69392352410654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93.156543113095793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93.156543113095793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251.05216782177348</v>
      </c>
      <c r="T110" s="59">
        <f t="shared" si="88"/>
        <v>247.96048911281406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77.580383800976009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77.580383800976009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-1.3567387213697657E-13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219.43439115440339</v>
      </c>
      <c r="AO110" s="59">
        <f t="shared" si="90"/>
        <v>217.8880462742099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72.325875686873488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72.325875686873488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279.89725537926205</v>
      </c>
      <c r="BJ110" s="59">
        <f t="shared" si="92"/>
        <v>276.69392352410654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91.329800122528781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91.329800122528781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251.05216782177348</v>
      </c>
      <c r="T111" s="59">
        <f t="shared" si="88"/>
        <v>247.96048911281406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76.059079794000596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76.059079794000596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-1.3567387213697657E-13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219.43439115440339</v>
      </c>
      <c r="AO111" s="59">
        <f t="shared" si="90"/>
        <v>217.8880462742099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70.907609379082132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70.907609379082132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279.89725537926205</v>
      </c>
      <c r="BJ111" s="59">
        <f t="shared" si="92"/>
        <v>276.69392352410654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89.538878447803583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89.538878447803583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251.05216782177348</v>
      </c>
      <c r="T112" s="59">
        <f t="shared" si="88"/>
        <v>247.96048911281406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74.567607630698149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74.567607630698149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-1.3567387213697657E-13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219.43439115440339</v>
      </c>
      <c r="AO112" s="59">
        <f t="shared" si="90"/>
        <v>217.8880462742099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69.517154408529535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69.517154408529535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279.89725537926205</v>
      </c>
      <c r="BJ112" s="59">
        <f t="shared" si="92"/>
        <v>276.69392352410654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87.783075654765383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87.783075654765383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251.05216782177348</v>
      </c>
      <c r="T113" s="59">
        <f t="shared" si="88"/>
        <v>247.96048911281406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73.10538232680986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73.10538232680986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-1.3567387213697657E-13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219.43439115440339</v>
      </c>
      <c r="AO113" s="59">
        <f t="shared" si="90"/>
        <v>217.8880462742099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68.15396541185568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68.15396541185568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279.89725537926205</v>
      </c>
      <c r="BJ113" s="59">
        <f t="shared" si="92"/>
        <v>276.69392352410654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86.061703083564709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86.061703083564709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251.05216782177348</v>
      </c>
      <c r="T114" s="59">
        <f t="shared" si="88"/>
        <v>247.96048911281406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71.671830369261457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71.671830369261457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-1.3567387213697657E-13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219.43439115440339</v>
      </c>
      <c r="AO114" s="59">
        <f t="shared" si="90"/>
        <v>217.8880462742099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66.817507719943407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66.817507719943407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279.89725537926205</v>
      </c>
      <c r="BJ114" s="59">
        <f t="shared" si="92"/>
        <v>276.69392352410654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84.374085578551686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84.374085578551686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251.05216782177348</v>
      </c>
      <c r="T115" s="59">
        <f t="shared" si="88"/>
        <v>247.96048911281406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70.266389491220224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70.266389491220224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-1.3567387213697657E-13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219.43439115440339</v>
      </c>
      <c r="AO115" s="59">
        <f t="shared" si="90"/>
        <v>217.8880462742099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65.50725714821084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65.50725714821084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279.89725537926205</v>
      </c>
      <c r="BJ115" s="59">
        <f t="shared" si="92"/>
        <v>276.69392352410654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82.719561223466926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82.719561223466926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251.05216782177348</v>
      </c>
      <c r="T116" s="59">
        <f t="shared" si="88"/>
        <v>247.96048911281406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68.888508451563084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68.888508451563084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-1.3567387213697657E-13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219.43439115440339</v>
      </c>
      <c r="AO116" s="59">
        <f t="shared" si="90"/>
        <v>217.8880462742099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64.222699791016012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64.222699791016012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279.89725537926205</v>
      </c>
      <c r="BJ116" s="59">
        <f t="shared" si="92"/>
        <v>276.69392352410654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81.097481081825165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81.097481081825165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251.05216782177348</v>
      </c>
      <c r="T117" s="59">
        <f t="shared" si="88"/>
        <v>247.96048911281406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67.537646818669174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67.537646818669174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-1.3567387213697657E-13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219.43439115440339</v>
      </c>
      <c r="AO117" s="59">
        <f t="shared" si="90"/>
        <v>217.8880462742099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62.963331820093146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62.963331820093146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279.89725537926205</v>
      </c>
      <c r="BJ117" s="59">
        <f t="shared" si="92"/>
        <v>276.69392352410654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79.507208942389809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79.507208942389809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251.05216782177348</v>
      </c>
      <c r="T118" s="59">
        <f t="shared" si="88"/>
        <v>247.96048911281406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66.213274758452073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66.213274758452073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-1.3567387213697657E-13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219.43439115440339</v>
      </c>
      <c r="AO118" s="59">
        <f t="shared" si="90"/>
        <v>217.8880462742099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61.728659286941465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61.728659286941465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279.89725537926205</v>
      </c>
      <c r="BJ118" s="59">
        <f t="shared" si="92"/>
        <v>276.69392352410654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77.94812106963856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77.94812106963856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251.05216782177348</v>
      </c>
      <c r="T119" s="59">
        <f t="shared" si="88"/>
        <v>247.96048911281406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64.914872826548631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64.914872826548631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-1.3567387213697657E-13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219.43439115440339</v>
      </c>
      <c r="AO119" s="59">
        <f t="shared" si="90"/>
        <v>217.8880462742099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60.518197929089006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60.518197929089006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279.89725537926205</v>
      </c>
      <c r="BJ119" s="59">
        <f t="shared" si="92"/>
        <v>276.69392352410654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76.419605959122251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76.419605959122251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251.05216782177348</v>
      </c>
      <c r="T120" s="59">
        <f t="shared" si="88"/>
        <v>247.96048911281406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63.641931764582836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63.641931764582836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-1.3567387213697657E-13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219.43439115440339</v>
      </c>
      <c r="AO120" s="59">
        <f t="shared" si="90"/>
        <v>217.8880462742099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59.331472980155503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59.331472980155503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279.89725537926205</v>
      </c>
      <c r="BJ120" s="59">
        <f t="shared" si="92"/>
        <v>276.69392352410654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74.921064097621013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74.921064097621013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251.05216782177348</v>
      </c>
      <c r="T121" s="59">
        <f t="shared" si="88"/>
        <v>247.96048911281406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62.393952300424807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62.393952300424807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-1.3567387213697657E-13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219.43439115440339</v>
      </c>
      <c r="AO121" s="59">
        <f t="shared" si="90"/>
        <v>217.8880462742099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58.16801898363984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58.16801898363984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279.89725537926205</v>
      </c>
      <c r="BJ121" s="59">
        <f t="shared" si="92"/>
        <v>276.69392352410654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73.451907728003533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73.451907728003533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251.05216782177348</v>
      </c>
      <c r="T122" s="59">
        <f t="shared" si="88"/>
        <v>247.96048911281406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61.170444952366609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61.170444952366609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-1.3567387213697657E-13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219.43439115440339</v>
      </c>
      <c r="AO122" s="59">
        <f t="shared" si="90"/>
        <v>217.8880462742099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57.027379610358985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57.027379610358985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279.89725537926205</v>
      </c>
      <c r="BJ122" s="59">
        <f t="shared" si="92"/>
        <v>276.69392352410654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72.011560618697345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72.011560618697345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251.05216782177348</v>
      </c>
      <c r="T123" s="59">
        <f t="shared" si="88"/>
        <v>247.96048911281406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59.970929837138037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59.970929837138037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-1.3567387213697657E-13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219.43439115440339</v>
      </c>
      <c r="AO123" s="59">
        <f t="shared" si="90"/>
        <v>217.8880462742099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55.909107479466847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55.909107479466847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279.89725537926205</v>
      </c>
      <c r="BJ123" s="59">
        <f t="shared" si="92"/>
        <v>276.69392352410654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70.599457837679665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70.599457837679665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251.05216782177348</v>
      </c>
      <c r="T124" s="59">
        <f t="shared" si="88"/>
        <v>247.96048911281406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58.794936481687117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58.794936481687117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-1.3567387213697657E-13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219.43439115440339</v>
      </c>
      <c r="AO124" s="59">
        <f t="shared" si="90"/>
        <v>217.8880462742099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54.812763982982851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54.812763982982851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279.89725537926205</v>
      </c>
      <c r="BJ124" s="59">
        <f t="shared" si="92"/>
        <v>276.69392352410654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69.215045530900085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69.215045530900085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251.05216782177348</v>
      </c>
      <c r="T125" s="59">
        <f t="shared" si="88"/>
        <v>247.96048911281406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57.642003638651467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57.642003638651467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-1.3567387213697657E-13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219.43439115440339</v>
      </c>
      <c r="AO125" s="59">
        <f t="shared" si="90"/>
        <v>217.8880462742099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53.7379191137614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53.7379191137614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279.89725537926205</v>
      </c>
      <c r="BJ125" s="59">
        <f t="shared" si="92"/>
        <v>276.69392352410654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67.857780705048327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67.857780705048327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251.05216782177348</v>
      </c>
      <c r="T126" s="59">
        <f t="shared" si="88"/>
        <v>247.96048911281406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56.511679105448152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56.511679105448152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-1.3567387213697657E-13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219.43439115440339</v>
      </c>
      <c r="AO126" s="59">
        <f t="shared" si="90"/>
        <v>217.8880462742099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52.684151296834749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52.684151296834749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279.89725537926205</v>
      </c>
      <c r="BJ126" s="59">
        <f t="shared" si="92"/>
        <v>276.69392352410654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66.527131014581713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66.527131014581713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251.05216782177348</v>
      </c>
      <c r="T127" s="59">
        <f t="shared" si="88"/>
        <v>247.96048911281406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55.403519546911063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55.403519546911063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-1.3567387213697657E-13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219.43439115440339</v>
      </c>
      <c r="AO127" s="59">
        <f t="shared" si="90"/>
        <v>217.8880462742099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51.651047224063127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51.651047224063127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279.89725537926205</v>
      </c>
      <c r="BJ127" s="59">
        <f t="shared" si="92"/>
        <v>276.69392352410654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65.22257455292899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65.22257455292899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251.05216782177348</v>
      </c>
      <c r="T128" s="59">
        <f t="shared" si="88"/>
        <v>247.96048911281406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54.317090321406297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54.317090321406297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-1.3567387213697657E-13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219.43439115440339</v>
      </c>
      <c r="AO128" s="59">
        <f t="shared" si="90"/>
        <v>217.8880462742099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50.638201692027295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50.638201692027295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279.89725537926205</v>
      </c>
      <c r="BJ128" s="59">
        <f t="shared" si="92"/>
        <v>276.69392352410654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63.943599647788396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63.943599647788396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251.05216782177348</v>
      </c>
      <c r="T129" s="59">
        <f t="shared" si="88"/>
        <v>247.96048911281406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53.251965310357285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53.251965310357285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-1.3567387213697657E-13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219.43439115440339</v>
      </c>
      <c r="AO129" s="59">
        <f t="shared" si="90"/>
        <v>217.8880462742099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49.645217443099909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49.645217443099909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279.89725537926205</v>
      </c>
      <c r="BJ129" s="59">
        <f t="shared" si="92"/>
        <v>276.69392352410654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62.689704660439951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62.689704660439951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251.05216782177348</v>
      </c>
      <c r="T130" s="59">
        <f t="shared" si="88"/>
        <v>247.96048911281406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52.207726751112837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52.207726751112837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-1.3567387213697657E-13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219.43439115440339</v>
      </c>
      <c r="AO130" s="59">
        <f t="shared" si="90"/>
        <v>217.8880462742099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48.671705009633399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48.671705009633399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279.89725537926205</v>
      </c>
      <c r="BJ130" s="59">
        <f t="shared" si="92"/>
        <v>276.69392352410654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61.460397788992978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61.460397788992978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251.05216782177348</v>
      </c>
      <c r="T131" s="59">
        <f t="shared" si="88"/>
        <v>247.96048911281406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51.183965073092544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51.183965073092544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-1.3567387213697657E-13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219.43439115440339</v>
      </c>
      <c r="AO131" s="59">
        <f t="shared" si="90"/>
        <v>217.8880462742099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47.717282561203213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47.717282561203213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279.89725537926205</v>
      </c>
      <c r="BJ131" s="59">
        <f t="shared" si="92"/>
        <v>276.69392352410654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60.255196875491926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60.255196875491926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251.05216782177348</v>
      </c>
      <c r="T132" s="59">
        <f t="shared" si="88"/>
        <v>247.96048911281406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50.180278737145258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50.180278737145258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-1.3567387213697657E-13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219.43439115440339</v>
      </c>
      <c r="AO132" s="59">
        <f t="shared" si="90"/>
        <v>217.8880462742099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46.781575754846536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46.781575754846536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279.89725537926205</v>
      </c>
      <c r="BJ132" s="59">
        <f t="shared" si="92"/>
        <v>276.69392352410654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59.073629216804662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59.073629216804662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251.05216782177348</v>
      </c>
      <c r="T133" s="59">
        <f t="shared" ref="T133:T196" si="142">$T$3</f>
        <v>247.96048911281406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49.196274078057684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49.196274078057684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-1.3567387213697657E-13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219.43439115440339</v>
      </c>
      <c r="AO133" s="59">
        <f t="shared" ref="AO133:AO196" si="144">$AO$3</f>
        <v>217.8880462742099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45.864217588237715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45.864217588237715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279.89725537926205</v>
      </c>
      <c r="BJ133" s="59">
        <f t="shared" ref="BJ133:BJ196" si="146">$BJ$3</f>
        <v>276.69392352410654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57.915231379219144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57.915231379219144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251.05216782177348</v>
      </c>
      <c r="T134" s="59">
        <f t="shared" si="142"/>
        <v>247.96048911281406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48.231565150151241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48.231565150151241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-1.3567387213697657E-13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219.43439115440339</v>
      </c>
      <c r="AO134" s="59">
        <f t="shared" si="144"/>
        <v>217.8880462742099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44.964848255742858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44.964848255742858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279.89725537926205</v>
      </c>
      <c r="BJ134" s="59">
        <f t="shared" si="146"/>
        <v>276.69392352410654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56.779549016675766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56.779549016675766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251.05216782177348</v>
      </c>
      <c r="T135" s="59">
        <f t="shared" si="142"/>
        <v>247.96048911281406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47.285773575906695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47.285773575906695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-1.3567387213697657E-13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219.43439115440339</v>
      </c>
      <c r="AO135" s="59">
        <f t="shared" si="144"/>
        <v>217.8880462742099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44.083115007297096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44.083115007297096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279.89725537926205</v>
      </c>
      <c r="BJ135" s="59">
        <f t="shared" si="146"/>
        <v>276.69392352410654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55.666136692564017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55.666136692564017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251.05216782177348</v>
      </c>
      <c r="T136" s="59">
        <f t="shared" si="142"/>
        <v>247.96048911281406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46.358528397557187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46.358528397557187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-1.3567387213697657E-13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219.43439115440339</v>
      </c>
      <c r="AO136" s="59">
        <f t="shared" si="144"/>
        <v>217.8880462742099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43.218672010049183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43.218672010049183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279.89725537926205</v>
      </c>
      <c r="BJ136" s="59">
        <f t="shared" si="146"/>
        <v>276.69392352410654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54.574557705013639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54.574557705013639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251.05216782177348</v>
      </c>
      <c r="T137" s="59">
        <f t="shared" si="142"/>
        <v>247.96048911281406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45.449465931591398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45.449465931591398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-1.3567387213697657E-13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219.43439115440339</v>
      </c>
      <c r="AO137" s="59">
        <f t="shared" si="144"/>
        <v>217.8880462742099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42.371180212719132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42.371180212719132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279.89725537926205</v>
      </c>
      <c r="BJ137" s="59">
        <f t="shared" si="146"/>
        <v>276.69392352410654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53.504383915611683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53.504383915611683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251.05216782177348</v>
      </c>
      <c r="T138" s="59">
        <f t="shared" si="142"/>
        <v>247.96048911281406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44.558229626109842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44.558229626109842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-1.3567387213697657E-13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219.43439115440339</v>
      </c>
      <c r="AO138" s="59">
        <f t="shared" si="144"/>
        <v>217.8880462742099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41.540307212615772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41.540307212615772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279.89725537926205</v>
      </c>
      <c r="BJ138" s="59">
        <f t="shared" si="146"/>
        <v>276.69392352410654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52.455195581478343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52.455195581478343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251.05216782177348</v>
      </c>
      <c r="T139" s="59">
        <f t="shared" si="142"/>
        <v>247.96048911281406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43.684469920978309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43.684469920978309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-1.3567387213697657E-13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219.43439115440339</v>
      </c>
      <c r="AO139" s="59">
        <f t="shared" si="144"/>
        <v>217.8880462742099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40.725727125261947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40.725727125261947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279.89725537926205</v>
      </c>
      <c r="BJ139" s="59">
        <f t="shared" si="146"/>
        <v>276.69392352410654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51.426581190635659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51.426581190635659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251.05216782177348</v>
      </c>
      <c r="T140" s="59">
        <f t="shared" si="142"/>
        <v>247.96048911281406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42.827844110723611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42.827844110723611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-1.3567387213697657E-13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219.43439115440339</v>
      </c>
      <c r="AO140" s="59">
        <f t="shared" si="144"/>
        <v>217.8880462742099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39.92712045657634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39.92712045657634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279.89725537926205</v>
      </c>
      <c r="BJ140" s="59">
        <f t="shared" si="146"/>
        <v>276.69392352410654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50.418137300604577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50.418137300604577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251.05216782177348</v>
      </c>
      <c r="T141" s="59">
        <f t="shared" si="142"/>
        <v>247.96048911281406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41.988016210117856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41.988016210117856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-1.3567387213697657E-13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219.43439115440339</v>
      </c>
      <c r="AO141" s="59">
        <f t="shared" si="144"/>
        <v>217.8880462742099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39.144173977561685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39.144173977561685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279.89725537926205</v>
      </c>
      <c r="BJ141" s="59">
        <f t="shared" si="146"/>
        <v>276.69392352410654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49.429468380166966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49.429468380166966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251.05216782177348</v>
      </c>
      <c r="T142" s="59">
        <f t="shared" si="142"/>
        <v>247.96048911281406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41.164656822398541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41.164656822398541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-1.3567387213697657E-13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219.43439115440339</v>
      </c>
      <c r="AO142" s="59">
        <f t="shared" si="144"/>
        <v>217.8880462742099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38.376580601450307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38.376580601450307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279.89725537926205</v>
      </c>
      <c r="BJ142" s="59">
        <f t="shared" si="146"/>
        <v>276.69392352410654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48.46018665423064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48.46018665423064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251.05216782177348</v>
      </c>
      <c r="T143" s="59">
        <f t="shared" si="142"/>
        <v>247.96048911281406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40.357443010072764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40.357443010072764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-1.3567387213697657E-13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219.43439115440339</v>
      </c>
      <c r="AO143" s="59">
        <f t="shared" si="144"/>
        <v>217.8880462742099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37.624039263258744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37.624039263258744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279.89725537926205</v>
      </c>
      <c r="BJ143" s="59">
        <f t="shared" si="146"/>
        <v>276.69392352410654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47.509911951736449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47.509911951736449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251.05216782177348</v>
      </c>
      <c r="T144" s="59">
        <f t="shared" si="142"/>
        <v>247.96048911281406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39.566058168254884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39.566058168254884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-1.3567387213697657E-13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219.43439115440339</v>
      </c>
      <c r="AO144" s="59">
        <f t="shared" si="144"/>
        <v>217.8880462742099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36.886254801704226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36.886254801704226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279.89725537926205</v>
      </c>
      <c r="BJ144" s="59">
        <f t="shared" si="146"/>
        <v>276.69392352410654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46.578271556547833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46.578271556547833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251.05216782177348</v>
      </c>
      <c r="T145" s="59">
        <f t="shared" si="142"/>
        <v>247.96048911281406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38.790191900487962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38.790191900487962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-1.3567387213697657E-13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219.43439115440339</v>
      </c>
      <c r="AO145" s="59">
        <f t="shared" si="144"/>
        <v>217.8880462742099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36.162937843436701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36.162937843436701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279.89725537926205</v>
      </c>
      <c r="BJ145" s="59">
        <f t="shared" si="146"/>
        <v>276.69392352410654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45.664900061264333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45.664900061264333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251.05216782177348</v>
      </c>
      <c r="T146" s="59">
        <f t="shared" si="142"/>
        <v>247.96048911281406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38.029539897000255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38.029539897000255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-1.3567387213697657E-13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219.43439115440339</v>
      </c>
      <c r="AO146" s="59">
        <f t="shared" si="144"/>
        <v>217.8880462742099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35.453804689541023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35.453804689541023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279.89725537926205</v>
      </c>
      <c r="BJ146" s="59">
        <f t="shared" si="146"/>
        <v>276.69392352410654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44.769439223901735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44.769439223901735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251.05216782177348</v>
      </c>
      <c r="T147" s="59">
        <f t="shared" si="142"/>
        <v>247.96048911281406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37.283803815349032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37.283803815349032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-1.3567387213697657E-13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219.43439115440339</v>
      </c>
      <c r="AO147" s="59">
        <f t="shared" si="144"/>
        <v>217.8880462742099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34.758577204264725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34.758577204264725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279.89725537926205</v>
      </c>
      <c r="BJ147" s="59">
        <f t="shared" si="146"/>
        <v>276.69392352410654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43.891537827382642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43.891537827382642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251.05216782177348</v>
      </c>
      <c r="T148" s="59">
        <f t="shared" si="142"/>
        <v>247.96048911281406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36.552691163404887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36.552691163404887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-1.3567387213697657E-13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219.43439115440339</v>
      </c>
      <c r="AO148" s="59">
        <f t="shared" si="144"/>
        <v>217.8880462742099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34.076982705927797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34.076982705927797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279.89725537926205</v>
      </c>
      <c r="BJ148" s="59">
        <f t="shared" si="146"/>
        <v>276.69392352410654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43.030851541782305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43.030851541782305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251.05216782177348</v>
      </c>
      <c r="T149" s="59">
        <f t="shared" si="142"/>
        <v>247.96048911281406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35.835915184630686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35.835915184630686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-1.3567387213697657E-13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219.43439115440339</v>
      </c>
      <c r="AO149" s="59">
        <f t="shared" si="144"/>
        <v>217.8880462742099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33.408753859971668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33.408753859971668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279.89725537926205</v>
      </c>
      <c r="BJ149" s="59">
        <f t="shared" si="146"/>
        <v>276.69392352410654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42.187042789275793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42.187042789275793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251.05216782177348</v>
      </c>
      <c r="T150" s="59">
        <f t="shared" si="142"/>
        <v>247.96048911281406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35.133194745610069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35.133194745610069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-1.3567387213697657E-13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219.43439115440339</v>
      </c>
      <c r="AO150" s="59">
        <f t="shared" si="144"/>
        <v>217.8880462742099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32.753628574105385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32.753628574105385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279.89725537926205</v>
      </c>
      <c r="BJ150" s="59">
        <f t="shared" si="146"/>
        <v>276.69392352410654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41.359780611733413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41.359780611733413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251.05216782177348</v>
      </c>
      <c r="T151" s="59">
        <f t="shared" si="142"/>
        <v>247.96048911281406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34.444254225781499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34.444254225781499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-1.3567387213697657E-13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219.43439115440339</v>
      </c>
      <c r="AO151" s="59">
        <f t="shared" si="144"/>
        <v>217.8880462742099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32.111349895507971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32.111349895507971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279.89725537926205</v>
      </c>
      <c r="BJ151" s="59">
        <f t="shared" si="146"/>
        <v>276.69392352410654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40.54874054091254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40.54874054091254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251.05216782177348</v>
      </c>
      <c r="T152" s="59">
        <f t="shared" si="142"/>
        <v>247.96048911281406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33.768823409334544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33.768823409334544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-1.3567387213697657E-13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219.43439115440339</v>
      </c>
      <c r="AO152" s="59">
        <f t="shared" si="144"/>
        <v>217.8880462742099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31.481665910046541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31.481665910046541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279.89725537926205</v>
      </c>
      <c r="BJ152" s="59">
        <f t="shared" si="146"/>
        <v>276.69392352410654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39.753604471194862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39.753604471194862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251.05216782177348</v>
      </c>
      <c r="T153" s="59">
        <f t="shared" si="142"/>
        <v>247.96048911281406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33.106637379225994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33.106637379225994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-1.3567387213697657E-13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219.43439115440339</v>
      </c>
      <c r="AO153" s="59">
        <f t="shared" si="144"/>
        <v>217.8880462742099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30.8643296434707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30.8643296434707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279.89725537926205</v>
      </c>
      <c r="BJ153" s="59">
        <f t="shared" si="146"/>
        <v>276.69392352410654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38.974060534819237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38.974060534819237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251.05216782177348</v>
      </c>
      <c r="T154" s="59">
        <f t="shared" si="142"/>
        <v>247.96048911281406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32.457436413274273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32.457436413274273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-1.3567387213697657E-13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219.43439115440339</v>
      </c>
      <c r="AO154" s="59">
        <f t="shared" si="144"/>
        <v>217.8880462742099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30.259098964544471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30.259098964544471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279.89725537926205</v>
      </c>
      <c r="BJ154" s="59">
        <f t="shared" si="146"/>
        <v>276.69392352410654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38.209802979561083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38.209802979561083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251.05216782177348</v>
      </c>
      <c r="T155" s="59">
        <f t="shared" si="142"/>
        <v>247.96048911281406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31.820965882291379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31.820965882291379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-1.3567387213697657E-13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219.43439115440339</v>
      </c>
      <c r="AO155" s="59">
        <f t="shared" si="144"/>
        <v>217.8880462742099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29.66573649007772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29.66573649007772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279.89725537926205</v>
      </c>
      <c r="BJ155" s="59">
        <f t="shared" si="146"/>
        <v>276.69392352410654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37.460532048810464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37.460532048810464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251.05216782177348</v>
      </c>
      <c r="T156" s="59">
        <f t="shared" si="142"/>
        <v>247.96048911281406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31.196976150212365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31.196976150212365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-1.3567387213697657E-13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219.43439115440339</v>
      </c>
      <c r="AO156" s="59">
        <f t="shared" si="144"/>
        <v>217.8880462742099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29.084009491819888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29.084009491819888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279.89725537926205</v>
      </c>
      <c r="BJ156" s="59">
        <f t="shared" si="146"/>
        <v>276.69392352410654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36.725953864001724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36.725953864001724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251.05216782177348</v>
      </c>
      <c r="T157" s="59">
        <f t="shared" si="142"/>
        <v>247.96048911281406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30.585222476183265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30.585222476183265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-1.3567387213697657E-13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219.43439115440339</v>
      </c>
      <c r="AO157" s="59">
        <f t="shared" si="144"/>
        <v>217.8880462742099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28.51368980517946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28.51368980517946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279.89725537926205</v>
      </c>
      <c r="BJ157" s="59">
        <f t="shared" si="146"/>
        <v>276.69392352410654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36.00578030934863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36.00578030934863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251.05216782177348</v>
      </c>
      <c r="T158" s="59">
        <f t="shared" si="142"/>
        <v>247.96048911281406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29.985464918568979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29.985464918568979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-1.3567387213697657E-13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219.43439115440339</v>
      </c>
      <c r="AO158" s="59">
        <f t="shared" si="144"/>
        <v>217.8880462742099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27.954553739733392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27.954553739733392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279.89725537926205</v>
      </c>
      <c r="BJ158" s="59">
        <f t="shared" si="146"/>
        <v>276.69392352410654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35.29972891883979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35.29972891883979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251.05216782177348</v>
      </c>
      <c r="T159" s="59">
        <f t="shared" si="142"/>
        <v>247.96048911281406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29.397468240843519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29.397468240843519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-1.3567387213697657E-13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219.43439115440339</v>
      </c>
      <c r="AO159" s="59">
        <f t="shared" si="144"/>
        <v>217.8880462742099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27.406381991491394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27.406381991491394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279.89725537926205</v>
      </c>
      <c r="BJ159" s="59">
        <f t="shared" si="146"/>
        <v>276.69392352410654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34.60752276545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34.60752276545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251.05216782177348</v>
      </c>
      <c r="T160" s="59">
        <f t="shared" si="142"/>
        <v>247.96048911281406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28.821001819325698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28.821001819325698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-1.3567387213697657E-13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219.43439115440339</v>
      </c>
      <c r="AO160" s="59">
        <f t="shared" si="144"/>
        <v>217.8880462742099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26.868959556880672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26.868959556880672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279.89725537926205</v>
      </c>
      <c r="BJ160" s="59">
        <f t="shared" si="146"/>
        <v>276.69392352410654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33.928890352524121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33.928890352524121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251.05216782177348</v>
      </c>
      <c r="T161" s="59">
        <f t="shared" si="142"/>
        <v>247.96048911281406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28.255839552724041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28.255839552724041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-1.3567387213697657E-13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219.43439115440339</v>
      </c>
      <c r="AO161" s="59">
        <f t="shared" si="144"/>
        <v>217.8880462742099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26.342075648417346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26.342075648417346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279.89725537926205</v>
      </c>
      <c r="BJ161" s="59">
        <f t="shared" si="146"/>
        <v>276.69392352410654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33.263565507290821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33.263565507290821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251.05216782177348</v>
      </c>
      <c r="T162" s="59">
        <f t="shared" si="142"/>
        <v>247.96048911281406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27.701759773455496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27.701759773455496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-1.3567387213697657E-13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219.43439115440339</v>
      </c>
      <c r="AO162" s="59">
        <f t="shared" si="144"/>
        <v>217.8880462742099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25.825523612031535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25.825523612031535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279.89725537926205</v>
      </c>
      <c r="BJ162" s="59">
        <f t="shared" si="146"/>
        <v>276.69392352410654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32.611287276464459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32.611287276464459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251.05216782177348</v>
      </c>
      <c r="T163" s="59">
        <f t="shared" si="142"/>
        <v>247.96048911281406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27.158545160703113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27.158545160703113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-1.3567387213697657E-13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219.43439115440339</v>
      </c>
      <c r="AO163" s="59">
        <f t="shared" si="144"/>
        <v>217.8880462742099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25.319100846013619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25.319100846013619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279.89725537926205</v>
      </c>
      <c r="BJ163" s="59">
        <f t="shared" si="146"/>
        <v>276.69392352410654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31.971799823894166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31.971799823894166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251.05216782177348</v>
      </c>
      <c r="T164" s="59">
        <f t="shared" si="142"/>
        <v>247.96048911281406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26.625982655178607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26.625982655178607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-1.3567387213697657E-13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219.43439115440339</v>
      </c>
      <c r="AO164" s="59">
        <f t="shared" si="144"/>
        <v>217.8880462742099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24.822608721549926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24.822608721549926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279.89725537926205</v>
      </c>
      <c r="BJ164" s="59">
        <f t="shared" si="146"/>
        <v>276.69392352410654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31.344852330219943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31.344852330219943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251.05216782177348</v>
      </c>
      <c r="T165" s="59">
        <f t="shared" si="142"/>
        <v>247.96048911281406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26.103863375556383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26.103863375556383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-1.3567387213697657E-13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219.43439115440339</v>
      </c>
      <c r="AO165" s="59">
        <f t="shared" si="144"/>
        <v>217.8880462742099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24.335852504816671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24.335852504816671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279.89725537926205</v>
      </c>
      <c r="BJ165" s="59">
        <f t="shared" si="146"/>
        <v>276.69392352410654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30.730198894496461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30.730198894496461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251.05216782177348</v>
      </c>
      <c r="T166" s="59">
        <f t="shared" si="142"/>
        <v>247.96048911281406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25.591982536546237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25.591982536546237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-1.3567387213697657E-13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219.43439115440339</v>
      </c>
      <c r="AO166" s="59">
        <f t="shared" si="144"/>
        <v>217.8880462742099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23.858641280601582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23.858641280601582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279.89725537926205</v>
      </c>
      <c r="BJ166" s="59">
        <f t="shared" si="146"/>
        <v>276.69392352410654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30.127598437745938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30.127598437745938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251.05216782177348</v>
      </c>
      <c r="T167" s="59">
        <f t="shared" si="142"/>
        <v>247.96048911281406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25.090139368572597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25.090139368572597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-1.3567387213697657E-13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219.43439115440339</v>
      </c>
      <c r="AO167" s="59">
        <f t="shared" si="144"/>
        <v>217.8880462742099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23.390787877423243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23.390787877423243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279.89725537926205</v>
      </c>
      <c r="BJ167" s="59">
        <f t="shared" si="146"/>
        <v>276.69392352410654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29.536814608402306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29.536814608402306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251.05216782177348</v>
      </c>
      <c r="T168" s="59">
        <f t="shared" si="142"/>
        <v>247.96048911281406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24.59813703902881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24.59813703902881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-1.3567387213697657E-13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219.43439115440339</v>
      </c>
      <c r="AO168" s="59">
        <f t="shared" si="144"/>
        <v>217.8880462742099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22.932108794118832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22.932108794118832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279.89725537926205</v>
      </c>
      <c r="BJ168" s="59">
        <f t="shared" si="146"/>
        <v>276.69392352410654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28.957615689609547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28.957615689609547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251.05216782177348</v>
      </c>
      <c r="T169" s="59">
        <f t="shared" si="142"/>
        <v>247.96048911281406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24.115782575075588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24.115782575075588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-1.3567387213697657E-13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219.43439115440339</v>
      </c>
      <c r="AO169" s="59">
        <f t="shared" si="144"/>
        <v>217.8880462742099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22.482424127871404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22.482424127871404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279.89725537926205</v>
      </c>
      <c r="BJ169" s="59">
        <f t="shared" si="146"/>
        <v>276.69392352410654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28.389774508337858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28.389774508337858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251.05216782177348</v>
      </c>
      <c r="T170" s="59">
        <f t="shared" si="142"/>
        <v>247.96048911281406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23.642886787953316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23.642886787953316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-1.3567387213697657E-13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219.43439115440339</v>
      </c>
      <c r="AO170" s="59">
        <f t="shared" si="144"/>
        <v>217.8880462742099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22.041557503648527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22.041557503648527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279.89725537926205</v>
      </c>
      <c r="BJ170" s="59">
        <f t="shared" si="146"/>
        <v>276.69392352410654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27.833068346281983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27.833068346281983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251.05216782177348</v>
      </c>
      <c r="T171" s="59">
        <f t="shared" si="142"/>
        <v>247.96048911281406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23.179264198778561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23.179264198778561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-1.3567387213697657E-13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219.43439115440339</v>
      </c>
      <c r="AO171" s="59">
        <f t="shared" si="144"/>
        <v>217.8880462742099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21.60933600502457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21.60933600502457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279.89725537926205</v>
      </c>
      <c r="BJ171" s="59">
        <f t="shared" si="146"/>
        <v>276.69392352410654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27.287278852506795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27.287278852506795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251.05216782177348</v>
      </c>
      <c r="T172" s="59">
        <f t="shared" si="142"/>
        <v>247.96048911281406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22.724732965795667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22.724732965795667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-1.3567387213697657E-13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219.43439115440339</v>
      </c>
      <c r="AO172" s="59">
        <f t="shared" si="144"/>
        <v>217.8880462742099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21.185590106359545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21.185590106359545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279.89725537926205</v>
      </c>
      <c r="BJ172" s="59">
        <f t="shared" si="146"/>
        <v>276.69392352410654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26.752191957805817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26.752191957805817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251.05216782177348</v>
      </c>
      <c r="T173" s="59">
        <f t="shared" si="142"/>
        <v>247.96048911281406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22.279114813054889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22.279114813054889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-1.3567387213697657E-13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219.43439115440339</v>
      </c>
      <c r="AO173" s="59">
        <f t="shared" si="144"/>
        <v>217.8880462742099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20.770153606307865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20.770153606307865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279.89725537926205</v>
      </c>
      <c r="BJ173" s="59">
        <f t="shared" si="146"/>
        <v>276.69392352410654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26.227597790739146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26.227597790739146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251.05216782177348</v>
      </c>
      <c r="T174" s="59">
        <f t="shared" si="142"/>
        <v>247.96048911281406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21.842234960489126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21.842234960489126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-1.3567387213697657E-13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219.43439115440339</v>
      </c>
      <c r="AO174" s="59">
        <f t="shared" si="144"/>
        <v>217.8880462742099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20.362863562630952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20.362863562630952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279.89725537926205</v>
      </c>
      <c r="BJ174" s="59">
        <f t="shared" si="146"/>
        <v>276.69392352410654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25.713290595317808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25.713290595317808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251.05216782177348</v>
      </c>
      <c r="T175" s="59">
        <f t="shared" si="142"/>
        <v>247.96048911281406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21.413922055361777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21.413922055361777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-1.3567387213697657E-13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219.43439115440339</v>
      </c>
      <c r="AO175" s="59">
        <f t="shared" si="144"/>
        <v>217.8880462742099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19.963560228288149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19.963560228288149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279.89725537926205</v>
      </c>
      <c r="BJ175" s="59">
        <f t="shared" si="146"/>
        <v>276.69392352410654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25.209068650302267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25.209068650302267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251.05216782177348</v>
      </c>
      <c r="T176" s="59">
        <f t="shared" si="142"/>
        <v>247.96048911281406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20.994008105058899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20.994008105058899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-1.3567387213697657E-13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219.43439115440339</v>
      </c>
      <c r="AO176" s="59">
        <f t="shared" si="144"/>
        <v>217.8880462742099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19.572086988780821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19.572086988780821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279.89725537926205</v>
      </c>
      <c r="BJ176" s="59">
        <f t="shared" si="146"/>
        <v>276.69392352410654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24.714734190083462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24.714734190083462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251.05216782177348</v>
      </c>
      <c r="T177" s="59">
        <f t="shared" si="142"/>
        <v>247.96048911281406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20.582328411199242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20.582328411199242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-1.3567387213697657E-13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219.43439115440339</v>
      </c>
      <c r="AO177" s="59">
        <f t="shared" si="144"/>
        <v>217.8880462742099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19.188290300725132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19.188290300725132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279.89725537926205</v>
      </c>
      <c r="BJ177" s="59">
        <f t="shared" si="146"/>
        <v>276.69392352410654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24.230093327115299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24.230093327115299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251.05216782177348</v>
      </c>
      <c r="T178" s="59">
        <f t="shared" si="142"/>
        <v>247.96048911281406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20.178721505036354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20.178721505036354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-1.3567387213697657E-13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219.43439115440339</v>
      </c>
      <c r="AO178" s="59">
        <f t="shared" si="144"/>
        <v>217.8880462742099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18.812019631629351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18.812019631629351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279.89725537926205</v>
      </c>
      <c r="BJ178" s="59">
        <f t="shared" si="146"/>
        <v>276.69392352410654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23.754955975868203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23.754955975868203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251.05216782177348</v>
      </c>
      <c r="T179" s="59">
        <f t="shared" si="142"/>
        <v>247.96048911281406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19.783029084127413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19.783029084127413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-1.3567387213697657E-13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219.43439115440339</v>
      </c>
      <c r="AO179" s="59">
        <f t="shared" si="144"/>
        <v>217.8880462742099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18.443127400852092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18.443127400852092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279.89725537926205</v>
      </c>
      <c r="BJ179" s="59">
        <f t="shared" si="146"/>
        <v>276.69392352410654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23.289135778273895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23.289135778273895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251.05216782177348</v>
      </c>
      <c r="T180" s="59">
        <f t="shared" si="142"/>
        <v>247.96048911281406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19.395095950243952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19.395095950243952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-1.3567387213697657E-13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219.43439115440339</v>
      </c>
      <c r="AO180" s="59">
        <f t="shared" si="144"/>
        <v>217.8880462742099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18.081468921718329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18.081468921718329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279.89725537926205</v>
      </c>
      <c r="BJ180" s="59">
        <f t="shared" si="146"/>
        <v>276.69392352410654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22.832450030632145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22.832450030632145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251.05216782177348</v>
      </c>
      <c r="T181" s="59">
        <f t="shared" si="142"/>
        <v>247.96048911281406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19.014769948500099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19.014769948500099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-1.3567387213697657E-13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219.43439115440339</v>
      </c>
      <c r="AO181" s="59">
        <f t="shared" si="144"/>
        <v>217.8880462742099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17.72690234477049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17.72690234477049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279.89725537926205</v>
      </c>
      <c r="BJ181" s="59">
        <f t="shared" si="146"/>
        <v>276.69392352410654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22.38471961195085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22.38471961195085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251.05216782177348</v>
      </c>
      <c r="T182" s="59">
        <f t="shared" si="142"/>
        <v>247.96048911281406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18.641901907674487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18.641901907674487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-1.3567387213697657E-13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219.43439115440339</v>
      </c>
      <c r="AO182" s="59">
        <f t="shared" si="144"/>
        <v>217.8880462742099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17.379288602132341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17.379288602132341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279.89725537926205</v>
      </c>
      <c r="BJ182" s="59">
        <f t="shared" si="146"/>
        <v>276.69392352410654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21.945768913691303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21.945768913691303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251.05216782177348</v>
      </c>
      <c r="T183" s="59">
        <f t="shared" si="142"/>
        <v>247.96048911281406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18.276345581702415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18.276345581702415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-1.3567387213697657E-13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219.43439115440339</v>
      </c>
      <c r="AO183" s="59">
        <f t="shared" si="144"/>
        <v>217.8880462742099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17.038491352963877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17.038491352963877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279.89725537926205</v>
      </c>
      <c r="BJ183" s="59">
        <f t="shared" si="146"/>
        <v>276.69392352410654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21.515425770891135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21.515425770891135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251.05216782177348</v>
      </c>
      <c r="T184" s="59">
        <f t="shared" si="142"/>
        <v>247.96048911281406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17.917957592315314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17.917957592315314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-1.3567387213697657E-13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219.43439115440339</v>
      </c>
      <c r="AO184" s="59">
        <f t="shared" si="144"/>
        <v>217.8880462742099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16.704376929985813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16.704376929985813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279.89725537926205</v>
      </c>
      <c r="BJ184" s="59">
        <f t="shared" si="146"/>
        <v>276.69392352410654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21.093521394637879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21.093521394637879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251.05216782177348</v>
      </c>
      <c r="T185" s="59">
        <f t="shared" si="142"/>
        <v>247.96048911281406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17.566597372805006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17.566597372805006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-1.3567387213697657E-13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219.43439115440339</v>
      </c>
      <c r="AO185" s="59">
        <f t="shared" si="144"/>
        <v>217.8880462742099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16.376814287052671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16.376814287052671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279.89725537926205</v>
      </c>
      <c r="BJ185" s="59">
        <f t="shared" si="146"/>
        <v>276.69392352410654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20.679890305866692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20.679890305866692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251.05216782177348</v>
      </c>
      <c r="T186" s="59">
        <f t="shared" si="142"/>
        <v>247.96048911281406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17.222127112890721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17.222127112890721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-1.3567387213697657E-13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219.43439115440339</v>
      </c>
      <c r="AO186" s="59">
        <f t="shared" si="144"/>
        <v>217.8880462742099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16.055674947753964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16.055674947753964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279.89725537926205</v>
      </c>
      <c r="BJ186" s="59">
        <f t="shared" si="146"/>
        <v>276.69392352410654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20.274370270456256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20.274370270456256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251.05216782177348</v>
      </c>
      <c r="T187" s="59">
        <f t="shared" si="142"/>
        <v>247.96048911281406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16.884411704667244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16.884411704667244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-1.3567387213697657E-13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219.43439115440339</v>
      </c>
      <c r="AO187" s="59">
        <f t="shared" si="144"/>
        <v>217.8880462742099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15.740832955023249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15.740832955023249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279.89725537926205</v>
      </c>
      <c r="BJ187" s="59">
        <f t="shared" si="146"/>
        <v>276.69392352410654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19.876802235597417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19.876802235597417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251.05216782177348</v>
      </c>
      <c r="T188" s="59">
        <f t="shared" si="142"/>
        <v>247.96048911281406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16.553318689612968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16.553318689612968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-1.3567387213697657E-13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219.43439115440339</v>
      </c>
      <c r="AO188" s="59">
        <f t="shared" si="144"/>
        <v>217.8880462742099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15.432164821735329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15.432164821735329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279.89725537926205</v>
      </c>
      <c r="BJ188" s="59">
        <f t="shared" si="146"/>
        <v>276.69392352410654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19.487030267409605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19.487030267409605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251.05216782177348</v>
      </c>
      <c r="T189" s="59">
        <f t="shared" si="142"/>
        <v>247.96048911281406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16.228718206637108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16.228718206637108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-1.3567387213697657E-13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219.43439115440339</v>
      </c>
      <c r="AO189" s="59">
        <f t="shared" si="144"/>
        <v>217.8880462742099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15.129549482272214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15.129549482272214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279.89725537926205</v>
      </c>
      <c r="BJ189" s="59">
        <f t="shared" si="146"/>
        <v>276.69392352410654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19.104901489780527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19.104901489780527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251.05216782177348</v>
      </c>
      <c r="T190" s="59">
        <f t="shared" si="142"/>
        <v>247.96048911281406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15.910482941145661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15.910482941145661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-1.3567387213697657E-13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219.43439115440339</v>
      </c>
      <c r="AO190" s="59">
        <f t="shared" si="144"/>
        <v>217.8880462742099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14.83286824503884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14.83286824503884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279.89725537926205</v>
      </c>
      <c r="BJ190" s="59">
        <f t="shared" si="146"/>
        <v>276.69392352410654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18.730266024405218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18.730266024405218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251.05216782177348</v>
      </c>
      <c r="T191" s="59">
        <f t="shared" si="142"/>
        <v>247.96048911281406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15.598488075106156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15.598488075106156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-1.3567387213697657E-13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219.43439115440339</v>
      </c>
      <c r="AO191" s="59">
        <f t="shared" si="144"/>
        <v>217.8880462742099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14.542004745909926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14.542004745909926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279.89725537926205</v>
      </c>
      <c r="BJ191" s="59">
        <f t="shared" si="146"/>
        <v>276.69392352410654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18.362976932000848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18.362976932000848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251.05216782177348</v>
      </c>
      <c r="T192" s="59">
        <f t="shared" si="142"/>
        <v>247.96048911281406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15.292611238091606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15.292611238091606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-1.3567387213697657E-13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219.43439115440339</v>
      </c>
      <c r="AO192" s="59">
        <f t="shared" si="144"/>
        <v>217.8880462742099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14.256844902589712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14.256844902589712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279.89725537926205</v>
      </c>
      <c r="BJ192" s="59">
        <f t="shared" si="146"/>
        <v>276.69392352410654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18.002890154674301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18.002890154674301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251.05216782177348</v>
      </c>
      <c r="T193" s="59">
        <f t="shared" si="142"/>
        <v>247.96048911281406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14.992732459284463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14.992732459284463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-1.3567387213697657E-13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219.43439115440339</v>
      </c>
      <c r="AO193" s="59">
        <f t="shared" si="144"/>
        <v>217.8880462742099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13.977276869866678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13.977276869866678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279.89725537926205</v>
      </c>
      <c r="BJ193" s="59">
        <f t="shared" si="146"/>
        <v>276.69392352410654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17.649864459419881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17.649864459419881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251.05216782177348</v>
      </c>
      <c r="T194" s="59">
        <f t="shared" si="142"/>
        <v>247.96048911281406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14.698734120421735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14.698734120421735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-1.3567387213697657E-13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219.43439115440339</v>
      </c>
      <c r="AO194" s="59">
        <f t="shared" si="144"/>
        <v>217.8880462742099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13.703190995745681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13.703190995745681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279.89725537926205</v>
      </c>
      <c r="BJ194" s="59">
        <f t="shared" si="146"/>
        <v>276.69392352410654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17.303761382724986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17.303761382724986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251.05216782177348</v>
      </c>
      <c r="T195" s="59">
        <f t="shared" si="142"/>
        <v>247.96048911281406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14.410500909662824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14.410500909662824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-1.3567387213697657E-13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219.43439115440339</v>
      </c>
      <c r="AO195" s="59">
        <f t="shared" si="144"/>
        <v>217.8880462742099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13.43447977844032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13.43447977844032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279.89725537926205</v>
      </c>
      <c r="BJ195" s="59">
        <f t="shared" si="146"/>
        <v>276.69392352410654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16.964445176262046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16.964445176262046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251.05216782177348</v>
      </c>
      <c r="T196" s="59">
        <f t="shared" si="142"/>
        <v>247.96048911281406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14.127919776361995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14.127919776361995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-1.3567387213697657E-13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219.43439115440339</v>
      </c>
      <c r="AO196" s="59">
        <f t="shared" si="144"/>
        <v>217.8880462742099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13.171037824208657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13.171037824208657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279.89725537926205</v>
      </c>
      <c r="BJ196" s="59">
        <f t="shared" si="146"/>
        <v>276.69392352410654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16.631782753645396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16.631782753645396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251.05216782177348</v>
      </c>
      <c r="T197" s="59">
        <f t="shared" ref="T197:T203" si="204">$T$3</f>
        <v>247.96048911281406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13.850879886727725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13.850879886727725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-1.3567387213697657E-13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219.43439115440339</v>
      </c>
      <c r="AO197" s="59">
        <f t="shared" ref="AO197:AO203" si="205">$AO$3</f>
        <v>217.8880462742099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12.912761806015752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12.912761806015752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279.89725537926205</v>
      </c>
      <c r="BJ197" s="59">
        <f t="shared" ref="BJ197:BJ203" si="206">$BJ$3</f>
        <v>276.69392352410654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16.305643638232215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16.305643638232215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251.05216782177348</v>
      </c>
      <c r="T198" s="59">
        <f t="shared" si="204"/>
        <v>247.96048911281406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13.579272580351535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13.579272580351535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-1.3567387213697657E-13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219.43439115440339</v>
      </c>
      <c r="AO198" s="59">
        <f t="shared" si="205"/>
        <v>217.8880462742099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12.659550423006793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12.659550423006793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279.89725537926205</v>
      </c>
      <c r="BJ198" s="59">
        <f t="shared" si="206"/>
        <v>276.69392352410654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15.985899911947069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15.985899911947069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251.05216782177348</v>
      </c>
      <c r="T199" s="59">
        <f t="shared" si="204"/>
        <v>247.96048911281406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13.312991327589282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13.312991327589282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-1.3567387213697657E-13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219.43439115440339</v>
      </c>
      <c r="AO199" s="59">
        <f t="shared" si="205"/>
        <v>217.8880462742099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12.411304360774947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12.411304360774947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279.89725537926205</v>
      </c>
      <c r="BJ199" s="59">
        <f t="shared" si="206"/>
        <v>276.69392352410654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15.672426165109957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15.672426165109957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251.05216782177348</v>
      </c>
      <c r="T200" s="59">
        <f t="shared" si="204"/>
        <v>247.96048911281406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13.05193168777817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13.05193168777817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-1.3567387213697657E-13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219.43439115440339</v>
      </c>
      <c r="AO200" s="59">
        <f t="shared" si="205"/>
        <v>217.8880462742099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12.16792625240832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12.16792625240832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279.89725537926205</v>
      </c>
      <c r="BJ200" s="59">
        <f t="shared" si="206"/>
        <v>276.69392352410654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15.365099447248216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15.365099447248216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251.05216782177348</v>
      </c>
      <c r="T201" s="59">
        <f t="shared" si="204"/>
        <v>247.96048911281406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12.795991268273097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12.795991268273097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-1.3567387213697657E-13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219.43439115440339</v>
      </c>
      <c r="AO201" s="59">
        <f t="shared" si="205"/>
        <v>217.8880462742099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11.929320640300775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11.929320640300775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279.89725537926205</v>
      </c>
      <c r="BJ201" s="59">
        <f t="shared" si="206"/>
        <v>276.69392352410654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15.063799218872955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15.063799218872955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251.05216782177348</v>
      </c>
      <c r="T202" s="59">
        <f t="shared" si="204"/>
        <v>247.96048911281406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12.545069684286277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12.545069684286277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-1.3567387213697657E-13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219.43439115440339</v>
      </c>
      <c r="AO202" s="59">
        <f t="shared" si="205"/>
        <v>217.8880462742099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11.695393938711605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11.695393938711605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279.89725537926205</v>
      </c>
      <c r="BJ202" s="59">
        <f t="shared" si="206"/>
        <v>276.69392352410654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14.768407304201139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14.768407304201139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251.05216782177348</v>
      </c>
      <c r="T203" s="59">
        <f t="shared" si="204"/>
        <v>247.96048911281406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12.299068519514384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12.299068519514384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-1.3567387213697657E-13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219.43439115440339</v>
      </c>
      <c r="AO203" s="59">
        <f t="shared" si="205"/>
        <v>217.8880462742099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11.4660543970594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11.4660543970594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279.89725537926205</v>
      </c>
      <c r="BJ203" s="59">
        <f t="shared" si="206"/>
        <v>276.69392352410654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14.478807844804759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14.478807844804759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1.4003603312913959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1.2721747796233518</v>
      </c>
      <c r="BA205" s="82">
        <f>EXP(LN('Données projet'!B88)/'Données projet'!A88)</f>
        <v>1.2709816152101407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28" sqref="L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rouge d'Amérique</v>
      </c>
      <c r="B6" s="146">
        <f>'Données projet'!D9</f>
        <v>12.752000000000001</v>
      </c>
      <c r="C6" s="147">
        <f ca="1">IF(OR('Données projet'!B9="",'Données projet'!C9="",'Données projet'!C9=0%),0,Calculateur!S3)</f>
        <v>251.05216782177348</v>
      </c>
      <c r="D6" s="147">
        <f>IF(OR('Données projet'!B9="",'Données projet'!C9="",'Données projet'!C9=0%),0,Calculateur!T3)</f>
        <v>247.96048911281406</v>
      </c>
      <c r="E6" s="147">
        <f ca="1">MIN(C6,D6)</f>
        <v>247.96048911281406</v>
      </c>
      <c r="F6" s="147">
        <f ca="1">E6*B6</f>
        <v>3161.992157166605</v>
      </c>
      <c r="G6" s="147">
        <f ca="1">F6*(100%-'Données projet'!$C$24)*(100%-'Données projet'!$C$25)*(100%-'Données projet'!$C$26)*(100%-'Données projet'!$C$27)</f>
        <v>2845.7929414499445</v>
      </c>
      <c r="H6" s="148">
        <f>IF(OR('Données projet'!B9="",'Données projet'!C9="",'Données projet'!C9=0%),0,AVERAGE(Calculateur!$AC$3:$AC$33)*B6)</f>
        <v>0.92244092235536013</v>
      </c>
      <c r="I6" s="149">
        <f>H6*(100%-'Données projet'!$C$24)*(100%-'Données projet'!$C$25)*(100%-'Données projet'!$C$26)*(100%-'Données projet'!$C$27)</f>
        <v>0.83019683011982415</v>
      </c>
      <c r="J6" s="150">
        <f>IF(OR('Données projet'!B9="",'Données projet'!C9="",'Données projet'!C9=0%),0,SUM(Calculateur!$V$3:$V$33)*VLOOKUP('Données projet'!$B$9,Paramètres!$A$1:$I$89,9,0)*B6)</f>
        <v>341.11600000000004</v>
      </c>
      <c r="K6" s="151">
        <f>J6*(100%-'Données projet'!$C$24)*(100%-'Données projet'!$C$25)*(100%-'Données projet'!$C$26)*(100%-'Données projet'!$C$27)</f>
        <v>307.00440000000003</v>
      </c>
      <c r="L6" s="152">
        <f ca="1">G6+I6+K6</f>
        <v>3153.6275382800641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Erable plane</v>
      </c>
      <c r="B7" s="154">
        <f>'Données projet'!D10</f>
        <v>2.1248019999999999</v>
      </c>
      <c r="C7" s="147">
        <f ca="1">IF(OR('Données projet'!B10="",'Données projet'!C10="",'Données projet'!C10=0%),0,Calculateur!AN3)</f>
        <v>219.43439115440339</v>
      </c>
      <c r="D7" s="147">
        <f>IF(OR('Données projet'!B10="",'Données projet'!C10="",'Données projet'!C10=0%),0,Calculateur!AO3)</f>
        <v>217.8880462742099</v>
      </c>
      <c r="E7" s="147">
        <f t="shared" ref="E7:E15" ca="1" si="0">MIN(C7,D7)</f>
        <v>217.8880462742099</v>
      </c>
      <c r="F7" s="147">
        <f t="shared" ref="F7:F15" ca="1" si="1">E7*B7</f>
        <v>462.9689564995337</v>
      </c>
      <c r="G7" s="147">
        <f ca="1">F7*(100%-'Données projet'!$C$24)*(100%-'Données projet'!$C$25)*(100%-'Données projet'!$C$26)*(100%-'Données projet'!$C$27)</f>
        <v>416.67206084958036</v>
      </c>
      <c r="H7" s="155">
        <f>IF(OR('Données projet'!B10="",'Données projet'!C10="",'Données projet'!C10=0%),0,AVERAGE(Calculateur!$AX$3:$AX$33)*B7)</f>
        <v>0.17892150973824691</v>
      </c>
      <c r="I7" s="149">
        <f>H7*(100%-'Données projet'!$C$24)*(100%-'Données projet'!$C$25)*(100%-'Données projet'!$C$26)*(100%-'Données projet'!$C$27)</f>
        <v>0.16102935876442223</v>
      </c>
      <c r="J7" s="150">
        <f>IF(OR('Données projet'!B10="",'Données projet'!C10="",'Données projet'!C10=0%),0,SUM(Calculateur!$AQ$3:$AQ$33)*VLOOKUP('Données projet'!$B$10,Paramètres!$A$1:$I$89,9,0)*B7)</f>
        <v>52.588849499999995</v>
      </c>
      <c r="K7" s="151">
        <f>J7*(100%-'Données projet'!$C$24)*(100%-'Données projet'!$C$25)*(100%-'Données projet'!$C$26)*(100%-'Données projet'!$C$27)</f>
        <v>47.32996455</v>
      </c>
      <c r="L7" s="152">
        <f t="shared" ref="L7:L15" ca="1" si="2">G7+I7+K7</f>
        <v>464.1630547583448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Noyer</v>
      </c>
      <c r="B8" s="154">
        <f>'Données projet'!D11</f>
        <v>1.0631979999999999</v>
      </c>
      <c r="C8" s="147">
        <f ca="1">IF(OR('Données projet'!B11="",'Données projet'!C11="",'Données projet'!C11=0%),0,Calculateur!BI3)</f>
        <v>279.89725537926205</v>
      </c>
      <c r="D8" s="147">
        <f>IF(OR('Données projet'!B11="",'Données projet'!C11="",'Données projet'!C11=0%),0,Calculateur!BJ3)</f>
        <v>276.69392352410654</v>
      </c>
      <c r="E8" s="147">
        <f t="shared" ca="1" si="0"/>
        <v>276.69392352410654</v>
      </c>
      <c r="F8" s="147">
        <f t="shared" ca="1" si="1"/>
        <v>294.18042610298301</v>
      </c>
      <c r="G8" s="147">
        <f ca="1">F8*(100%-'Données projet'!$C$24)*(100%-'Données projet'!$C$25)*(100%-'Données projet'!$C$26)*(100%-'Données projet'!$C$27)</f>
        <v>264.76238349268471</v>
      </c>
      <c r="H8" s="155">
        <f>IF(OR('Données projet'!B11="",'Données projet'!C11="",'Données projet'!C11=0%),0,AVERAGE(Calculateur!$BS$3:$BS$33)*B8)</f>
        <v>0.82308311378179277</v>
      </c>
      <c r="I8" s="149">
        <f>H8*(100%-'Données projet'!$C$24)*(100%-'Données projet'!$C$25)*(100%-'Données projet'!$C$26)*(100%-'Données projet'!$C$27)</f>
        <v>0.74077480240361349</v>
      </c>
      <c r="J8" s="150">
        <f>IF(OR('Données projet'!B11="",'Données projet'!C11="",'Données projet'!C11=0%),0,SUM(Calculateur!$BL$3:$BL$33)*VLOOKUP('Données projet'!$B$11,Paramètres!$A$1:$I$89,9,0)*B8)</f>
        <v>36.414531499999995</v>
      </c>
      <c r="K8" s="151">
        <f>J8*(100%-'Données projet'!$C$24)*(100%-'Données projet'!$C$25)*(100%-'Données projet'!$C$26)*(100%-'Données projet'!$C$27)</f>
        <v>32.773078349999999</v>
      </c>
      <c r="L8" s="152">
        <f t="shared" ca="1" si="2"/>
        <v>298.27623664508832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3919.1415397691217</v>
      </c>
      <c r="G16" s="166">
        <f t="shared" ca="1" si="3"/>
        <v>3527.2273857922096</v>
      </c>
      <c r="H16" s="167">
        <f t="shared" si="3"/>
        <v>1.9244455458754</v>
      </c>
      <c r="I16" s="167">
        <f t="shared" si="3"/>
        <v>1.73200099128786</v>
      </c>
      <c r="J16" s="168">
        <f t="shared" si="3"/>
        <v>430.11938100000003</v>
      </c>
      <c r="K16" s="168">
        <f t="shared" si="3"/>
        <v>387.10744290000002</v>
      </c>
      <c r="L16" s="169">
        <f t="shared" ca="1" si="3"/>
        <v>3916.0668296834974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Erable plane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Noyer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03" zoomScale="93" zoomScaleNormal="80" workbookViewId="0">
      <selection activeCell="A32" sqref="A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-2111.2807823637663</v>
      </c>
      <c r="U10" s="178">
        <f>'Données projet'!D9</f>
        <v>12.752000000000001</v>
      </c>
      <c r="V10" s="177">
        <f>U10*T10</f>
        <v>-26923.052536702751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Erable plane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-1986.6504618964177</v>
      </c>
      <c r="U11" s="178">
        <f>'Données projet'!D10</f>
        <v>2.1248019999999999</v>
      </c>
      <c r="V11" s="177">
        <f t="shared" ref="V11" si="0">U11*T11</f>
        <v>-4221.2388747384321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Noyer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-6229.6081980109084</v>
      </c>
      <c r="U12" s="178">
        <f>'Données projet'!D11</f>
        <v>1.0631979999999999</v>
      </c>
      <c r="V12" s="177">
        <f t="shared" ref="V12:V19" si="1">U12*T12</f>
        <v>-6623.3069769088006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>
        <v>5138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299.99999999999994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f>1650+1725+1206.74</f>
        <v>4581.74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387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387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>
        <f>225*'Données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>
        <v>387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-137881.33472985023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15</v>
      </c>
      <c r="B24" s="181">
        <f>'Données projet'!D37</f>
        <v>0</v>
      </c>
      <c r="C24" s="193">
        <f>225*'Données projet'!E37+13.8*('Données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>
        <v>387</v>
      </c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1276.7940741544883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54</v>
      </c>
      <c r="C25" s="193">
        <f>225*'Données projet'!E38+13.8*('Données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>
        <v>387</v>
      </c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-139158.12880400472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25</v>
      </c>
      <c r="B26" s="181">
        <f>'Données projet'!D39</f>
        <v>26</v>
      </c>
      <c r="C26" s="193">
        <f>225*'Données projet'!E39+13.8*('Données projet'!F39+'Données projet'!G39)+10*'Données projet'!G39</f>
        <v>0</v>
      </c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30</v>
      </c>
      <c r="B27" s="181">
        <f>'Données projet'!D40</f>
        <v>27</v>
      </c>
      <c r="C27" s="193">
        <f>225*'Données projet'!E40+13.8*('Données projet'!F40+'Données projet'!G40)+10*'Données projet'!G40</f>
        <v>45</v>
      </c>
      <c r="D27" s="182">
        <f t="shared" si="2"/>
        <v>1215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35</v>
      </c>
      <c r="B28" s="181">
        <f>'Données projet'!D41</f>
        <v>27</v>
      </c>
      <c r="C28" s="193">
        <f>225*'Données projet'!E41+13.8*('Données projet'!F41+'Données projet'!G41)+10*'Données projet'!G41</f>
        <v>45</v>
      </c>
      <c r="D28" s="182">
        <f t="shared" si="2"/>
        <v>1215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27</v>
      </c>
      <c r="C29" s="193">
        <f>225*'Données projet'!E42+13.8*('Données projet'!F42+'Données projet'!G42)+10*'Données projet'!G42</f>
        <v>67.5</v>
      </c>
      <c r="D29" s="182">
        <f t="shared" si="2"/>
        <v>1822.5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45</v>
      </c>
      <c r="B30" s="181">
        <f>'Données projet'!D43</f>
        <v>26</v>
      </c>
      <c r="C30" s="193">
        <f>225*'Données projet'!E43+13.8*('Données projet'!F43+'Données projet'!G43)+10*'Données projet'!G43</f>
        <v>67.5</v>
      </c>
      <c r="D30" s="182">
        <f t="shared" si="2"/>
        <v>1755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50</v>
      </c>
      <c r="B31" s="181">
        <f>'Données projet'!D44</f>
        <v>24</v>
      </c>
      <c r="C31" s="193">
        <f>225*'Données projet'!E44+13.8*('Données projet'!F44+'Données projet'!G44)+10*'Données projet'!G44</f>
        <v>90</v>
      </c>
      <c r="D31" s="182">
        <f t="shared" si="2"/>
        <v>2160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55</v>
      </c>
      <c r="B32" s="181">
        <f>'Données projet'!D45</f>
        <v>23</v>
      </c>
      <c r="C32" s="193">
        <f>225*'Données projet'!E45+13.8*('Données projet'!F45+'Données projet'!G45)+10*'Données projet'!G45</f>
        <v>90</v>
      </c>
      <c r="D32" s="182">
        <f t="shared" si="2"/>
        <v>2070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60</v>
      </c>
      <c r="B33" s="181">
        <f>'Données projet'!D46</f>
        <v>21</v>
      </c>
      <c r="C33" s="193">
        <f>225*'Données projet'!E46+13.8*('Données projet'!F46+'Données projet'!G46)+10*'Données projet'!G46</f>
        <v>112.5</v>
      </c>
      <c r="D33" s="182">
        <f t="shared" si="2"/>
        <v>2362.5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65</v>
      </c>
      <c r="B34" s="181">
        <f>'Données projet'!D47</f>
        <v>20</v>
      </c>
      <c r="C34" s="193">
        <f>225*'Données projet'!E47+13.8*('Données projet'!F47+'Données projet'!G47)+10*'Données projet'!G47</f>
        <v>112.5</v>
      </c>
      <c r="D34" s="182">
        <f t="shared" si="2"/>
        <v>2250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70</v>
      </c>
      <c r="B35" s="181">
        <f>'Données projet'!D48</f>
        <v>18</v>
      </c>
      <c r="C35" s="193">
        <f>225*'Données projet'!E48+13.8*('Données projet'!F48+'Données projet'!G48)+10*'Données projet'!G48</f>
        <v>135</v>
      </c>
      <c r="D35" s="182">
        <f t="shared" si="2"/>
        <v>2430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75</v>
      </c>
      <c r="B36" s="181">
        <f>'Données projet'!D49</f>
        <v>16</v>
      </c>
      <c r="C36" s="193">
        <f>225*'Données projet'!E49+13.8*('Données projet'!F49+'Données projet'!G49)+10*'Données projet'!G49</f>
        <v>135</v>
      </c>
      <c r="D36" s="182">
        <f t="shared" si="2"/>
        <v>2160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80</v>
      </c>
      <c r="B37" s="181">
        <f>'Données projet'!D50</f>
        <v>15</v>
      </c>
      <c r="C37" s="193">
        <f>225*'Données projet'!E50+13.8*('Données projet'!F50+'Données projet'!G50)+10*'Données projet'!G50</f>
        <v>157.5</v>
      </c>
      <c r="D37" s="182">
        <f t="shared" si="2"/>
        <v>2362.5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85</v>
      </c>
      <c r="B38" s="181">
        <f>'Données projet'!D51</f>
        <v>14</v>
      </c>
      <c r="C38" s="193">
        <f>225*'Données projet'!E51+13.8*('Données projet'!F51+'Données projet'!G51)+10*'Données projet'!G51</f>
        <v>157.5</v>
      </c>
      <c r="D38" s="182">
        <f t="shared" si="2"/>
        <v>2205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90</v>
      </c>
      <c r="B39" s="181">
        <f>'Données projet'!D52</f>
        <v>249</v>
      </c>
      <c r="C39" s="193">
        <f>225*'Données projet'!E52+13.8*('Données projet'!F52+'Données projet'!G52)+10*'Données projet'!G52</f>
        <v>180</v>
      </c>
      <c r="D39" s="182">
        <f t="shared" si="2"/>
        <v>44820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>
        <f>225*'Données projet'!E53+13.8*('Données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>
        <f>225*'Données projet'!E54+13.8*('Données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>
        <f>225*'Données projet'!E55+13.8*('Données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Erable plane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>
        <v>3300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15</v>
      </c>
      <c r="B54" s="181">
        <f>'Données projet'!D62</f>
        <v>15</v>
      </c>
      <c r="C54" s="191">
        <f>60*'Données projet'!E62+13.8*('Données projet'!F62+'Données projet'!G62)+10*'Données projet'!H62</f>
        <v>10</v>
      </c>
      <c r="D54" s="179">
        <f>B54*C54</f>
        <v>150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28</v>
      </c>
      <c r="C55" s="191">
        <f>60*'Données projet'!E63+13.8*('Données projet'!F63+'Données projet'!G63)+10*'Données projet'!H63</f>
        <v>10</v>
      </c>
      <c r="D55" s="179">
        <f t="shared" ref="D55:D73" si="4">B55*C55</f>
        <v>280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25</v>
      </c>
      <c r="B56" s="181">
        <f>'Données projet'!D64</f>
        <v>28</v>
      </c>
      <c r="C56" s="191">
        <f>60*'Données projet'!E64+13.8*('Données projet'!F64+'Données projet'!G64)+10*'Données projet'!H64</f>
        <v>10</v>
      </c>
      <c r="D56" s="179">
        <f t="shared" si="4"/>
        <v>280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30</v>
      </c>
      <c r="B57" s="181">
        <f>'Données projet'!D65</f>
        <v>28</v>
      </c>
      <c r="C57" s="191">
        <f>60*'Données projet'!E65+13.8*('Données projet'!F65+'Données projet'!G65)+10*'Données projet'!H65</f>
        <v>20</v>
      </c>
      <c r="D57" s="179">
        <f t="shared" si="4"/>
        <v>560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35</v>
      </c>
      <c r="B58" s="181">
        <f>'Données projet'!D66</f>
        <v>28</v>
      </c>
      <c r="C58" s="191">
        <f>60*'Données projet'!E66+13.8*('Données projet'!F66+'Données projet'!G66)+10*'Données projet'!H66</f>
        <v>25</v>
      </c>
      <c r="D58" s="179">
        <f t="shared" si="4"/>
        <v>700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40</v>
      </c>
      <c r="B59" s="181">
        <f>'Données projet'!D67</f>
        <v>28</v>
      </c>
      <c r="C59" s="191">
        <f>60*'Données projet'!E67+13.8*('Données projet'!F67+'Données projet'!G67)+10*'Données projet'!H67</f>
        <v>30</v>
      </c>
      <c r="D59" s="179">
        <f t="shared" si="4"/>
        <v>840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45</v>
      </c>
      <c r="B60" s="181">
        <f>'Données projet'!D68</f>
        <v>22</v>
      </c>
      <c r="C60" s="191">
        <f>60*'Données projet'!E68+13.8*('Données projet'!F68+'Données projet'!G68)+10*'Données projet'!H68</f>
        <v>30</v>
      </c>
      <c r="D60" s="179">
        <f t="shared" si="4"/>
        <v>660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50</v>
      </c>
      <c r="B61" s="181">
        <f>'Données projet'!D69</f>
        <v>17</v>
      </c>
      <c r="C61" s="191">
        <f>60*'Données projet'!E69+13.8*('Données projet'!F69+'Données projet'!G69)+10*'Données projet'!H69</f>
        <v>35</v>
      </c>
      <c r="D61" s="179">
        <f t="shared" si="4"/>
        <v>595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55</v>
      </c>
      <c r="B62" s="181">
        <f>'Données projet'!D70</f>
        <v>13</v>
      </c>
      <c r="C62" s="191">
        <f>60*'Données projet'!E70+13.8*('Données projet'!F70+'Données projet'!G70)+10*'Données projet'!H70</f>
        <v>35</v>
      </c>
      <c r="D62" s="179">
        <f t="shared" si="4"/>
        <v>455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60</v>
      </c>
      <c r="B63" s="181">
        <f>'Données projet'!D71</f>
        <v>12</v>
      </c>
      <c r="C63" s="191">
        <f>60*'Données projet'!E71+13.8*('Données projet'!F71+'Données projet'!G71)+10*'Données projet'!H71</f>
        <v>40</v>
      </c>
      <c r="D63" s="179">
        <f t="shared" si="4"/>
        <v>480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65</v>
      </c>
      <c r="B64" s="181">
        <f>'Données projet'!D72</f>
        <v>11</v>
      </c>
      <c r="C64" s="191">
        <f>60*'Données projet'!E72+13.8*('Données projet'!F72+'Données projet'!G72)+10*'Données projet'!H72</f>
        <v>40</v>
      </c>
      <c r="D64" s="179">
        <f t="shared" si="4"/>
        <v>440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70</v>
      </c>
      <c r="B65" s="181">
        <f>'Données projet'!D73</f>
        <v>10</v>
      </c>
      <c r="C65" s="191">
        <f>60*'Données projet'!E73+13.8*('Données projet'!F73+'Données projet'!G73)+10*'Données projet'!H73</f>
        <v>45</v>
      </c>
      <c r="D65" s="179">
        <f t="shared" si="4"/>
        <v>450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75</v>
      </c>
      <c r="B66" s="181">
        <f>'Données projet'!D74</f>
        <v>9</v>
      </c>
      <c r="C66" s="191">
        <f>60*'Données projet'!E74+13.8*('Données projet'!F74+'Données projet'!G74)+10*'Données projet'!H74</f>
        <v>45</v>
      </c>
      <c r="D66" s="179">
        <f t="shared" si="4"/>
        <v>405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80</v>
      </c>
      <c r="B67" s="181">
        <f>'Données projet'!D75</f>
        <v>275</v>
      </c>
      <c r="C67" s="191">
        <f>60*'Données projet'!E75+13.8*('Données projet'!F75+'Données projet'!G75)+10*'Données projet'!H75</f>
        <v>50</v>
      </c>
      <c r="D67" s="179">
        <f t="shared" si="4"/>
        <v>13750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>
        <f>60*'Données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>
        <f>60*'Données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>
        <f>60*'Données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>
        <f>60*'Données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>
        <f>60*'Données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>
        <f>60*'Données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Noyer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>
        <v>10410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>
        <f>150*'Données projet'!E88+13.8*('Données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15</v>
      </c>
      <c r="B86" s="181">
        <f>'Données projet'!D89</f>
        <v>32</v>
      </c>
      <c r="C86" s="191">
        <f>150*'Données projet'!E89+13.8*('Données projet'!F89+'Données projet'!G89)+10*'Données projet'!H89</f>
        <v>10</v>
      </c>
      <c r="D86" s="179">
        <f t="shared" ref="D86:D104" si="6">B86*C86</f>
        <v>320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20</v>
      </c>
      <c r="B87" s="181">
        <f>'Données projet'!D90</f>
        <v>35</v>
      </c>
      <c r="C87" s="191">
        <f>150*'Données projet'!E90+13.8*('Données projet'!F90+'Données projet'!G90)+10*'Données projet'!H90</f>
        <v>10</v>
      </c>
      <c r="D87" s="179">
        <f t="shared" si="6"/>
        <v>350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25</v>
      </c>
      <c r="B88" s="181">
        <f>'Données projet'!D91</f>
        <v>35</v>
      </c>
      <c r="C88" s="191">
        <f>150*'Données projet'!E91+13.8*('Données projet'!F91+'Données projet'!G91)+10*'Données projet'!H91</f>
        <v>38</v>
      </c>
      <c r="D88" s="179">
        <f t="shared" si="6"/>
        <v>1330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30</v>
      </c>
      <c r="B89" s="181">
        <f>'Données projet'!D92</f>
        <v>35</v>
      </c>
      <c r="C89" s="191">
        <f>150*'Données projet'!E92+13.8*('Données projet'!F92+'Données projet'!G92)+10*'Données projet'!H92</f>
        <v>52</v>
      </c>
      <c r="D89" s="179">
        <f t="shared" si="6"/>
        <v>1820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35</v>
      </c>
      <c r="B90" s="181">
        <f>'Données projet'!D93</f>
        <v>35</v>
      </c>
      <c r="C90" s="191">
        <f>150*'Données projet'!E93+13.8*('Données projet'!F93+'Données projet'!G93)+10*'Données projet'!H93</f>
        <v>66</v>
      </c>
      <c r="D90" s="179">
        <f t="shared" si="6"/>
        <v>2310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40</v>
      </c>
      <c r="B91" s="181">
        <f>'Données projet'!D94</f>
        <v>35</v>
      </c>
      <c r="C91" s="191">
        <f>150*'Données projet'!E94+13.8*('Données projet'!F94+'Données projet'!G94)+10*'Données projet'!H94</f>
        <v>66</v>
      </c>
      <c r="D91" s="179">
        <f t="shared" si="6"/>
        <v>2310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45</v>
      </c>
      <c r="B92" s="181">
        <f>'Données projet'!D95</f>
        <v>24</v>
      </c>
      <c r="C92" s="191">
        <f>150*'Données projet'!E95+13.8*('Données projet'!F95+'Données projet'!G95)+10*'Données projet'!H95</f>
        <v>80</v>
      </c>
      <c r="D92" s="179">
        <f t="shared" si="6"/>
        <v>1920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50</v>
      </c>
      <c r="B93" s="181">
        <f>'Données projet'!D96</f>
        <v>19</v>
      </c>
      <c r="C93" s="191">
        <f>150*'Données projet'!E96+13.8*('Données projet'!F96+'Données projet'!G96)+10*'Données projet'!H96</f>
        <v>80</v>
      </c>
      <c r="D93" s="179">
        <f t="shared" si="6"/>
        <v>1520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55</v>
      </c>
      <c r="B94" s="181">
        <f>'Données projet'!D97</f>
        <v>16</v>
      </c>
      <c r="C94" s="191">
        <f>150*'Données projet'!E97+13.8*('Données projet'!F97+'Données projet'!G97)+10*'Données projet'!H97</f>
        <v>94</v>
      </c>
      <c r="D94" s="179">
        <f t="shared" si="6"/>
        <v>1504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60</v>
      </c>
      <c r="B95" s="181">
        <f>'Données projet'!D98</f>
        <v>14</v>
      </c>
      <c r="C95" s="191">
        <f>150*'Données projet'!E98+13.8*('Données projet'!F98+'Données projet'!G98)+10*'Données projet'!H98</f>
        <v>94</v>
      </c>
      <c r="D95" s="179">
        <f t="shared" si="6"/>
        <v>1316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65</v>
      </c>
      <c r="B96" s="181">
        <f>'Données projet'!D99</f>
        <v>13</v>
      </c>
      <c r="C96" s="191">
        <f>150*'Données projet'!E99+13.8*('Données projet'!F99+'Données projet'!G99)+10*'Données projet'!H99</f>
        <v>108</v>
      </c>
      <c r="D96" s="179">
        <f t="shared" si="6"/>
        <v>1404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70</v>
      </c>
      <c r="B97" s="181">
        <f>'Données projet'!D100</f>
        <v>13</v>
      </c>
      <c r="C97" s="191">
        <f>150*'Données projet'!E100+13.8*('Données projet'!F100+'Données projet'!G100)+10*'Données projet'!H100</f>
        <v>108</v>
      </c>
      <c r="D97" s="179">
        <f t="shared" si="6"/>
        <v>1404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75</v>
      </c>
      <c r="B98" s="181">
        <f>'Données projet'!D101</f>
        <v>12</v>
      </c>
      <c r="C98" s="191">
        <f>150*'Données projet'!E101+13.8*('Données projet'!F101+'Données projet'!G101)+10*'Données projet'!H101</f>
        <v>122</v>
      </c>
      <c r="D98" s="179">
        <f t="shared" si="6"/>
        <v>1464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80</v>
      </c>
      <c r="B99" s="181">
        <f>'Données projet'!D102</f>
        <v>330</v>
      </c>
      <c r="C99" s="191">
        <f>150*'Données projet'!E102+13.8*('Données projet'!F102+'Données projet'!G102)+10*'Données projet'!H102</f>
        <v>122</v>
      </c>
      <c r="D99" s="179">
        <f t="shared" si="6"/>
        <v>40260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f>150*'Données projet'!E103+13.8*('Données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f>150*'Données projet'!E104+13.8*('Données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150*'Données projet'!E105+13.8*('Données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150*'Données projet'!E106+13.8*('Données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150*'Données projet'!E107+13.8*('Données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2024-01-30T13:26:01Z</dcterms:modified>
</cp:coreProperties>
</file>