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omas.robinet\Downloads\"/>
    </mc:Choice>
  </mc:AlternateContent>
  <xr:revisionPtr revIDLastSave="0" documentId="13_ncr:1_{C119D2A8-652D-435B-B31E-1CE113BB3C28}" xr6:coauthVersionLast="47" xr6:coauthVersionMax="47" xr10:uidLastSave="{00000000-0000-0000-0000-000000000000}"/>
  <bookViews>
    <workbookView xWindow="-96" yWindow="-96" windowWidth="23232" windowHeight="1255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0" i="1" l="1"/>
  <c r="B122" i="1" l="1"/>
  <c r="B121" i="1"/>
  <c r="B120" i="1"/>
  <c r="B119" i="1"/>
  <c r="B118" i="1"/>
  <c r="B117" i="1"/>
  <c r="B116" i="1"/>
  <c r="B115" i="1"/>
  <c r="D276" i="1" l="1"/>
  <c r="D275" i="1"/>
  <c r="D274" i="1"/>
  <c r="D273" i="1"/>
  <c r="D272" i="1"/>
  <c r="D271" i="1"/>
  <c r="D224" i="1"/>
  <c r="B224" i="1"/>
  <c r="D223" i="1"/>
  <c r="D222" i="1"/>
  <c r="D221" i="1"/>
  <c r="D220" i="1"/>
  <c r="D219" i="1"/>
  <c r="D218" i="1"/>
  <c r="D176" i="1"/>
  <c r="B176" i="1"/>
  <c r="D175" i="1"/>
  <c r="D174" i="1"/>
  <c r="D173" i="1"/>
  <c r="D172" i="1"/>
  <c r="D171" i="1"/>
  <c r="D170" i="1"/>
  <c r="D169" i="1"/>
  <c r="D168" i="1"/>
  <c r="D167" i="1"/>
  <c r="D150" i="1"/>
  <c r="B150" i="1"/>
  <c r="D149" i="1"/>
  <c r="D148" i="1"/>
  <c r="D147" i="1"/>
  <c r="D146" i="1"/>
  <c r="D145" i="1"/>
  <c r="D144" i="1"/>
  <c r="D143" i="1"/>
  <c r="D142" i="1"/>
  <c r="D141" i="1"/>
  <c r="B94" i="1"/>
  <c r="D94" i="1" s="1"/>
  <c r="D46" i="1"/>
  <c r="B46" i="1"/>
  <c r="D45" i="1"/>
  <c r="D44" i="1"/>
  <c r="D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D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FS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FS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FR167" i="2"/>
  <c r="EX167" i="2"/>
  <c r="EY166" i="2"/>
  <c r="EC167" i="2"/>
  <c r="EA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EC168" i="2"/>
  <c r="EB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B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D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D178" i="2" s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W186" i="2"/>
  <c r="EB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G190" i="2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ED193" i="2"/>
  <c r="EA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FQ195" i="2"/>
  <c r="ED194" i="2"/>
  <c r="EY194" i="2"/>
  <c r="EX195" i="2"/>
  <c r="EB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FS197" i="2"/>
  <c r="EY196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DI200" i="2"/>
  <c r="ED200" i="2"/>
  <c r="HG201" i="2"/>
  <c r="EA201" i="2"/>
  <c r="FS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D201" i="2"/>
  <c r="EW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109" i="2" a="1"/>
  <c r="FY109" i="2" s="1"/>
  <c r="FY50" i="2" a="1"/>
  <c r="FY50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79" i="2" l="1" a="1"/>
  <c r="FY79" i="2" s="1"/>
  <c r="FY90" i="2" a="1"/>
  <c r="FY90" i="2" s="1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68" i="2" l="1"/>
  <c r="FJ156" i="2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62" i="2" l="1"/>
  <c r="FJ159" i="2"/>
  <c r="FJ21" i="2"/>
  <c r="FJ65" i="2"/>
  <c r="FJ127" i="2"/>
  <c r="FJ99" i="2"/>
  <c r="FJ66" i="2"/>
  <c r="FJ11" i="2"/>
  <c r="FJ150" i="2"/>
  <c r="FJ144" i="2"/>
  <c r="FJ102" i="2"/>
  <c r="FJ134" i="2"/>
  <c r="FJ71" i="2"/>
  <c r="FJ69" i="2"/>
  <c r="FJ28" i="2"/>
  <c r="FJ13" i="2"/>
  <c r="FJ44" i="2"/>
  <c r="FJ122" i="2"/>
  <c r="FJ149" i="2"/>
  <c r="FJ138" i="2"/>
  <c r="FJ202" i="2"/>
  <c r="FJ115" i="2"/>
  <c r="FJ116" i="2"/>
  <c r="FJ77" i="2"/>
  <c r="FJ46" i="2"/>
  <c r="FJ101" i="2"/>
  <c r="FJ166" i="2"/>
  <c r="FJ19" i="2"/>
  <c r="FJ49" i="2"/>
  <c r="FJ56" i="2"/>
  <c r="FJ117" i="2"/>
  <c r="FJ106" i="2"/>
  <c r="FJ188" i="2"/>
  <c r="FJ160" i="2"/>
  <c r="FJ110" i="2"/>
  <c r="FJ114" i="2"/>
  <c r="FJ55" i="2"/>
  <c r="FJ97" i="2"/>
  <c r="FJ196" i="2"/>
  <c r="FJ124" i="2"/>
  <c r="FJ7" i="2"/>
  <c r="FJ136" i="2"/>
  <c r="FJ189" i="2"/>
  <c r="FJ18" i="2"/>
  <c r="FJ92" i="2"/>
  <c r="FJ64" i="2"/>
  <c r="FJ133" i="2"/>
  <c r="FJ57" i="2"/>
  <c r="FJ30" i="2"/>
  <c r="FJ107" i="2"/>
  <c r="FJ85" i="2"/>
  <c r="FJ119" i="2"/>
  <c r="FJ120" i="2"/>
  <c r="FJ73" i="2"/>
  <c r="FJ86" i="2"/>
  <c r="FJ38" i="2"/>
  <c r="FJ186" i="2"/>
  <c r="FJ96" i="2"/>
  <c r="FJ176" i="2"/>
  <c r="FJ141" i="2"/>
  <c r="FJ90" i="2"/>
  <c r="FJ165" i="2"/>
  <c r="FJ5" i="2"/>
  <c r="FJ45" i="2"/>
  <c r="FJ173" i="2"/>
  <c r="FJ177" i="2"/>
  <c r="FJ154" i="2"/>
  <c r="FJ17" i="2"/>
  <c r="FJ93" i="2"/>
  <c r="FJ61" i="2"/>
  <c r="FJ52" i="2"/>
  <c r="FJ27" i="2"/>
  <c r="FJ142" i="2"/>
  <c r="FJ185" i="2"/>
  <c r="FJ103" i="2"/>
  <c r="FJ14" i="2"/>
  <c r="FJ139" i="2"/>
  <c r="FJ72" i="2"/>
  <c r="FJ190" i="2"/>
  <c r="FJ15" i="2"/>
  <c r="FJ94" i="2"/>
  <c r="FJ88" i="2"/>
  <c r="FJ63" i="2"/>
  <c r="FJ37" i="2"/>
  <c r="FJ187" i="2"/>
  <c r="FJ39" i="2"/>
  <c r="FJ153" i="2"/>
  <c r="FJ167" i="2"/>
  <c r="FJ157" i="2"/>
  <c r="FJ62" i="2"/>
  <c r="FJ98" i="2"/>
  <c r="FJ118" i="2"/>
  <c r="FJ126" i="2"/>
  <c r="FJ171" i="2"/>
  <c r="FJ178" i="2"/>
  <c r="FJ172" i="2"/>
  <c r="FJ8" i="2"/>
  <c r="FJ6" i="2"/>
  <c r="FJ82" i="2"/>
  <c r="FJ80" i="2"/>
  <c r="FJ175" i="2"/>
  <c r="FJ199" i="2"/>
  <c r="FJ179" i="2"/>
  <c r="FJ67" i="2"/>
  <c r="FJ91" i="2"/>
  <c r="FJ79" i="2"/>
  <c r="FJ123" i="2"/>
  <c r="FJ42" i="2"/>
  <c r="FJ60" i="2"/>
  <c r="FJ9" i="2"/>
  <c r="FJ70" i="2"/>
  <c r="FJ140" i="2"/>
  <c r="FJ12" i="2"/>
  <c r="FJ195" i="2"/>
  <c r="FJ84" i="2"/>
  <c r="FJ50" i="2"/>
  <c r="FJ180" i="2"/>
  <c r="FJ3" i="2"/>
  <c r="C13" i="4" s="1"/>
  <c r="E13" i="4" s="1"/>
  <c r="F13" i="4" s="1"/>
  <c r="G13" i="4" s="1"/>
  <c r="L13" i="4" s="1"/>
  <c r="FJ131" i="2"/>
  <c r="FJ89" i="2"/>
  <c r="FJ121" i="2"/>
  <c r="FJ34" i="2"/>
  <c r="FJ183" i="2"/>
  <c r="FJ192" i="2"/>
  <c r="FJ129" i="2"/>
  <c r="FJ23" i="2"/>
  <c r="FJ43" i="2"/>
  <c r="FJ54" i="2"/>
  <c r="FJ111" i="2"/>
  <c r="FJ137" i="2"/>
  <c r="FJ194" i="2"/>
  <c r="FJ26" i="2"/>
  <c r="FJ143" i="2"/>
  <c r="FJ22" i="2"/>
  <c r="FJ145" i="2"/>
  <c r="FJ174" i="2"/>
  <c r="FJ41" i="2"/>
  <c r="FJ40" i="2"/>
  <c r="FJ169" i="2"/>
  <c r="FJ181" i="2"/>
  <c r="FJ200" i="2"/>
  <c r="FJ197" i="2"/>
  <c r="FJ33" i="2"/>
  <c r="FJ10" i="2"/>
  <c r="FJ51" i="2"/>
  <c r="FJ184" i="2"/>
  <c r="FJ163" i="2"/>
  <c r="FJ148" i="2"/>
  <c r="FJ104" i="2"/>
  <c r="FJ130" i="2"/>
  <c r="FJ112" i="2"/>
  <c r="FJ58" i="2"/>
  <c r="FJ152" i="2"/>
  <c r="FJ83" i="2"/>
  <c r="FJ35" i="2"/>
  <c r="FJ128" i="2"/>
  <c r="FJ29" i="2"/>
  <c r="FJ191" i="2"/>
  <c r="FJ203" i="2"/>
  <c r="FJ135" i="2"/>
  <c r="FJ158" i="2"/>
  <c r="FJ100" i="2"/>
  <c r="FJ113" i="2"/>
  <c r="FJ53" i="2"/>
  <c r="FJ95" i="2"/>
  <c r="FJ108" i="2"/>
  <c r="FJ68" i="2"/>
  <c r="FJ87" i="2"/>
  <c r="FJ193" i="2"/>
  <c r="FJ146" i="2"/>
  <c r="FJ182" i="2"/>
  <c r="FJ78" i="2"/>
  <c r="FJ147" i="2"/>
  <c r="FJ32" i="2"/>
  <c r="FJ105" i="2"/>
  <c r="FJ31" i="2"/>
  <c r="FJ20" i="2"/>
  <c r="FJ109" i="2"/>
  <c r="FJ170" i="2"/>
  <c r="FJ36" i="2"/>
  <c r="FJ75" i="2"/>
  <c r="FJ161" i="2"/>
  <c r="FJ48" i="2"/>
  <c r="FJ155" i="2"/>
  <c r="FJ76" i="2"/>
  <c r="FJ164" i="2"/>
  <c r="FJ47" i="2"/>
  <c r="FJ81" i="2"/>
  <c r="FJ16" i="2"/>
  <c r="FJ25" i="2"/>
  <c r="FJ201" i="2"/>
  <c r="FJ132" i="2"/>
  <c r="FJ4" i="2"/>
  <c r="FJ24" i="2"/>
  <c r="FJ151" i="2"/>
  <c r="FJ74" i="2"/>
  <c r="FJ125" i="2"/>
  <c r="FJ198" i="2"/>
  <c r="FJ5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67" i="2"/>
  <c r="CY49" i="2"/>
  <c r="CY175" i="2"/>
  <c r="CY19" i="2"/>
  <c r="CY117" i="2"/>
  <c r="CY124" i="2"/>
  <c r="CY76" i="2"/>
  <c r="CY178" i="2"/>
  <c r="CY142" i="2"/>
  <c r="CY73" i="2"/>
  <c r="CY111" i="2"/>
  <c r="CY182" i="2"/>
  <c r="CY20" i="2"/>
  <c r="CY150" i="2"/>
  <c r="CY56" i="2"/>
  <c r="CY187" i="2"/>
  <c r="CY64" i="2"/>
  <c r="CY183" i="2"/>
  <c r="CY157" i="2"/>
  <c r="CY138" i="2"/>
  <c r="CY171" i="2"/>
  <c r="CY193" i="2"/>
  <c r="CY180" i="2"/>
  <c r="CY130" i="2"/>
  <c r="CY52" i="2"/>
  <c r="CY85" i="2"/>
  <c r="CY113" i="2"/>
  <c r="CY145" i="2"/>
  <c r="CY63" i="2"/>
  <c r="CY55" i="2"/>
  <c r="CY129" i="2"/>
  <c r="CY59" i="2"/>
  <c r="CY38" i="2"/>
  <c r="CY10" i="2"/>
  <c r="CY156" i="2"/>
  <c r="CY108" i="2"/>
  <c r="CY23" i="2"/>
  <c r="CY15" i="2"/>
  <c r="CY134" i="2"/>
  <c r="CY82" i="2"/>
  <c r="CY149" i="2"/>
  <c r="CY66" i="2"/>
  <c r="CY98" i="2"/>
  <c r="CY45" i="2"/>
  <c r="CY135" i="2"/>
  <c r="CY92" i="2"/>
  <c r="CY139" i="2"/>
  <c r="CY41" i="2"/>
  <c r="CY143" i="2"/>
  <c r="CY203" i="2"/>
  <c r="CY202" i="2"/>
  <c r="CY81" i="2"/>
  <c r="CY13" i="2"/>
  <c r="CY114" i="2"/>
  <c r="CY140" i="2"/>
  <c r="CY122" i="2"/>
  <c r="CY34" i="2"/>
  <c r="CY191" i="2"/>
  <c r="CY190" i="2"/>
  <c r="CY51" i="2"/>
  <c r="CY199" i="2"/>
  <c r="CY9" i="2"/>
  <c r="CY75" i="2"/>
  <c r="CY158" i="2"/>
  <c r="CY7" i="2"/>
  <c r="CY30" i="2"/>
  <c r="CY176" i="2"/>
  <c r="CY14" i="2"/>
  <c r="CY86" i="2"/>
  <c r="CY54" i="2"/>
  <c r="CY169" i="2"/>
  <c r="CY155" i="2"/>
  <c r="CY95" i="2"/>
  <c r="CY89" i="2"/>
  <c r="CY25" i="2"/>
  <c r="CY36" i="2"/>
  <c r="CY26" i="2"/>
  <c r="CY118" i="2"/>
  <c r="CY125" i="2"/>
  <c r="CY97" i="2"/>
  <c r="CY62" i="2"/>
  <c r="CY29" i="2"/>
  <c r="CY17" i="2"/>
  <c r="CY165" i="2"/>
  <c r="CY18" i="2"/>
  <c r="CY177" i="2"/>
  <c r="CY39" i="2"/>
  <c r="CY53" i="2"/>
  <c r="CY61" i="2"/>
  <c r="CY40" i="2"/>
  <c r="CY22" i="2"/>
  <c r="CY184" i="2"/>
  <c r="CY196" i="2"/>
  <c r="CY96" i="2"/>
  <c r="CY6" i="2"/>
  <c r="CY5" i="2"/>
  <c r="CY87" i="2"/>
  <c r="CY141" i="2"/>
  <c r="CY28" i="2"/>
  <c r="CY161" i="2"/>
  <c r="CY164" i="2"/>
  <c r="CY43" i="2"/>
  <c r="CY144" i="2"/>
  <c r="CY173" i="2"/>
  <c r="CY137" i="2"/>
  <c r="CY31" i="2"/>
  <c r="CY65" i="2"/>
  <c r="CY120" i="2"/>
  <c r="CY119" i="2"/>
  <c r="CY88" i="2"/>
  <c r="CY8" i="2"/>
  <c r="CY179" i="2"/>
  <c r="CY181" i="2"/>
  <c r="CY197" i="2"/>
  <c r="CY110" i="2"/>
  <c r="CY170" i="2"/>
  <c r="CY189" i="2"/>
  <c r="CY148" i="2"/>
  <c r="CY131" i="2"/>
  <c r="CY166" i="2"/>
  <c r="CY106" i="2"/>
  <c r="CY105" i="2"/>
  <c r="CY16" i="2"/>
  <c r="CY112" i="2"/>
  <c r="CY101" i="2"/>
  <c r="CY12" i="2"/>
  <c r="CY172" i="2"/>
  <c r="CY21" i="2"/>
  <c r="CY70" i="2"/>
  <c r="CY83" i="2"/>
  <c r="CY44" i="2"/>
  <c r="CY79" i="2"/>
  <c r="CY72" i="2"/>
  <c r="CY84" i="2"/>
  <c r="CY103" i="2"/>
  <c r="CY160" i="2"/>
  <c r="CY185" i="2"/>
  <c r="CY80" i="2"/>
  <c r="CY107" i="2"/>
  <c r="CY4" i="2"/>
  <c r="CY74" i="2"/>
  <c r="CY152" i="2"/>
  <c r="CY93" i="2"/>
  <c r="CY162" i="2"/>
  <c r="CY33" i="2"/>
  <c r="CY146" i="2"/>
  <c r="CY3" i="2"/>
  <c r="C10" i="4" s="1"/>
  <c r="E10" i="4" s="1"/>
  <c r="F10" i="4" s="1"/>
  <c r="G10" i="4" s="1"/>
  <c r="L10" i="4" s="1"/>
  <c r="CY163" i="2"/>
  <c r="CY94" i="2"/>
  <c r="CY77" i="2"/>
  <c r="CY47" i="2"/>
  <c r="CY151" i="2"/>
  <c r="CY58" i="2"/>
  <c r="CY195" i="2"/>
  <c r="CY48" i="2"/>
  <c r="CY32" i="2"/>
  <c r="CY188" i="2"/>
  <c r="CY90" i="2"/>
  <c r="CY67" i="2"/>
  <c r="CY42" i="2"/>
  <c r="CY68" i="2"/>
  <c r="CY168" i="2"/>
  <c r="CY136" i="2"/>
  <c r="CY200" i="2"/>
  <c r="CY186" i="2"/>
  <c r="CY133" i="2"/>
  <c r="CY198" i="2"/>
  <c r="CY50" i="2"/>
  <c r="CY194" i="2"/>
  <c r="CY201" i="2"/>
  <c r="CY46" i="2"/>
  <c r="CY153" i="2"/>
  <c r="CY35" i="2"/>
  <c r="CY78" i="2"/>
  <c r="CY57" i="2"/>
  <c r="CY123" i="2"/>
  <c r="CY37" i="2"/>
  <c r="CY121" i="2"/>
  <c r="CY126" i="2"/>
  <c r="CY99" i="2"/>
  <c r="CY128" i="2"/>
  <c r="CY91" i="2"/>
  <c r="CY69" i="2"/>
  <c r="CY27" i="2"/>
  <c r="CY104" i="2"/>
  <c r="CY109" i="2"/>
  <c r="CY60" i="2"/>
  <c r="CY100" i="2"/>
  <c r="CY154" i="2"/>
  <c r="CY116" i="2"/>
  <c r="CY132" i="2"/>
  <c r="CY192" i="2"/>
  <c r="CY115" i="2"/>
  <c r="CY127" i="2"/>
  <c r="CY102" i="2"/>
  <c r="CY11" i="2"/>
  <c r="CY159" i="2"/>
  <c r="CY174" i="2"/>
  <c r="CY147" i="2"/>
  <c r="CY71" i="2"/>
  <c r="GZ45" i="2"/>
  <c r="GZ98" i="2"/>
  <c r="GZ85" i="2"/>
  <c r="GZ155" i="2"/>
  <c r="GZ76" i="2"/>
  <c r="GZ61" i="2"/>
  <c r="GZ70" i="2"/>
  <c r="GZ18" i="2"/>
  <c r="GZ58" i="2"/>
  <c r="GZ171" i="2"/>
  <c r="GZ193" i="2"/>
  <c r="GZ186" i="2"/>
  <c r="GZ102" i="2"/>
  <c r="GZ156" i="2"/>
  <c r="GZ149" i="2"/>
  <c r="GZ30" i="2"/>
  <c r="GZ116" i="2"/>
  <c r="GZ152" i="2"/>
  <c r="GZ161" i="2"/>
  <c r="GZ77" i="2"/>
  <c r="GZ115" i="2"/>
  <c r="GZ124" i="2"/>
  <c r="GZ180" i="2"/>
  <c r="GZ86" i="2"/>
  <c r="GZ95" i="2"/>
  <c r="GZ195" i="2"/>
  <c r="GZ89" i="2"/>
  <c r="GZ15" i="2"/>
  <c r="GZ74" i="2"/>
  <c r="GZ189" i="2"/>
  <c r="GZ192" i="2"/>
  <c r="GZ37" i="2"/>
  <c r="GZ168" i="2"/>
  <c r="GZ23" i="2"/>
  <c r="GZ16" i="2"/>
  <c r="GZ144" i="2"/>
  <c r="GZ198" i="2"/>
  <c r="GZ183" i="2"/>
  <c r="GZ48" i="2"/>
  <c r="GZ47" i="2"/>
  <c r="GZ162" i="2"/>
  <c r="GZ123" i="2"/>
  <c r="GZ127" i="2"/>
  <c r="GZ128" i="2"/>
  <c r="GZ158" i="2"/>
  <c r="GZ59" i="2"/>
  <c r="GZ91" i="2"/>
  <c r="GZ137" i="2"/>
  <c r="GZ53" i="2"/>
  <c r="GZ109" i="2"/>
  <c r="GZ100" i="2"/>
  <c r="GZ32" i="2"/>
  <c r="GZ41" i="2"/>
  <c r="GZ71" i="2"/>
  <c r="GZ202" i="2"/>
  <c r="GZ65" i="2"/>
  <c r="GZ60" i="2"/>
  <c r="GZ165" i="2"/>
  <c r="GZ28" i="2"/>
  <c r="GZ36" i="2"/>
  <c r="GZ120" i="2"/>
  <c r="GZ174" i="2"/>
  <c r="GZ82" i="2"/>
  <c r="GZ27" i="2"/>
  <c r="GZ153" i="2"/>
  <c r="GZ138" i="2"/>
  <c r="GZ78" i="2"/>
  <c r="GZ26" i="2"/>
  <c r="GZ125" i="2"/>
  <c r="GZ57" i="2"/>
  <c r="GZ188" i="2"/>
  <c r="GZ104" i="2"/>
  <c r="GZ20" i="2"/>
  <c r="GZ159" i="2"/>
  <c r="GZ83" i="2"/>
  <c r="GZ190" i="2"/>
  <c r="GZ199" i="2"/>
  <c r="GZ64" i="2"/>
  <c r="GZ169" i="2"/>
  <c r="GZ178" i="2"/>
  <c r="GZ17" i="2"/>
  <c r="GZ132" i="2"/>
  <c r="GZ141" i="2"/>
  <c r="GZ4" i="2"/>
  <c r="GZ79" i="2"/>
  <c r="GZ117" i="2"/>
  <c r="GZ107" i="2"/>
  <c r="GZ182" i="2"/>
  <c r="GZ96" i="2"/>
  <c r="GZ150" i="2"/>
  <c r="GZ13" i="2"/>
  <c r="GZ194" i="2"/>
  <c r="GZ177" i="2"/>
  <c r="GZ101" i="2"/>
  <c r="GZ33" i="2"/>
  <c r="GZ164" i="2"/>
  <c r="GZ80" i="2"/>
  <c r="GZ163" i="2"/>
  <c r="GZ135" i="2"/>
  <c r="GZ139" i="2"/>
  <c r="GZ166" i="2"/>
  <c r="GZ114" i="2"/>
  <c r="GZ14" i="2"/>
  <c r="GZ145" i="2"/>
  <c r="GZ175" i="2"/>
  <c r="GZ40" i="2"/>
  <c r="GZ108" i="2"/>
  <c r="GZ154" i="2"/>
  <c r="GZ43" i="2"/>
  <c r="GZ84" i="2"/>
  <c r="GZ93" i="2"/>
  <c r="GZ25" i="2"/>
  <c r="GZ55" i="2"/>
  <c r="GZ72" i="2"/>
  <c r="GZ126" i="2"/>
  <c r="GZ21" i="2"/>
  <c r="GZ19" i="2"/>
  <c r="GZ129" i="2"/>
  <c r="GZ191" i="2"/>
  <c r="GZ56" i="2"/>
  <c r="GZ92" i="2"/>
  <c r="GZ170" i="2"/>
  <c r="GZ9" i="2"/>
  <c r="GZ140" i="2"/>
  <c r="GZ133" i="2"/>
  <c r="GZ99" i="2"/>
  <c r="GZ111" i="2"/>
  <c r="GZ112" i="2"/>
  <c r="GZ50" i="2"/>
  <c r="GZ142" i="2"/>
  <c r="GZ90" i="2"/>
  <c r="GZ147" i="2"/>
  <c r="GZ121" i="2"/>
  <c r="GZ130" i="2"/>
  <c r="GZ46" i="2"/>
  <c r="GZ51" i="2"/>
  <c r="GZ106" i="2"/>
  <c r="GZ22" i="2"/>
  <c r="GZ31" i="2"/>
  <c r="GZ69" i="2"/>
  <c r="GZ200" i="2"/>
  <c r="GZ34" i="2"/>
  <c r="GZ75" i="2"/>
  <c r="GZ105" i="2"/>
  <c r="GZ196" i="2"/>
  <c r="GZ6" i="2"/>
  <c r="GZ68" i="2"/>
  <c r="GZ167" i="2"/>
  <c r="GZ184" i="2"/>
  <c r="GZ39" i="2"/>
  <c r="GZ146" i="2"/>
  <c r="GZ187" i="2"/>
  <c r="GZ87" i="2"/>
  <c r="GZ118" i="2"/>
  <c r="GZ113" i="2"/>
  <c r="GZ88" i="2"/>
  <c r="GZ97" i="2"/>
  <c r="GZ29" i="2"/>
  <c r="GZ203" i="2"/>
  <c r="GZ73" i="2"/>
  <c r="GZ5" i="2"/>
  <c r="GZ197" i="2"/>
  <c r="GZ54" i="2"/>
  <c r="GZ201" i="2"/>
  <c r="GZ176" i="2"/>
  <c r="GZ10" i="2"/>
  <c r="GZ66" i="2"/>
  <c r="GZ8" i="2"/>
  <c r="GZ172" i="2"/>
  <c r="GZ131" i="2"/>
  <c r="GZ81" i="2"/>
  <c r="GZ143" i="2"/>
  <c r="GZ181" i="2"/>
  <c r="GZ62" i="2"/>
  <c r="GZ122" i="2"/>
  <c r="GZ160" i="2"/>
  <c r="GZ179" i="2"/>
  <c r="GZ63" i="2"/>
  <c r="GZ103" i="2"/>
  <c r="GZ94" i="2"/>
  <c r="GZ52" i="2"/>
  <c r="GZ11" i="2"/>
  <c r="GZ49" i="2"/>
  <c r="GZ44" i="2"/>
  <c r="GZ67" i="2"/>
  <c r="GZ12" i="2"/>
  <c r="GZ151" i="2"/>
  <c r="GZ173" i="2"/>
  <c r="GZ7" i="2"/>
  <c r="GZ24" i="2"/>
  <c r="GZ35" i="2"/>
  <c r="GZ185" i="2"/>
  <c r="GZ42" i="2"/>
  <c r="GZ110" i="2"/>
  <c r="GZ148" i="2"/>
  <c r="GZ157" i="2"/>
  <c r="GZ134" i="2"/>
  <c r="GZ119" i="2"/>
  <c r="GZ136" i="2"/>
  <c r="GZ38" i="2"/>
  <c r="GZ3" i="2"/>
  <c r="C15" i="4" s="1"/>
  <c r="E15" i="4" s="1"/>
  <c r="F15" i="4" s="1"/>
  <c r="G15" i="4" s="1"/>
  <c r="L15" i="4" s="1"/>
  <c r="GE11" i="2"/>
  <c r="GE33" i="2"/>
  <c r="GE116" i="2"/>
  <c r="GE72" i="2"/>
  <c r="GE150" i="2"/>
  <c r="GE186" i="2"/>
  <c r="GE53" i="2"/>
  <c r="GE65" i="2"/>
  <c r="GE43" i="2"/>
  <c r="GE56" i="2"/>
  <c r="GE19" i="2"/>
  <c r="GE125" i="2"/>
  <c r="GE178" i="2"/>
  <c r="GE29" i="2"/>
  <c r="GE23" i="2"/>
  <c r="GE64" i="2"/>
  <c r="GE13" i="2"/>
  <c r="GE108" i="2"/>
  <c r="GE87" i="2"/>
  <c r="GE146" i="2"/>
  <c r="GE198" i="2"/>
  <c r="GE109" i="2"/>
  <c r="GE182" i="2"/>
  <c r="GE189" i="2"/>
  <c r="GE85" i="2"/>
  <c r="GE120" i="2"/>
  <c r="GE126" i="2"/>
  <c r="GE154" i="2"/>
  <c r="GE12" i="2"/>
  <c r="GE153" i="2"/>
  <c r="GE49" i="2"/>
  <c r="GE75" i="2"/>
  <c r="GE58" i="2"/>
  <c r="GE83" i="2"/>
  <c r="GE180" i="2"/>
  <c r="GE114" i="2"/>
  <c r="GE201" i="2"/>
  <c r="GE112" i="2"/>
  <c r="GE68" i="2"/>
  <c r="GE190" i="2"/>
  <c r="GE143" i="2"/>
  <c r="GE66" i="2"/>
  <c r="GE130" i="2"/>
  <c r="GE7" i="2"/>
  <c r="GE50" i="2"/>
  <c r="GE97" i="2"/>
  <c r="GE88" i="2"/>
  <c r="GE158" i="2"/>
  <c r="GE183" i="2"/>
  <c r="GE20" i="2"/>
  <c r="GE24" i="2"/>
  <c r="GE139" i="2"/>
  <c r="GE31" i="2"/>
  <c r="GE163" i="2"/>
  <c r="GE192" i="2"/>
  <c r="GE5" i="2"/>
  <c r="GE69" i="2"/>
  <c r="GE10" i="2"/>
  <c r="GE127" i="2"/>
  <c r="GE195" i="2"/>
  <c r="GE176" i="2"/>
  <c r="GE187" i="2"/>
  <c r="GE77" i="2"/>
  <c r="GE90" i="2"/>
  <c r="GE136" i="2"/>
  <c r="GE86" i="2"/>
  <c r="GE55" i="2"/>
  <c r="GE172" i="2"/>
  <c r="GE9" i="2"/>
  <c r="GE169" i="2"/>
  <c r="GE16" i="2"/>
  <c r="GE141" i="2"/>
  <c r="GE59" i="2"/>
  <c r="GE25" i="2"/>
  <c r="GE137" i="2"/>
  <c r="GE123" i="2"/>
  <c r="GE175" i="2"/>
  <c r="GE34" i="2"/>
  <c r="GE3" i="2"/>
  <c r="C14" i="4" s="1"/>
  <c r="E14" i="4" s="1"/>
  <c r="F14" i="4" s="1"/>
  <c r="G14" i="4" s="1"/>
  <c r="L14" i="4" s="1"/>
  <c r="GE132" i="2"/>
  <c r="GE41" i="2"/>
  <c r="GE57" i="2"/>
  <c r="GE145" i="2"/>
  <c r="GE159" i="2"/>
  <c r="GE155" i="2"/>
  <c r="GE94" i="2"/>
  <c r="GE140" i="2"/>
  <c r="GE165" i="2"/>
  <c r="GE39" i="2"/>
  <c r="GE157" i="2"/>
  <c r="GE46" i="2"/>
  <c r="GE67" i="2"/>
  <c r="GE98" i="2"/>
  <c r="GE170" i="2"/>
  <c r="GE119" i="2"/>
  <c r="GE47" i="2"/>
  <c r="GE51" i="2"/>
  <c r="GE148" i="2"/>
  <c r="GE179" i="2"/>
  <c r="GE117" i="2"/>
  <c r="GE142" i="2"/>
  <c r="GE60" i="2"/>
  <c r="GE35" i="2"/>
  <c r="GE27" i="2"/>
  <c r="GE185" i="2"/>
  <c r="GE135" i="2"/>
  <c r="GE48" i="2"/>
  <c r="GE100" i="2"/>
  <c r="GE96" i="2"/>
  <c r="GE71" i="2"/>
  <c r="GE196" i="2"/>
  <c r="GE197" i="2"/>
  <c r="GE104" i="2"/>
  <c r="GE113" i="2"/>
  <c r="GE152" i="2"/>
  <c r="GE62" i="2"/>
  <c r="GE36" i="2"/>
  <c r="GE133" i="2"/>
  <c r="GE161" i="2"/>
  <c r="GE93" i="2"/>
  <c r="GE181" i="2"/>
  <c r="GE160" i="2"/>
  <c r="GE92" i="2"/>
  <c r="GE22" i="2"/>
  <c r="GE26" i="2"/>
  <c r="GE89" i="2"/>
  <c r="GE91" i="2"/>
  <c r="GE17" i="2"/>
  <c r="GE134" i="2"/>
  <c r="GE144" i="2"/>
  <c r="GE101" i="2"/>
  <c r="GE177" i="2"/>
  <c r="GE188" i="2"/>
  <c r="GE149" i="2"/>
  <c r="GE80" i="2"/>
  <c r="GE107" i="2"/>
  <c r="GE21" i="2"/>
  <c r="GE129" i="2"/>
  <c r="GE122" i="2"/>
  <c r="GE156" i="2"/>
  <c r="GE193" i="2"/>
  <c r="GE82" i="2"/>
  <c r="GE73" i="2"/>
  <c r="GE78" i="2"/>
  <c r="GE52" i="2"/>
  <c r="GE54" i="2"/>
  <c r="GE102" i="2"/>
  <c r="GE147" i="2"/>
  <c r="GE84" i="2"/>
  <c r="GE32" i="2"/>
  <c r="GE30" i="2"/>
  <c r="GE103" i="2"/>
  <c r="GE194" i="2"/>
  <c r="GE164" i="2"/>
  <c r="GE28" i="2"/>
  <c r="GE200" i="2"/>
  <c r="GE18" i="2"/>
  <c r="GE173" i="2"/>
  <c r="GE79" i="2"/>
  <c r="GE38" i="2"/>
  <c r="GE70" i="2"/>
  <c r="GE8" i="2"/>
  <c r="GE167" i="2"/>
  <c r="GE166" i="2"/>
  <c r="GE115" i="2"/>
  <c r="GE138" i="2"/>
  <c r="GE128" i="2"/>
  <c r="GE174" i="2"/>
  <c r="GE74" i="2"/>
  <c r="GE15" i="2"/>
  <c r="GE81" i="2"/>
  <c r="GE105" i="2"/>
  <c r="GE202" i="2"/>
  <c r="GE118" i="2"/>
  <c r="GE124" i="2"/>
  <c r="GE37" i="2"/>
  <c r="GE184" i="2"/>
  <c r="GE203" i="2"/>
  <c r="GE40" i="2"/>
  <c r="GE63" i="2"/>
  <c r="GE110" i="2"/>
  <c r="GE171" i="2"/>
  <c r="GE199" i="2"/>
  <c r="GE99" i="2"/>
  <c r="GE14" i="2"/>
  <c r="GE61" i="2"/>
  <c r="GE151" i="2"/>
  <c r="GE168" i="2"/>
  <c r="GE131" i="2"/>
  <c r="GE4" i="2"/>
  <c r="GE45" i="2"/>
  <c r="GE111" i="2"/>
  <c r="GE6" i="2"/>
  <c r="GE121" i="2"/>
  <c r="GE162" i="2"/>
  <c r="GE76" i="2"/>
  <c r="GE42" i="2"/>
  <c r="GE44" i="2"/>
  <c r="GE95" i="2"/>
  <c r="GE191" i="2"/>
  <c r="GE10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<sst xmlns="http://schemas.openxmlformats.org/spreadsheetml/2006/main" count="1179" uniqueCount="324">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</sst>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105.33256160896025</c:v>
                </c:pt>
                <c:pt idx="22">
                  <c:v>118.68765703693884</c:v>
                </c:pt>
                <c:pt idx="23">
                  <c:v>132.00607910533233</c:v>
                </c:pt>
                <c:pt idx="24">
                  <c:v>145.29205371594364</c:v>
                </c:pt>
                <c:pt idx="25">
                  <c:v>158.54896885113661</c:v>
                </c:pt>
                <c:pt idx="26">
                  <c:v>171.77959852127819</c:v>
                </c:pt>
                <c:pt idx="27">
                  <c:v>184.98625382636752</c:v>
                </c:pt>
                <c:pt idx="28">
                  <c:v>198.17088847838662</c:v>
                </c:pt>
                <c:pt idx="29">
                  <c:v>211.33517469493427</c:v>
                </c:pt>
                <c:pt idx="30">
                  <c:v>224.48055915021371</c:v>
                </c:pt>
                <c:pt idx="31">
                  <c:v>181.0056966472836</c:v>
                </c:pt>
                <c:pt idx="32">
                  <c:v>198.17088847838662</c:v>
                </c:pt>
                <c:pt idx="33">
                  <c:v>215.30158542445329</c:v>
                </c:pt>
                <c:pt idx="34">
                  <c:v>232.40091885863032</c:v>
                </c:pt>
                <c:pt idx="35">
                  <c:v>249.47152135339442</c:v>
                </c:pt>
                <c:pt idx="36">
                  <c:v>266.51563557170846</c:v>
                </c:pt>
                <c:pt idx="37">
                  <c:v>283.53519379457327</c:v>
                </c:pt>
                <c:pt idx="38">
                  <c:v>300.53187732710791</c:v>
                </c:pt>
                <c:pt idx="39">
                  <c:v>317.50716174761413</c:v>
                </c:pt>
                <c:pt idx="40">
                  <c:v>334.46235196533485</c:v>
                </c:pt>
                <c:pt idx="41">
                  <c:v>264.64617237974602</c:v>
                </c:pt>
                <c:pt idx="42">
                  <c:v>281.875781441058</c:v>
                </c:pt>
                <c:pt idx="43">
                  <c:v>299.08179593347916</c:v>
                </c:pt>
                <c:pt idx="44">
                  <c:v>316.26576406048815</c:v>
                </c:pt>
                <c:pt idx="45">
                  <c:v>333.42905204366178</c:v>
                </c:pt>
                <c:pt idx="46">
                  <c:v>350.57287397635611</c:v>
                </c:pt>
                <c:pt idx="47">
                  <c:v>367.69831552955276</c:v>
                </c:pt>
                <c:pt idx="48">
                  <c:v>384.80635300902651</c:v>
                </c:pt>
                <c:pt idx="49">
                  <c:v>401.89786884571572</c:v>
                </c:pt>
                <c:pt idx="50">
                  <c:v>418.97366431319239</c:v>
                </c:pt>
                <c:pt idx="51">
                  <c:v>348.5083475091464</c:v>
                </c:pt>
                <c:pt idx="52">
                  <c:v>364.60467177597531</c:v>
                </c:pt>
                <c:pt idx="53">
                  <c:v>380.6854771904396</c:v>
                </c:pt>
                <c:pt idx="54">
                  <c:v>396.75151144221542</c:v>
                </c:pt>
                <c:pt idx="55">
                  <c:v>412.80345673799087</c:v>
                </c:pt>
                <c:pt idx="56">
                  <c:v>428.8419379127327</c:v>
                </c:pt>
                <c:pt idx="57">
                  <c:v>444.8675292642634</c:v>
                </c:pt>
                <c:pt idx="58">
                  <c:v>460.88076035176641</c:v>
                </c:pt>
                <c:pt idx="59">
                  <c:v>476.88212094653846</c:v>
                </c:pt>
                <c:pt idx="60">
                  <c:v>492.87206528378442</c:v>
                </c:pt>
                <c:pt idx="61">
                  <c:v>421.02996350009477</c:v>
                </c:pt>
                <c:pt idx="62">
                  <c:v>435.41806774560138</c:v>
                </c:pt>
                <c:pt idx="63">
                  <c:v>449.7959702900439</c:v>
                </c:pt>
                <c:pt idx="64">
                  <c:v>464.16404310302801</c:v>
                </c:pt>
                <c:pt idx="65">
                  <c:v>478.5226332523373</c:v>
                </c:pt>
                <c:pt idx="66">
                  <c:v>492.87206528378442</c:v>
                </c:pt>
                <c:pt idx="67">
                  <c:v>507.21264330953494</c:v>
                </c:pt>
                <c:pt idx="68">
                  <c:v>521.54465284801927</c:v>
                </c:pt>
                <c:pt idx="69">
                  <c:v>535.86836245112841</c:v>
                </c:pt>
                <c:pt idx="70">
                  <c:v>550.18402514843262</c:v>
                </c:pt>
                <c:pt idx="71">
                  <c:v>476.67704847595706</c:v>
                </c:pt>
                <c:pt idx="72">
                  <c:v>489.18306881439611</c:v>
                </c:pt>
                <c:pt idx="73">
                  <c:v>501.6823078361254</c:v>
                </c:pt>
                <c:pt idx="74">
                  <c:v>514.17495828122071</c:v>
                </c:pt>
                <c:pt idx="75">
                  <c:v>526.66120276156892</c:v>
                </c:pt>
                <c:pt idx="76">
                  <c:v>539.14121452564848</c:v>
                </c:pt>
                <c:pt idx="77">
                  <c:v>551.61515814882478</c:v>
                </c:pt>
                <c:pt idx="78">
                  <c:v>564.0831901579752</c:v>
                </c:pt>
                <c:pt idx="79">
                  <c:v>576.54545959803352</c:v>
                </c:pt>
                <c:pt idx="80">
                  <c:v>589.00210854701334</c:v>
                </c:pt>
                <c:pt idx="81">
                  <c:v>514.58444394878381</c:v>
                </c:pt>
                <c:pt idx="82">
                  <c:v>526.04727227111459</c:v>
                </c:pt>
                <c:pt idx="83">
                  <c:v>537.50484084926575</c:v>
                </c:pt>
                <c:pt idx="84">
                  <c:v>548.95727759071076</c:v>
                </c:pt>
                <c:pt idx="85">
                  <c:v>560.4047046315701</c:v>
                </c:pt>
                <c:pt idx="86">
                  <c:v>571.84723871208837</c:v>
                </c:pt>
                <c:pt idx="87">
                  <c:v>583.28499152050256</c:v>
                </c:pt>
                <c:pt idx="88">
                  <c:v>594.71807000854108</c:v>
                </c:pt>
                <c:pt idx="89">
                  <c:v>606.14657668140865</c:v>
                </c:pt>
                <c:pt idx="90">
                  <c:v>617.57060986477029</c:v>
                </c:pt>
                <c:pt idx="91">
                  <c:v>541.80009933248812</c:v>
                </c:pt>
                <c:pt idx="92">
                  <c:v>551.81959936072542</c:v>
                </c:pt>
                <c:pt idx="93">
                  <c:v>561.83528663769869</c:v>
                </c:pt>
                <c:pt idx="94">
                  <c:v>571.84723871208837</c:v>
                </c:pt>
                <c:pt idx="95">
                  <c:v>581.85553019581005</c:v>
                </c:pt>
                <c:pt idx="96">
                  <c:v>591.86023292490881</c:v>
                </c:pt>
                <c:pt idx="97">
                  <c:v>601.86141610901029</c:v>
                </c:pt>
                <c:pt idx="98">
                  <c:v>611.85914647032121</c:v>
                </c:pt>
                <c:pt idx="99">
                  <c:v>621.85348837307913</c:v>
                </c:pt>
                <c:pt idx="100">
                  <c:v>631.84450394424505</c:v>
                </c:pt>
                <c:pt idx="101">
                  <c:v>555.09044325536786</c:v>
                </c:pt>
                <c:pt idx="102">
                  <c:v>564.0831901579752</c:v>
                </c:pt>
                <c:pt idx="103">
                  <c:v>573.072938996895</c:v>
                </c:pt>
                <c:pt idx="104">
                  <c:v>582.05974343549497</c:v>
                </c:pt>
                <c:pt idx="105">
                  <c:v>591.04365534487897</c:v>
                </c:pt>
                <c:pt idx="106">
                  <c:v>600.02472489066179</c:v>
                </c:pt>
                <c:pt idx="107">
                  <c:v>609.00300061428106</c:v>
                </c:pt>
                <c:pt idx="108">
                  <c:v>617.97852950926347</c:v>
                </c:pt>
                <c:pt idx="109">
                  <c:v>626.95135709283238</c:v>
                </c:pt>
                <c:pt idx="110">
                  <c:v>635.9215274732029</c:v>
                </c:pt>
                <c:pt idx="111">
                  <c:v>563.87884304786564</c:v>
                </c:pt>
                <c:pt idx="112">
                  <c:v>571.43865976099494</c:v>
                </c:pt>
                <c:pt idx="113">
                  <c:v>578.99638763382347</c:v>
                </c:pt>
                <c:pt idx="114">
                  <c:v>586.55205778199377</c:v>
                </c:pt>
                <c:pt idx="115">
                  <c:v>594.10570045401585</c:v>
                </c:pt>
                <c:pt idx="116">
                  <c:v>601.65734506638853</c:v>
                </c:pt>
                <c:pt idx="117">
                  <c:v>609.20702023686715</c:v>
                </c:pt>
                <c:pt idx="118">
                  <c:v>616.75475381599517</c:v>
                </c:pt>
                <c:pt idx="119">
                  <c:v>624.3005729170128</c:v>
                </c:pt>
                <c:pt idx="120">
                  <c:v>631.84450394424448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148.52569303609548</c:v>
                </c:pt>
                <c:pt idx="22">
                  <c:v>165.80757333279709</c:v>
                </c:pt>
                <c:pt idx="23">
                  <c:v>183.04691447762266</c:v>
                </c:pt>
                <c:pt idx="24">
                  <c:v>200.24828861934861</c:v>
                </c:pt>
                <c:pt idx="25">
                  <c:v>217.41541708927375</c:v>
                </c:pt>
                <c:pt idx="26">
                  <c:v>234.55138491384025</c:v>
                </c:pt>
                <c:pt idx="27">
                  <c:v>251.65878917766895</c:v>
                </c:pt>
                <c:pt idx="28">
                  <c:v>268.73984484198542</c:v>
                </c:pt>
                <c:pt idx="29">
                  <c:v>285.79646220412945</c:v>
                </c:pt>
                <c:pt idx="30">
                  <c:v>302.83030487228262</c:v>
                </c:pt>
                <c:pt idx="31">
                  <c:v>229.84664931859365</c:v>
                </c:pt>
                <c:pt idx="32">
                  <c:v>245.08225003541085</c:v>
                </c:pt>
                <c:pt idx="33">
                  <c:v>260.29633594452849</c:v>
                </c:pt>
                <c:pt idx="34">
                  <c:v>275.49034176419678</c:v>
                </c:pt>
                <c:pt idx="35">
                  <c:v>290.66553097703087</c:v>
                </c:pt>
                <c:pt idx="36">
                  <c:v>305.82302433005196</c:v>
                </c:pt>
                <c:pt idx="37">
                  <c:v>320.9638223844147</c:v>
                </c:pt>
                <c:pt idx="38">
                  <c:v>336.08882358493878</c:v>
                </c:pt>
                <c:pt idx="39">
                  <c:v>351.19883890522402</c:v>
                </c:pt>
                <c:pt idx="40">
                  <c:v>366.29460383970832</c:v>
                </c:pt>
                <c:pt idx="41">
                  <c:v>291.22722867703129</c:v>
                </c:pt>
                <c:pt idx="42">
                  <c:v>303.95265143464206</c:v>
                </c:pt>
                <c:pt idx="43">
                  <c:v>316.66622670451289</c:v>
                </c:pt>
                <c:pt idx="44">
                  <c:v>329.36849727470786</c:v>
                </c:pt>
                <c:pt idx="45">
                  <c:v>342.05996063814382</c:v>
                </c:pt>
                <c:pt idx="46">
                  <c:v>354.74107434847832</c:v>
                </c:pt>
                <c:pt idx="47">
                  <c:v>367.41226056988802</c:v>
                </c:pt>
                <c:pt idx="48">
                  <c:v>380.07390996625026</c:v>
                </c:pt>
                <c:pt idx="49">
                  <c:v>392.72638504489856</c:v>
                </c:pt>
                <c:pt idx="50">
                  <c:v>405.37002304691242</c:v>
                </c:pt>
                <c:pt idx="51">
                  <c:v>335.90218812523602</c:v>
                </c:pt>
                <c:pt idx="52">
                  <c:v>346.53680717558655</c:v>
                </c:pt>
                <c:pt idx="53">
                  <c:v>357.16426213426638</c:v>
                </c:pt>
                <c:pt idx="54">
                  <c:v>367.78479630486135</c:v>
                </c:pt>
                <c:pt idx="55">
                  <c:v>378.39863778692774</c:v>
                </c:pt>
                <c:pt idx="56">
                  <c:v>389.00600083506555</c:v>
                </c:pt>
                <c:pt idx="57">
                  <c:v>399.60708706197852</c:v>
                </c:pt>
                <c:pt idx="58">
                  <c:v>410.20208650717768</c:v>
                </c:pt>
                <c:pt idx="59">
                  <c:v>420.79117858949138</c:v>
                </c:pt>
                <c:pt idx="60">
                  <c:v>431.37453295867721</c:v>
                </c:pt>
                <c:pt idx="61">
                  <c:v>369.64735159591146</c:v>
                </c:pt>
                <c:pt idx="62">
                  <c:v>378.58478709988776</c:v>
                </c:pt>
                <c:pt idx="63">
                  <c:v>387.5176312788663</c:v>
                </c:pt>
                <c:pt idx="64">
                  <c:v>396.44600495131073</c:v>
                </c:pt>
                <c:pt idx="65">
                  <c:v>405.37002304691231</c:v>
                </c:pt>
                <c:pt idx="66">
                  <c:v>414.28979501974965</c:v>
                </c:pt>
                <c:pt idx="67">
                  <c:v>423.20542522399984</c:v>
                </c:pt>
                <c:pt idx="68">
                  <c:v>432.11701325632811</c:v>
                </c:pt>
                <c:pt idx="69">
                  <c:v>441.02465426855321</c:v>
                </c:pt>
                <c:pt idx="70">
                  <c:v>449.92843925372944</c:v>
                </c:pt>
                <c:pt idx="71">
                  <c:v>395.51617117728159</c:v>
                </c:pt>
                <c:pt idx="72">
                  <c:v>402.39582743654256</c:v>
                </c:pt>
                <c:pt idx="73">
                  <c:v>409.27293949098544</c:v>
                </c:pt>
                <c:pt idx="74">
                  <c:v>416.14755615430437</c:v>
                </c:pt>
                <c:pt idx="75">
                  <c:v>423.01972449465916</c:v>
                </c:pt>
                <c:pt idx="76">
                  <c:v>429.88948992506403</c:v>
                </c:pt>
                <c:pt idx="77">
                  <c:v>436.75689628769379</c:v>
                </c:pt>
                <c:pt idx="78">
                  <c:v>443.62198593261002</c:v>
                </c:pt>
                <c:pt idx="79">
                  <c:v>450.48479979135647</c:v>
                </c:pt>
                <c:pt idx="80">
                  <c:v>457.34537744583599</c:v>
                </c:pt>
                <c:pt idx="81">
                  <c:v>412.98925533052557</c:v>
                </c:pt>
                <c:pt idx="82">
                  <c:v>418.7481215104533</c:v>
                </c:pt>
                <c:pt idx="83">
                  <c:v>424.5052812594501</c:v>
                </c:pt>
                <c:pt idx="84">
                  <c:v>430.26076100517776</c:v>
                </c:pt>
                <c:pt idx="85">
                  <c:v>436.01458640998993</c:v>
                </c:pt>
                <c:pt idx="86">
                  <c:v>441.76678240312714</c:v>
                </c:pt>
                <c:pt idx="87">
                  <c:v>447.5173732111453</c:v>
                </c:pt>
                <c:pt idx="88">
                  <c:v>453.26638238669875</c:v>
                </c:pt>
                <c:pt idx="89">
                  <c:v>459.01383283578645</c:v>
                </c:pt>
                <c:pt idx="90">
                  <c:v>464.7597468435597</c:v>
                </c:pt>
                <c:pt idx="91">
                  <c:v>427.47605959569478</c:v>
                </c:pt>
                <c:pt idx="92">
                  <c:v>432.8594661465051</c:v>
                </c:pt>
                <c:pt idx="93">
                  <c:v>438.24143487072706</c:v>
                </c:pt>
                <c:pt idx="94">
                  <c:v>443.62198593261002</c:v>
                </c:pt>
                <c:pt idx="95">
                  <c:v>449.00113896695365</c:v>
                </c:pt>
                <c:pt idx="96">
                  <c:v>454.37891309932837</c:v>
                </c:pt>
                <c:pt idx="97">
                  <c:v>459.75532696528722</c:v>
                </c:pt>
                <c:pt idx="98">
                  <c:v>465.13039872863186</c:v>
                </c:pt>
                <c:pt idx="99">
                  <c:v>470.50414609878999</c:v>
                </c:pt>
                <c:pt idx="100">
                  <c:v>475.87658634735823</c:v>
                </c:pt>
                <c:pt idx="101">
                  <c:v>433.23068233058694</c:v>
                </c:pt>
                <c:pt idx="102">
                  <c:v>433.23068233058694</c:v>
                </c:pt>
                <c:pt idx="103">
                  <c:v>433.23068233058694</c:v>
                </c:pt>
                <c:pt idx="104">
                  <c:v>433.23068233058694</c:v>
                </c:pt>
                <c:pt idx="105">
                  <c:v>433.23068233058694</c:v>
                </c:pt>
                <c:pt idx="106">
                  <c:v>433.23068233058694</c:v>
                </c:pt>
                <c:pt idx="107">
                  <c:v>433.23068233058694</c:v>
                </c:pt>
                <c:pt idx="108">
                  <c:v>433.23068233058694</c:v>
                </c:pt>
                <c:pt idx="109">
                  <c:v>433.23068233058694</c:v>
                </c:pt>
                <c:pt idx="110">
                  <c:v>433.23068233058694</c:v>
                </c:pt>
                <c:pt idx="111">
                  <c:v>433.23068233058694</c:v>
                </c:pt>
                <c:pt idx="112">
                  <c:v>433.23068233058694</c:v>
                </c:pt>
                <c:pt idx="113">
                  <c:v>433.23068233058694</c:v>
                </c:pt>
                <c:pt idx="114">
                  <c:v>433.23068233058694</c:v>
                </c:pt>
                <c:pt idx="115">
                  <c:v>433.23068233058694</c:v>
                </c:pt>
                <c:pt idx="116">
                  <c:v>433.23068233058694</c:v>
                </c:pt>
                <c:pt idx="117">
                  <c:v>433.23068233058694</c:v>
                </c:pt>
                <c:pt idx="118">
                  <c:v>433.23068233058694</c:v>
                </c:pt>
                <c:pt idx="119">
                  <c:v>433.23068233058694</c:v>
                </c:pt>
                <c:pt idx="120">
                  <c:v>433.23068233058694</c:v>
                </c:pt>
                <c:pt idx="121">
                  <c:v>433.23068233058694</c:v>
                </c:pt>
                <c:pt idx="122">
                  <c:v>433.23068233058694</c:v>
                </c:pt>
                <c:pt idx="123">
                  <c:v>433.23068233058694</c:v>
                </c:pt>
                <c:pt idx="124">
                  <c:v>433.23068233058694</c:v>
                </c:pt>
                <c:pt idx="125">
                  <c:v>433.23068233058694</c:v>
                </c:pt>
                <c:pt idx="126">
                  <c:v>433.23068233058694</c:v>
                </c:pt>
                <c:pt idx="127">
                  <c:v>433.23068233058694</c:v>
                </c:pt>
                <c:pt idx="128">
                  <c:v>433.23068233058694</c:v>
                </c:pt>
                <c:pt idx="129">
                  <c:v>433.23068233058694</c:v>
                </c:pt>
                <c:pt idx="130">
                  <c:v>433.23068233058694</c:v>
                </c:pt>
                <c:pt idx="131">
                  <c:v>433.23068233058694</c:v>
                </c:pt>
                <c:pt idx="132">
                  <c:v>433.23068233058694</c:v>
                </c:pt>
                <c:pt idx="133">
                  <c:v>433.23068233058694</c:v>
                </c:pt>
                <c:pt idx="134">
                  <c:v>433.23068233058694</c:v>
                </c:pt>
                <c:pt idx="135">
                  <c:v>433.23068233058694</c:v>
                </c:pt>
                <c:pt idx="136">
                  <c:v>433.23068233058694</c:v>
                </c:pt>
                <c:pt idx="137">
                  <c:v>433.23068233058694</c:v>
                </c:pt>
                <c:pt idx="138">
                  <c:v>433.23068233058694</c:v>
                </c:pt>
                <c:pt idx="139">
                  <c:v>433.23068233058694</c:v>
                </c:pt>
                <c:pt idx="140">
                  <c:v>433.23068233058694</c:v>
                </c:pt>
                <c:pt idx="141">
                  <c:v>433.23068233058694</c:v>
                </c:pt>
                <c:pt idx="142">
                  <c:v>433.23068233058694</c:v>
                </c:pt>
                <c:pt idx="143">
                  <c:v>433.23068233058694</c:v>
                </c:pt>
                <c:pt idx="144">
                  <c:v>433.23068233058694</c:v>
                </c:pt>
                <c:pt idx="145">
                  <c:v>433.23068233058694</c:v>
                </c:pt>
                <c:pt idx="146">
                  <c:v>433.23068233058694</c:v>
                </c:pt>
                <c:pt idx="147">
                  <c:v>433.23068233058694</c:v>
                </c:pt>
                <c:pt idx="148">
                  <c:v>433.23068233058694</c:v>
                </c:pt>
                <c:pt idx="149">
                  <c:v>433.23068233058694</c:v>
                </c:pt>
                <c:pt idx="150">
                  <c:v>433.23068233058694</c:v>
                </c:pt>
                <c:pt idx="151">
                  <c:v>433.23068233058694</c:v>
                </c:pt>
                <c:pt idx="152">
                  <c:v>433.23068233058694</c:v>
                </c:pt>
                <c:pt idx="153">
                  <c:v>433.23068233058694</c:v>
                </c:pt>
                <c:pt idx="154">
                  <c:v>433.23068233058694</c:v>
                </c:pt>
                <c:pt idx="155">
                  <c:v>433.23068233058694</c:v>
                </c:pt>
                <c:pt idx="156">
                  <c:v>433.23068233058694</c:v>
                </c:pt>
                <c:pt idx="157">
                  <c:v>433.23068233058694</c:v>
                </c:pt>
                <c:pt idx="158">
                  <c:v>433.23068233058694</c:v>
                </c:pt>
                <c:pt idx="159">
                  <c:v>433.23068233058694</c:v>
                </c:pt>
                <c:pt idx="160">
                  <c:v>433.23068233058694</c:v>
                </c:pt>
                <c:pt idx="161">
                  <c:v>433.23068233058694</c:v>
                </c:pt>
                <c:pt idx="162">
                  <c:v>433.23068233058694</c:v>
                </c:pt>
                <c:pt idx="163">
                  <c:v>433.23068233058694</c:v>
                </c:pt>
                <c:pt idx="164">
                  <c:v>433.23068233058694</c:v>
                </c:pt>
                <c:pt idx="165">
                  <c:v>433.23068233058694</c:v>
                </c:pt>
                <c:pt idx="166">
                  <c:v>433.23068233058694</c:v>
                </c:pt>
                <c:pt idx="167">
                  <c:v>433.23068233058694</c:v>
                </c:pt>
                <c:pt idx="168">
                  <c:v>433.23068233058694</c:v>
                </c:pt>
                <c:pt idx="169">
                  <c:v>433.23068233058694</c:v>
                </c:pt>
                <c:pt idx="170">
                  <c:v>433.23068233058694</c:v>
                </c:pt>
                <c:pt idx="171">
                  <c:v>433.23068233058694</c:v>
                </c:pt>
                <c:pt idx="172">
                  <c:v>433.23068233058694</c:v>
                </c:pt>
                <c:pt idx="173">
                  <c:v>433.23068233058694</c:v>
                </c:pt>
                <c:pt idx="174">
                  <c:v>433.23068233058694</c:v>
                </c:pt>
                <c:pt idx="175">
                  <c:v>433.23068233058694</c:v>
                </c:pt>
                <c:pt idx="176">
                  <c:v>433.23068233058694</c:v>
                </c:pt>
                <c:pt idx="177">
                  <c:v>433.23068233058694</c:v>
                </c:pt>
                <c:pt idx="178">
                  <c:v>433.23068233058694</c:v>
                </c:pt>
                <c:pt idx="179">
                  <c:v>433.23068233058694</c:v>
                </c:pt>
                <c:pt idx="180">
                  <c:v>433.23068233058694</c:v>
                </c:pt>
                <c:pt idx="181">
                  <c:v>433.23068233058694</c:v>
                </c:pt>
                <c:pt idx="182">
                  <c:v>433.23068233058694</c:v>
                </c:pt>
                <c:pt idx="183">
                  <c:v>433.23068233058694</c:v>
                </c:pt>
                <c:pt idx="184">
                  <c:v>433.23068233058694</c:v>
                </c:pt>
                <c:pt idx="185">
                  <c:v>433.23068233058694</c:v>
                </c:pt>
                <c:pt idx="186">
                  <c:v>433.23068233058694</c:v>
                </c:pt>
                <c:pt idx="187">
                  <c:v>433.23068233058694</c:v>
                </c:pt>
                <c:pt idx="188">
                  <c:v>433.23068233058694</c:v>
                </c:pt>
                <c:pt idx="189">
                  <c:v>433.23068233058694</c:v>
                </c:pt>
                <c:pt idx="190">
                  <c:v>433.23068233058694</c:v>
                </c:pt>
                <c:pt idx="191">
                  <c:v>433.23068233058694</c:v>
                </c:pt>
                <c:pt idx="192">
                  <c:v>433.23068233058694</c:v>
                </c:pt>
                <c:pt idx="193">
                  <c:v>433.23068233058694</c:v>
                </c:pt>
                <c:pt idx="194">
                  <c:v>433.23068233058694</c:v>
                </c:pt>
                <c:pt idx="195">
                  <c:v>433.23068233058694</c:v>
                </c:pt>
                <c:pt idx="196">
                  <c:v>433.23068233058694</c:v>
                </c:pt>
                <c:pt idx="197">
                  <c:v>433.23068233058694</c:v>
                </c:pt>
                <c:pt idx="198">
                  <c:v>433.23068233058694</c:v>
                </c:pt>
                <c:pt idx="199">
                  <c:v>433.23068233058694</c:v>
                </c:pt>
                <c:pt idx="200">
                  <c:v>433.23068233058694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3.1789133645949152</c:v>
                </c:pt>
                <c:pt idx="2">
                  <c:v>3.8066012494147365</c:v>
                </c:pt>
                <c:pt idx="3">
                  <c:v>4.5586856518299959</c:v>
                </c:pt>
                <c:pt idx="4">
                  <c:v>5.4599051822734497</c:v>
                </c:pt>
                <c:pt idx="5">
                  <c:v>6.5399341005058345</c:v>
                </c:pt>
                <c:pt idx="6">
                  <c:v>7.8343699878635862</c:v>
                </c:pt>
                <c:pt idx="7">
                  <c:v>9.3859196082097007</c:v>
                </c:pt>
                <c:pt idx="8">
                  <c:v>11.245822827226961</c:v>
                </c:pt>
                <c:pt idx="9">
                  <c:v>13.475562498771119</c:v>
                </c:pt>
                <c:pt idx="10">
                  <c:v>16.148917890424809</c:v>
                </c:pt>
                <c:pt idx="11">
                  <c:v>19.35443083699084</c:v>
                </c:pt>
                <c:pt idx="12">
                  <c:v>23.198367775946725</c:v>
                </c:pt>
                <c:pt idx="13">
                  <c:v>27.808277608584905</c:v>
                </c:pt>
                <c:pt idx="14">
                  <c:v>33.337265516940001</c:v>
                </c:pt>
                <c:pt idx="15">
                  <c:v>39.969127138040541</c:v>
                </c:pt>
                <c:pt idx="16">
                  <c:v>47.924516681638387</c:v>
                </c:pt>
                <c:pt idx="17">
                  <c:v>57.468357671619486</c:v>
                </c:pt>
                <c:pt idx="18">
                  <c:v>68.918747193365917</c:v>
                </c:pt>
                <c:pt idx="19">
                  <c:v>82.65765528146629</c:v>
                </c:pt>
                <c:pt idx="20">
                  <c:v>99.143782119399972</c:v>
                </c:pt>
                <c:pt idx="21">
                  <c:v>113.59433528780728</c:v>
                </c:pt>
                <c:pt idx="22">
                  <c:v>127.99981966210943</c:v>
                </c:pt>
                <c:pt idx="23">
                  <c:v>142.36602931658538</c:v>
                </c:pt>
                <c:pt idx="24">
                  <c:v>156.69748990994762</c:v>
                </c:pt>
                <c:pt idx="25">
                  <c:v>170.99782974512837</c:v>
                </c:pt>
                <c:pt idx="26">
                  <c:v>185.27001960203953</c:v>
                </c:pt>
                <c:pt idx="27">
                  <c:v>199.51653451449261</c:v>
                </c:pt>
                <c:pt idx="28">
                  <c:v>213.73946677759179</c:v>
                </c:pt>
                <c:pt idx="29">
                  <c:v>227.9406072247493</c:v>
                </c:pt>
                <c:pt idx="30">
                  <c:v>242.12150514745761</c:v>
                </c:pt>
                <c:pt idx="31">
                  <c:v>195.22253928938778</c:v>
                </c:pt>
                <c:pt idx="32">
                  <c:v>213.73946677759179</c:v>
                </c:pt>
                <c:pt idx="33">
                  <c:v>232.21945254677772</c:v>
                </c:pt>
                <c:pt idx="34">
                  <c:v>250.66585008853735</c:v>
                </c:pt>
                <c:pt idx="35">
                  <c:v>269.08147871224446</c:v>
                </c:pt>
                <c:pt idx="36">
                  <c:v>287.46874016021349</c:v>
                </c:pt>
                <c:pt idx="37">
                  <c:v>305.8297037763985</c:v>
                </c:pt>
                <c:pt idx="38">
                  <c:v>324.1661701263393</c:v>
                </c:pt>
                <c:pt idx="39">
                  <c:v>342.47971945588819</c:v>
                </c:pt>
                <c:pt idx="40">
                  <c:v>360.77174923572983</c:v>
                </c:pt>
                <c:pt idx="41">
                  <c:v>285.45194577885133</c:v>
                </c:pt>
                <c:pt idx="42">
                  <c:v>304.03949583203553</c:v>
                </c:pt>
                <c:pt idx="43">
                  <c:v>322.60177767709575</c:v>
                </c:pt>
                <c:pt idx="44">
                  <c:v>341.1404493366004</c:v>
                </c:pt>
                <c:pt idx="45">
                  <c:v>359.65697394265021</c:v>
                </c:pt>
                <c:pt idx="46">
                  <c:v>378.15265170817747</c:v>
                </c:pt>
                <c:pt idx="47">
                  <c:v>396.62864531432496</c:v>
                </c:pt>
                <c:pt idx="48">
                  <c:v>415.08600031939955</c:v>
                </c:pt>
                <c:pt idx="49">
                  <c:v>433.52566174802587</c:v>
                </c:pt>
                <c:pt idx="50">
                  <c:v>451.9484877107073</c:v>
                </c:pt>
                <c:pt idx="51">
                  <c:v>375.92532156944327</c:v>
                </c:pt>
                <c:pt idx="52">
                  <c:v>393.29101920569309</c:v>
                </c:pt>
                <c:pt idx="53">
                  <c:v>410.64009718708877</c:v>
                </c:pt>
                <c:pt idx="54">
                  <c:v>427.97335623935828</c:v>
                </c:pt>
                <c:pt idx="55">
                  <c:v>445.29152696032071</c:v>
                </c:pt>
                <c:pt idx="56">
                  <c:v>462.59527850651216</c:v>
                </c:pt>
                <c:pt idx="57">
                  <c:v>479.8852259125606</c:v>
                </c:pt>
                <c:pt idx="58">
                  <c:v>497.16193630099855</c:v>
                </c:pt>
                <c:pt idx="59">
                  <c:v>514.42593418418789</c:v>
                </c:pt>
                <c:pt idx="60">
                  <c:v>531.6777060177086</c:v>
                </c:pt>
                <c:pt idx="61">
                  <c:v>454.16700698148026</c:v>
                </c:pt>
                <c:pt idx="62">
                  <c:v>469.69022691951346</c:v>
                </c:pt>
                <c:pt idx="63">
                  <c:v>485.20252151676618</c:v>
                </c:pt>
                <c:pt idx="64">
                  <c:v>500.70428912785354</c:v>
                </c:pt>
                <c:pt idx="65">
                  <c:v>516.19590143920152</c:v>
                </c:pt>
                <c:pt idx="66">
                  <c:v>531.6777060177086</c:v>
                </c:pt>
                <c:pt idx="67">
                  <c:v>547.15002854720262</c:v>
                </c:pt>
                <c:pt idx="68">
                  <c:v>562.61317479886111</c:v>
                </c:pt>
                <c:pt idx="69">
                  <c:v>578.06743237383091</c:v>
                </c:pt>
                <c:pt idx="70">
                  <c:v>593.51307224988989</c:v>
                </c:pt>
                <c:pt idx="71">
                  <c:v>514.20467924682032</c:v>
                </c:pt>
                <c:pt idx="72">
                  <c:v>527.69758886016473</c:v>
                </c:pt>
                <c:pt idx="73">
                  <c:v>541.18323613602922</c:v>
                </c:pt>
                <c:pt idx="74">
                  <c:v>554.66182748616768</c:v>
                </c:pt>
                <c:pt idx="75">
                  <c:v>568.13355847572018</c:v>
                </c:pt>
                <c:pt idx="76">
                  <c:v>581.5986146422407</c:v>
                </c:pt>
                <c:pt idx="77">
                  <c:v>595.05717223495901</c:v>
                </c:pt>
                <c:pt idx="78">
                  <c:v>608.5093988837117</c:v>
                </c:pt>
                <c:pt idx="79">
                  <c:v>621.95545420567146</c:v>
                </c:pt>
                <c:pt idx="80">
                  <c:v>635.39549035690629</c:v>
                </c:pt>
                <c:pt idx="81">
                  <c:v>555.10363132289024</c:v>
                </c:pt>
                <c:pt idx="82">
                  <c:v>567.47117187040465</c:v>
                </c:pt>
                <c:pt idx="83">
                  <c:v>579.83307958303988</c:v>
                </c:pt>
                <c:pt idx="84">
                  <c:v>592.18949144116073</c:v>
                </c:pt>
                <c:pt idx="85">
                  <c:v>604.54053824439859</c:v>
                </c:pt>
                <c:pt idx="86">
                  <c:v>616.88634501376237</c:v>
                </c:pt>
                <c:pt idx="87">
                  <c:v>629.22703135989707</c:v>
                </c:pt>
                <c:pt idx="88">
                  <c:v>641.56271182096395</c:v>
                </c:pt>
                <c:pt idx="89">
                  <c:v>653.89349617319419</c:v>
                </c:pt>
                <c:pt idx="90">
                  <c:v>666.2194897168107</c:v>
                </c:pt>
                <c:pt idx="91">
                  <c:v>584.46737091938155</c:v>
                </c:pt>
                <c:pt idx="92">
                  <c:v>595.27775113642213</c:v>
                </c:pt>
                <c:pt idx="93">
                  <c:v>606.08404815139602</c:v>
                </c:pt>
                <c:pt idx="94">
                  <c:v>616.88634501376237</c:v>
                </c:pt>
                <c:pt idx="95">
                  <c:v>627.68472162790204</c:v>
                </c:pt>
                <c:pt idx="96">
                  <c:v>638.47925492542333</c:v>
                </c:pt>
                <c:pt idx="97">
                  <c:v>649.27001902521488</c:v>
                </c:pt>
                <c:pt idx="98">
                  <c:v>660.05708538230658</c:v>
                </c:pt>
                <c:pt idx="99">
                  <c:v>670.84052292649881</c:v>
                </c:pt>
                <c:pt idx="100">
                  <c:v>681.62039819161987</c:v>
                </c:pt>
                <c:pt idx="101">
                  <c:v>598.80678277824802</c:v>
                </c:pt>
                <c:pt idx="102">
                  <c:v>608.50939888371158</c:v>
                </c:pt>
                <c:pt idx="103">
                  <c:v>618.20880426311442</c:v>
                </c:pt>
                <c:pt idx="104">
                  <c:v>627.90505638634124</c:v>
                </c:pt>
                <c:pt idx="105">
                  <c:v>637.59821080388087</c:v>
                </c:pt>
                <c:pt idx="106">
                  <c:v>647.28832123975826</c:v>
                </c:pt>
                <c:pt idx="107">
                  <c:v>656.97543967861191</c:v>
                </c:pt>
                <c:pt idx="108">
                  <c:v>666.65961644737183</c:v>
                </c:pt>
                <c:pt idx="109">
                  <c:v>676.34090029194624</c:v>
                </c:pt>
                <c:pt idx="110">
                  <c:v>686.01933844928806</c:v>
                </c:pt>
                <c:pt idx="111">
                  <c:v>608.28892075898477</c:v>
                </c:pt>
                <c:pt idx="112">
                  <c:v>616.44551220984715</c:v>
                </c:pt>
                <c:pt idx="113">
                  <c:v>624.59986665219697</c:v>
                </c:pt>
                <c:pt idx="114">
                  <c:v>632.75201740881005</c:v>
                </c:pt>
                <c:pt idx="115">
                  <c:v>640.90199687382142</c:v>
                </c:pt>
                <c:pt idx="116">
                  <c:v>649.04983655033755</c:v>
                </c:pt>
                <c:pt idx="117">
                  <c:v>657.19556708606376</c:v>
                </c:pt>
                <c:pt idx="118">
                  <c:v>665.33921830707288</c:v>
                </c:pt>
                <c:pt idx="119">
                  <c:v>673.48081924983524</c:v>
                </c:pt>
                <c:pt idx="120">
                  <c:v>681.62039819161907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2.1567642387920674</c:v>
                </c:pt>
                <c:pt idx="2">
                  <c:v>2.6855980128649111</c:v>
                </c:pt>
                <c:pt idx="3">
                  <c:v>3.3446067142828606</c:v>
                </c:pt>
                <c:pt idx="4">
                  <c:v>4.16595112708253</c:v>
                </c:pt>
                <c:pt idx="5">
                  <c:v>5.1897648480507295</c:v>
                </c:pt>
                <c:pt idx="6">
                  <c:v>6.4661370653121786</c:v>
                </c:pt>
                <c:pt idx="7">
                  <c:v>8.057589882609383</c:v>
                </c:pt>
                <c:pt idx="8">
                  <c:v>10.042173869899939</c:v>
                </c:pt>
                <c:pt idx="9">
                  <c:v>12.517336527679234</c:v>
                </c:pt>
                <c:pt idx="10">
                  <c:v>15.604757149851741</c:v>
                </c:pt>
                <c:pt idx="11">
                  <c:v>19.456390119377222</c:v>
                </c:pt>
                <c:pt idx="12">
                  <c:v>24.262019428339389</c:v>
                </c:pt>
                <c:pt idx="13">
                  <c:v>30.258703255192469</c:v>
                </c:pt>
                <c:pt idx="14">
                  <c:v>37.742582608618598</c:v>
                </c:pt>
                <c:pt idx="15">
                  <c:v>47.083647183971607</c:v>
                </c:pt>
                <c:pt idx="16">
                  <c:v>58.744200717255033</c:v>
                </c:pt>
                <c:pt idx="17">
                  <c:v>73.30195483191865</c:v>
                </c:pt>
                <c:pt idx="18">
                  <c:v>91.478914136887184</c:v>
                </c:pt>
                <c:pt idx="19">
                  <c:v>114.17750802800187</c:v>
                </c:pt>
                <c:pt idx="20">
                  <c:v>142.52579115025176</c:v>
                </c:pt>
                <c:pt idx="21">
                  <c:v>97.312065972754382</c:v>
                </c:pt>
                <c:pt idx="22">
                  <c:v>115.27221811342979</c:v>
                </c:pt>
                <c:pt idx="23">
                  <c:v>133.16379985429114</c:v>
                </c:pt>
                <c:pt idx="24">
                  <c:v>150.99733996220459</c:v>
                </c:pt>
                <c:pt idx="25">
                  <c:v>168.78066680719573</c:v>
                </c:pt>
                <c:pt idx="26">
                  <c:v>186.51981963531719</c:v>
                </c:pt>
                <c:pt idx="27">
                  <c:v>204.21959279021061</c:v>
                </c:pt>
                <c:pt idx="28">
                  <c:v>221.88388047112758</c:v>
                </c:pt>
                <c:pt idx="29">
                  <c:v>239.51590555035622</c:v>
                </c:pt>
                <c:pt idx="30">
                  <c:v>257.1183772918742</c:v>
                </c:pt>
                <c:pt idx="31">
                  <c:v>190.87571093543406</c:v>
                </c:pt>
                <c:pt idx="32">
                  <c:v>205.6687727406734</c:v>
                </c:pt>
                <c:pt idx="33">
                  <c:v>220.43724193036135</c:v>
                </c:pt>
                <c:pt idx="34">
                  <c:v>235.18299859219027</c:v>
                </c:pt>
                <c:pt idx="35">
                  <c:v>249.90766763554743</c:v>
                </c:pt>
                <c:pt idx="36">
                  <c:v>264.61266674466111</c:v>
                </c:pt>
                <c:pt idx="37">
                  <c:v>279.29924310003668</c:v>
                </c:pt>
                <c:pt idx="38">
                  <c:v>293.96850196335311</c:v>
                </c:pt>
                <c:pt idx="39">
                  <c:v>308.62142925305045</c:v>
                </c:pt>
                <c:pt idx="40">
                  <c:v>323.25890960508121</c:v>
                </c:pt>
                <c:pt idx="41">
                  <c:v>253.80202769919762</c:v>
                </c:pt>
                <c:pt idx="42">
                  <c:v>264.90081208016181</c:v>
                </c:pt>
                <c:pt idx="43">
                  <c:v>275.98911371379239</c:v>
                </c:pt>
                <c:pt idx="44">
                  <c:v>287.0674133532234</c:v>
                </c:pt>
                <c:pt idx="45">
                  <c:v>298.13615159385154</c:v>
                </c:pt>
                <c:pt idx="46">
                  <c:v>309.19573362623737</c:v>
                </c:pt>
                <c:pt idx="47">
                  <c:v>320.24653327300206</c:v>
                </c:pt>
                <c:pt idx="48">
                  <c:v>331.28889643907769</c:v>
                </c:pt>
                <c:pt idx="49">
                  <c:v>342.32314407768052</c:v>
                </c:pt>
                <c:pt idx="50">
                  <c:v>353.34957475371965</c:v>
                </c:pt>
                <c:pt idx="51">
                  <c:v>305.46232940780999</c:v>
                </c:pt>
                <c:pt idx="52">
                  <c:v>313.50226463243422</c:v>
                </c:pt>
                <c:pt idx="53">
                  <c:v>321.53762812838323</c:v>
                </c:pt>
                <c:pt idx="54">
                  <c:v>329.56855035950645</c:v>
                </c:pt>
                <c:pt idx="55">
                  <c:v>337.59515490695998</c:v>
                </c:pt>
                <c:pt idx="56">
                  <c:v>345.61755899091719</c:v>
                </c:pt>
                <c:pt idx="57">
                  <c:v>353.6358739412795</c:v>
                </c:pt>
                <c:pt idx="58">
                  <c:v>361.65020562344097</c:v>
                </c:pt>
                <c:pt idx="59">
                  <c:v>369.66065482432015</c:v>
                </c:pt>
                <c:pt idx="60">
                  <c:v>377.66731760316674</c:v>
                </c:pt>
                <c:pt idx="61">
                  <c:v>347.76571840159392</c:v>
                </c:pt>
                <c:pt idx="62">
                  <c:v>353.63587394127961</c:v>
                </c:pt>
                <c:pt idx="63">
                  <c:v>359.50389442227942</c:v>
                </c:pt>
                <c:pt idx="64">
                  <c:v>365.36981964928873</c:v>
                </c:pt>
                <c:pt idx="65">
                  <c:v>371.23368804323746</c:v>
                </c:pt>
                <c:pt idx="66">
                  <c:v>377.09553671098297</c:v>
                </c:pt>
                <c:pt idx="67">
                  <c:v>382.95540151044014</c:v>
                </c:pt>
                <c:pt idx="68">
                  <c:v>388.81331711151353</c:v>
                </c:pt>
                <c:pt idx="69">
                  <c:v>394.669317053165</c:v>
                </c:pt>
                <c:pt idx="70">
                  <c:v>400.52343379691257</c:v>
                </c:pt>
                <c:pt idx="71">
                  <c:v>374.9511899311089</c:v>
                </c:pt>
                <c:pt idx="72">
                  <c:v>379.38254731510438</c:v>
                </c:pt>
                <c:pt idx="73">
                  <c:v>383.812778391736</c:v>
                </c:pt>
                <c:pt idx="74">
                  <c:v>388.24189801221195</c:v>
                </c:pt>
                <c:pt idx="75">
                  <c:v>392.66992066083503</c:v>
                </c:pt>
                <c:pt idx="76">
                  <c:v>397.09686046819598</c:v>
                </c:pt>
                <c:pt idx="77">
                  <c:v>401.52273122374817</c:v>
                </c:pt>
                <c:pt idx="78">
                  <c:v>405.9475463877975</c:v>
                </c:pt>
                <c:pt idx="79">
                  <c:v>410.37131910294289</c:v>
                </c:pt>
                <c:pt idx="80">
                  <c:v>414.79406220499703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9"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46.88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0.39</v>
      </c>
      <c r="D9" s="33">
        <f t="shared" ref="D9:D18" si="0">C9*$C$5</f>
        <v>18.283200000000001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0.2</v>
      </c>
      <c r="D10" s="33">
        <f t="shared" si="0"/>
        <v>9.3760000000000012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0.08</v>
      </c>
      <c r="D11" s="33">
        <f t="shared" si="0"/>
        <v>3.7504000000000004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0.05</v>
      </c>
      <c r="D12" s="33">
        <f t="shared" si="0"/>
        <v>2.3440000000000003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12</v>
      </c>
      <c r="C13" s="32">
        <v>5.679753843292628E-2</v>
      </c>
      <c r="D13" s="33">
        <f t="shared" si="0"/>
        <v>2.6626686017355841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9</v>
      </c>
      <c r="C14" s="32">
        <v>0.06</v>
      </c>
      <c r="D14" s="33">
        <f t="shared" si="0"/>
        <v>2.8128000000000002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36</v>
      </c>
      <c r="C15" s="32">
        <v>0.04</v>
      </c>
      <c r="D15" s="33">
        <f t="shared" si="0"/>
        <v>1.8752000000000002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50</v>
      </c>
      <c r="C16" s="32">
        <v>2.3199999999999998E-2</v>
      </c>
      <c r="D16" s="33">
        <f t="shared" si="0"/>
        <v>1.0876159999999999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38</v>
      </c>
      <c r="C17" s="32">
        <v>0.04</v>
      </c>
      <c r="D17" s="33">
        <f t="shared" si="0"/>
        <v>1.8752000000000002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1</v>
      </c>
      <c r="C18" s="32">
        <v>0.06</v>
      </c>
      <c r="D18" s="33">
        <f t="shared" si="0"/>
        <v>2.8128000000000002</v>
      </c>
      <c r="E18" s="34">
        <v>120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0.99999753843292627</v>
      </c>
      <c r="D19" s="38">
        <f>SUM(D9:D18)</f>
        <v>46.879884601735583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105</v>
      </c>
      <c r="C37" s="60">
        <v>1</v>
      </c>
      <c r="D37" s="60">
        <f>21+8</f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158</v>
      </c>
      <c r="C38" s="60">
        <v>2</v>
      </c>
      <c r="D38" s="60">
        <f>21+21</f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199</v>
      </c>
      <c r="C39" s="60">
        <v>3</v>
      </c>
      <c r="D39" s="60">
        <f t="shared" ref="D39:D44" si="2">21+21</f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235</v>
      </c>
      <c r="C40" s="60">
        <v>4</v>
      </c>
      <c r="D40" s="60">
        <f t="shared" si="2"/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263</v>
      </c>
      <c r="C41" s="60">
        <v>5</v>
      </c>
      <c r="D41" s="60">
        <f t="shared" si="2"/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282</v>
      </c>
      <c r="C42" s="60">
        <v>6</v>
      </c>
      <c r="D42" s="60">
        <f t="shared" si="2"/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296</v>
      </c>
      <c r="C43" s="60">
        <v>7</v>
      </c>
      <c r="D43" s="60">
        <f t="shared" si="2"/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303</v>
      </c>
      <c r="C44" s="60">
        <v>8</v>
      </c>
      <c r="D44" s="60">
        <f t="shared" si="2"/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305</v>
      </c>
      <c r="C45" s="60">
        <v>9</v>
      </c>
      <c r="D45" s="60">
        <f>20+19</f>
        <v>39</v>
      </c>
      <c r="E45" s="51"/>
      <c r="F45" s="51"/>
      <c r="G45" s="51"/>
      <c r="H45" s="51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268+17+18</f>
        <v>303</v>
      </c>
      <c r="C46" s="60">
        <v>10</v>
      </c>
      <c r="D46" s="60">
        <f>B46</f>
        <v>303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23</v>
      </c>
      <c r="C62" s="60"/>
      <c r="D62" s="60"/>
      <c r="E62" s="51"/>
      <c r="F62" s="51"/>
      <c r="G62" s="51"/>
      <c r="H62" s="51"/>
      <c r="I62" s="53">
        <f>IFERROR(B62/A62,"")</f>
        <v>2.2999999999999998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15</v>
      </c>
      <c r="B63" s="60">
        <v>60</v>
      </c>
      <c r="C63" s="60"/>
      <c r="D63" s="60"/>
      <c r="E63" s="51"/>
      <c r="F63" s="51"/>
      <c r="G63" s="51"/>
      <c r="H63" s="51"/>
      <c r="I63" s="49">
        <f>IF(A63&lt;&gt;0,(B63-(B62-D62))/(A63-A62),"")</f>
        <v>7.4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108</v>
      </c>
      <c r="C64" s="60">
        <v>1</v>
      </c>
      <c r="D64" s="60">
        <v>41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9.6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158</v>
      </c>
      <c r="C65" s="60">
        <v>2</v>
      </c>
      <c r="D65" s="60">
        <v>47</v>
      </c>
      <c r="E65" s="51">
        <v>0.2</v>
      </c>
      <c r="F65" s="51">
        <v>0.4</v>
      </c>
      <c r="G65" s="51">
        <v>0.4</v>
      </c>
      <c r="H65" s="51"/>
      <c r="I65" s="49">
        <f>IF(A65&lt;&gt;0,(B65-(B64-D64))/(A65-A64),"")</f>
        <v>9.1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192</v>
      </c>
      <c r="C66" s="60">
        <v>3</v>
      </c>
      <c r="D66" s="60">
        <v>47</v>
      </c>
      <c r="E66" s="51"/>
      <c r="F66" s="51"/>
      <c r="G66" s="51"/>
      <c r="H66" s="51"/>
      <c r="I66" s="49">
        <f t="shared" ref="I66:I81" si="3">IF(A66&lt;&gt;0,(B66-(B65-D65))/(A66-A65),"")</f>
        <v>8.1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213</v>
      </c>
      <c r="C67" s="60">
        <v>4</v>
      </c>
      <c r="D67" s="60">
        <v>43</v>
      </c>
      <c r="E67" s="51"/>
      <c r="F67" s="51"/>
      <c r="G67" s="51"/>
      <c r="H67" s="51"/>
      <c r="I67" s="49">
        <f t="shared" si="3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60</v>
      </c>
      <c r="B68" s="60">
        <v>227</v>
      </c>
      <c r="C68" s="60">
        <v>5</v>
      </c>
      <c r="D68" s="60">
        <v>38</v>
      </c>
      <c r="E68" s="51"/>
      <c r="F68" s="51"/>
      <c r="G68" s="51"/>
      <c r="H68" s="51"/>
      <c r="I68" s="49">
        <f t="shared" si="3"/>
        <v>5.7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70</v>
      </c>
      <c r="B69" s="50">
        <v>237</v>
      </c>
      <c r="C69" s="50">
        <v>6</v>
      </c>
      <c r="D69" s="50">
        <v>33</v>
      </c>
      <c r="E69" s="51"/>
      <c r="F69" s="51"/>
      <c r="G69" s="51"/>
      <c r="H69" s="51"/>
      <c r="I69" s="49">
        <f t="shared" si="3"/>
        <v>4.8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80</v>
      </c>
      <c r="B70" s="50">
        <v>241</v>
      </c>
      <c r="C70" s="50">
        <v>7</v>
      </c>
      <c r="D70" s="50">
        <v>27</v>
      </c>
      <c r="E70" s="51"/>
      <c r="F70" s="51"/>
      <c r="G70" s="51"/>
      <c r="H70" s="51"/>
      <c r="I70" s="49">
        <f t="shared" si="3"/>
        <v>3.7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90</v>
      </c>
      <c r="B71" s="50">
        <v>245</v>
      </c>
      <c r="C71" s="50">
        <v>8</v>
      </c>
      <c r="D71" s="50">
        <v>23</v>
      </c>
      <c r="E71" s="51"/>
      <c r="F71" s="51"/>
      <c r="G71" s="51"/>
      <c r="H71" s="51"/>
      <c r="I71" s="49">
        <f t="shared" si="3"/>
        <v>3.1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100</v>
      </c>
      <c r="B72" s="50">
        <v>251</v>
      </c>
      <c r="C72" s="50">
        <v>9</v>
      </c>
      <c r="D72" s="50">
        <v>23</v>
      </c>
      <c r="E72" s="51"/>
      <c r="F72" s="51"/>
      <c r="G72" s="51"/>
      <c r="H72" s="51"/>
      <c r="I72" s="49">
        <f t="shared" si="3"/>
        <v>2.9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118</v>
      </c>
      <c r="C88" s="60">
        <v>1</v>
      </c>
      <c r="D88" s="60">
        <v>37</v>
      </c>
      <c r="E88" s="51"/>
      <c r="F88" s="51">
        <v>0.5</v>
      </c>
      <c r="G88" s="51">
        <v>0.5</v>
      </c>
      <c r="H88" s="87"/>
      <c r="I88" s="53">
        <f>IFERROR(B88/A88,"")</f>
        <v>5.9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220</v>
      </c>
      <c r="C89" s="60">
        <v>2</v>
      </c>
      <c r="D89" s="60">
        <v>70</v>
      </c>
      <c r="E89" s="51">
        <v>0.2</v>
      </c>
      <c r="F89" s="51">
        <v>0.4</v>
      </c>
      <c r="G89" s="51">
        <v>0.4</v>
      </c>
      <c r="H89" s="87"/>
      <c r="I89" s="53">
        <f t="shared" ref="I89:I107" si="4">IF(A89&lt;&gt;0,(B89-(B88-D88))/(A89-A88),"")</f>
        <v>13.9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283</v>
      </c>
      <c r="C90" s="60">
        <v>3</v>
      </c>
      <c r="D90" s="60">
        <v>70</v>
      </c>
      <c r="E90" s="87"/>
      <c r="F90" s="87"/>
      <c r="G90" s="87"/>
      <c r="H90" s="87"/>
      <c r="I90" s="53">
        <f t="shared" si="4"/>
        <v>13.3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323</v>
      </c>
      <c r="C91" s="60">
        <v>4</v>
      </c>
      <c r="D91" s="60">
        <v>60</v>
      </c>
      <c r="E91" s="87"/>
      <c r="F91" s="87"/>
      <c r="G91" s="87"/>
      <c r="H91" s="87"/>
      <c r="I91" s="53">
        <f t="shared" si="4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351</v>
      </c>
      <c r="C92" s="60">
        <v>5</v>
      </c>
      <c r="D92" s="60">
        <v>47</v>
      </c>
      <c r="E92" s="87"/>
      <c r="F92" s="87"/>
      <c r="G92" s="87"/>
      <c r="H92" s="87"/>
      <c r="I92" s="53">
        <f t="shared" si="4"/>
        <v>8.8000000000000007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372</v>
      </c>
      <c r="C93" s="60">
        <v>6</v>
      </c>
      <c r="D93" s="60">
        <v>36</v>
      </c>
      <c r="E93" s="87"/>
      <c r="F93" s="87"/>
      <c r="G93" s="87"/>
      <c r="H93" s="87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358+29</f>
        <v>387</v>
      </c>
      <c r="C94" s="60">
        <v>7</v>
      </c>
      <c r="D94" s="60">
        <f>B94</f>
        <v>387</v>
      </c>
      <c r="E94" s="87"/>
      <c r="F94" s="87"/>
      <c r="G94" s="87"/>
      <c r="H94" s="87"/>
      <c r="I94" s="53">
        <f t="shared" si="4"/>
        <v>5.0999999999999996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12.5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250-D114</f>
        <v>237.5</v>
      </c>
      <c r="C115" s="50">
        <v>2</v>
      </c>
      <c r="D115" s="60">
        <v>45.9</v>
      </c>
      <c r="E115" s="51">
        <v>0.2</v>
      </c>
      <c r="F115" s="51">
        <v>0.4</v>
      </c>
      <c r="G115" s="51">
        <v>0.4</v>
      </c>
      <c r="H115" s="51"/>
      <c r="I115" s="53">
        <f t="shared" ref="I115:I133" si="5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350-SUM(D114:D115)</f>
        <v>291.60000000000002</v>
      </c>
      <c r="C116" s="50">
        <v>3</v>
      </c>
      <c r="D116" s="60">
        <v>83.4</v>
      </c>
      <c r="E116" s="51"/>
      <c r="F116" s="51"/>
      <c r="G116" s="51"/>
      <c r="H116" s="51"/>
      <c r="I116" s="53">
        <f t="shared" si="5"/>
        <v>10.000000000000004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465-SUM(D114:D116)</f>
        <v>323.2</v>
      </c>
      <c r="C117" s="50">
        <v>4</v>
      </c>
      <c r="D117" s="60">
        <v>83.4</v>
      </c>
      <c r="E117" s="51"/>
      <c r="F117" s="51"/>
      <c r="G117" s="51"/>
      <c r="H117" s="51"/>
      <c r="I117" s="53">
        <f t="shared" si="5"/>
        <v>11.499999999999996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600-SUM(D114:D117)</f>
        <v>374.79999999999995</v>
      </c>
      <c r="C118" s="50">
        <v>5</v>
      </c>
      <c r="D118" s="60">
        <v>83.4</v>
      </c>
      <c r="E118" s="51"/>
      <c r="F118" s="51"/>
      <c r="G118" s="51"/>
      <c r="H118" s="51"/>
      <c r="I118" s="53">
        <f t="shared" si="5"/>
        <v>13.499999999999996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755-SUM(D114:D118)</f>
        <v>446.4</v>
      </c>
      <c r="C119" s="50">
        <v>6</v>
      </c>
      <c r="D119" s="60">
        <v>83.4</v>
      </c>
      <c r="E119" s="51"/>
      <c r="F119" s="51"/>
      <c r="G119" s="51"/>
      <c r="H119" s="51"/>
      <c r="I119" s="53">
        <f t="shared" si="5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925-SUM(D114:D119)</f>
        <v>533</v>
      </c>
      <c r="C120" s="60">
        <v>7</v>
      </c>
      <c r="D120" s="60">
        <v>83.4</v>
      </c>
      <c r="E120" s="87"/>
      <c r="F120" s="87"/>
      <c r="G120" s="87"/>
      <c r="H120" s="87"/>
      <c r="I120" s="53">
        <f t="shared" si="5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1100-SUM(D114:D120)</f>
        <v>624.6</v>
      </c>
      <c r="C121" s="60">
        <v>8</v>
      </c>
      <c r="D121" s="60">
        <v>83.4</v>
      </c>
      <c r="E121" s="87"/>
      <c r="F121" s="87"/>
      <c r="G121" s="87"/>
      <c r="H121" s="87"/>
      <c r="I121" s="53">
        <f t="shared" si="5"/>
        <v>17.5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1285-SUM(D114:D121)</f>
        <v>726.2</v>
      </c>
      <c r="C122" s="60">
        <v>9</v>
      </c>
      <c r="D122" s="60">
        <v>726.2</v>
      </c>
      <c r="E122" s="87"/>
      <c r="F122" s="87"/>
      <c r="G122" s="87"/>
      <c r="H122" s="87"/>
      <c r="I122" s="53">
        <f t="shared" si="5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pubescent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42</v>
      </c>
      <c r="C140" s="50"/>
      <c r="D140" s="60"/>
      <c r="E140" s="51"/>
      <c r="F140" s="51"/>
      <c r="G140" s="51"/>
      <c r="H140" s="51"/>
      <c r="I140" s="57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105</v>
      </c>
      <c r="C141" s="50">
        <v>1</v>
      </c>
      <c r="D141" s="60">
        <f>21+8</f>
        <v>29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6.3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158</v>
      </c>
      <c r="C142" s="50">
        <v>2</v>
      </c>
      <c r="D142" s="60">
        <f>21+21</f>
        <v>42</v>
      </c>
      <c r="E142" s="51"/>
      <c r="F142" s="51"/>
      <c r="G142" s="51"/>
      <c r="H142" s="51"/>
      <c r="I142" s="57">
        <f t="shared" si="6"/>
        <v>8.1999999999999993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199</v>
      </c>
      <c r="C143" s="50">
        <v>3</v>
      </c>
      <c r="D143" s="60">
        <f t="shared" ref="D143:D148" si="7">21+21</f>
        <v>42</v>
      </c>
      <c r="E143" s="51"/>
      <c r="F143" s="51"/>
      <c r="G143" s="51"/>
      <c r="H143" s="51"/>
      <c r="I143" s="57">
        <f t="shared" si="6"/>
        <v>8.3000000000000007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235</v>
      </c>
      <c r="C144" s="50">
        <v>4</v>
      </c>
      <c r="D144" s="60">
        <f t="shared" si="7"/>
        <v>42</v>
      </c>
      <c r="E144" s="51"/>
      <c r="F144" s="51"/>
      <c r="G144" s="51"/>
      <c r="H144" s="51"/>
      <c r="I144" s="57">
        <f t="shared" si="6"/>
        <v>7.8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263</v>
      </c>
      <c r="C145" s="50">
        <v>5</v>
      </c>
      <c r="D145" s="60">
        <f t="shared" si="7"/>
        <v>42</v>
      </c>
      <c r="E145" s="51"/>
      <c r="F145" s="51"/>
      <c r="G145" s="51"/>
      <c r="H145" s="51"/>
      <c r="I145" s="57">
        <f t="shared" si="6"/>
        <v>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282</v>
      </c>
      <c r="C146" s="50">
        <v>6</v>
      </c>
      <c r="D146" s="60">
        <f t="shared" si="7"/>
        <v>42</v>
      </c>
      <c r="E146" s="51"/>
      <c r="F146" s="51"/>
      <c r="G146" s="51"/>
      <c r="H146" s="51"/>
      <c r="I146" s="57">
        <f t="shared" si="6"/>
        <v>6.1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296</v>
      </c>
      <c r="C147" s="50">
        <v>7</v>
      </c>
      <c r="D147" s="60">
        <f t="shared" si="7"/>
        <v>42</v>
      </c>
      <c r="E147" s="51"/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303</v>
      </c>
      <c r="C148" s="50">
        <v>8</v>
      </c>
      <c r="D148" s="60">
        <f t="shared" si="7"/>
        <v>42</v>
      </c>
      <c r="E148" s="51"/>
      <c r="F148" s="51"/>
      <c r="G148" s="51"/>
      <c r="H148" s="51"/>
      <c r="I148" s="57">
        <f t="shared" si="6"/>
        <v>4.9000000000000004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305</v>
      </c>
      <c r="C149" s="50">
        <v>9</v>
      </c>
      <c r="D149" s="60">
        <f>20+19</f>
        <v>39</v>
      </c>
      <c r="E149" s="51"/>
      <c r="F149" s="51"/>
      <c r="G149" s="51"/>
      <c r="H149" s="51"/>
      <c r="I149" s="57">
        <f t="shared" si="6"/>
        <v>4.4000000000000004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268+17+18</f>
        <v>303</v>
      </c>
      <c r="C150" s="50">
        <v>10</v>
      </c>
      <c r="D150" s="60">
        <f>B150</f>
        <v>303</v>
      </c>
      <c r="E150" s="51"/>
      <c r="F150" s="51"/>
      <c r="G150" s="51"/>
      <c r="H150" s="51"/>
      <c r="I150" s="57">
        <f t="shared" si="6"/>
        <v>3.7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chevelu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42</v>
      </c>
      <c r="C166" s="60"/>
      <c r="D166" s="60"/>
      <c r="E166" s="51"/>
      <c r="F166" s="51"/>
      <c r="G166" s="51"/>
      <c r="H166" s="51"/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105</v>
      </c>
      <c r="C167" s="60">
        <v>1</v>
      </c>
      <c r="D167" s="60">
        <f>21+8</f>
        <v>29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8">IF(A167&lt;&gt;0,(B167-(B166-D166))/(A167-A166),"")</f>
        <v>6.3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158</v>
      </c>
      <c r="C168" s="60">
        <v>2</v>
      </c>
      <c r="D168" s="60">
        <f>21+21</f>
        <v>42</v>
      </c>
      <c r="E168" s="51"/>
      <c r="F168" s="51"/>
      <c r="G168" s="51"/>
      <c r="H168" s="51"/>
      <c r="I168" s="49">
        <f t="shared" si="8"/>
        <v>8.1999999999999993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199</v>
      </c>
      <c r="C169" s="60">
        <v>3</v>
      </c>
      <c r="D169" s="60">
        <f t="shared" ref="D169:D174" si="9">21+21</f>
        <v>42</v>
      </c>
      <c r="E169" s="51"/>
      <c r="F169" s="51"/>
      <c r="G169" s="51"/>
      <c r="H169" s="51"/>
      <c r="I169" s="49">
        <f t="shared" si="8"/>
        <v>8.3000000000000007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235</v>
      </c>
      <c r="C170" s="60">
        <v>4</v>
      </c>
      <c r="D170" s="60">
        <f t="shared" si="9"/>
        <v>42</v>
      </c>
      <c r="E170" s="51"/>
      <c r="F170" s="51"/>
      <c r="G170" s="51"/>
      <c r="H170" s="51"/>
      <c r="I170" s="49">
        <f t="shared" si="8"/>
        <v>7.8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263</v>
      </c>
      <c r="C171" s="60">
        <v>5</v>
      </c>
      <c r="D171" s="60">
        <f t="shared" si="9"/>
        <v>42</v>
      </c>
      <c r="E171" s="51"/>
      <c r="F171" s="51"/>
      <c r="G171" s="51"/>
      <c r="H171" s="51"/>
      <c r="I171" s="49">
        <f t="shared" si="8"/>
        <v>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282</v>
      </c>
      <c r="C172" s="60">
        <v>6</v>
      </c>
      <c r="D172" s="60">
        <f t="shared" si="9"/>
        <v>42</v>
      </c>
      <c r="E172" s="51"/>
      <c r="F172" s="51"/>
      <c r="G172" s="51"/>
      <c r="H172" s="51"/>
      <c r="I172" s="49">
        <f t="shared" si="8"/>
        <v>6.1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v>296</v>
      </c>
      <c r="C173" s="50">
        <v>7</v>
      </c>
      <c r="D173" s="50">
        <f t="shared" si="9"/>
        <v>42</v>
      </c>
      <c r="E173" s="51"/>
      <c r="F173" s="51"/>
      <c r="G173" s="51"/>
      <c r="H173" s="51"/>
      <c r="I173" s="49">
        <f t="shared" si="8"/>
        <v>5.6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100</v>
      </c>
      <c r="B174" s="50">
        <v>303</v>
      </c>
      <c r="C174" s="50">
        <v>8</v>
      </c>
      <c r="D174" s="50">
        <f t="shared" si="9"/>
        <v>42</v>
      </c>
      <c r="E174" s="51"/>
      <c r="F174" s="51"/>
      <c r="G174" s="51"/>
      <c r="H174" s="51"/>
      <c r="I174" s="49">
        <f t="shared" si="8"/>
        <v>4.9000000000000004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110</v>
      </c>
      <c r="B175" s="50">
        <v>305</v>
      </c>
      <c r="C175" s="50">
        <v>9</v>
      </c>
      <c r="D175" s="50">
        <f>20+19</f>
        <v>39</v>
      </c>
      <c r="E175" s="51"/>
      <c r="F175" s="51"/>
      <c r="G175" s="51"/>
      <c r="H175" s="51"/>
      <c r="I175" s="49">
        <f t="shared" si="8"/>
        <v>4.4000000000000004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120</v>
      </c>
      <c r="B176" s="50">
        <f>268+17+18</f>
        <v>303</v>
      </c>
      <c r="C176" s="50">
        <v>10</v>
      </c>
      <c r="D176" s="50">
        <f>B176</f>
        <v>303</v>
      </c>
      <c r="E176" s="51"/>
      <c r="F176" s="51"/>
      <c r="G176" s="51"/>
      <c r="H176" s="51"/>
      <c r="I176" s="49">
        <f t="shared" si="8"/>
        <v>3.7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12</v>
      </c>
      <c r="B192" s="60">
        <v>36</v>
      </c>
      <c r="C192" s="60"/>
      <c r="D192" s="60">
        <v>0</v>
      </c>
      <c r="E192" s="51"/>
      <c r="F192" s="51"/>
      <c r="G192" s="51"/>
      <c r="H192" s="51"/>
      <c r="I192" s="49">
        <f>IFERROR(B192/A192,"")</f>
        <v>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16</v>
      </c>
      <c r="B193" s="60">
        <v>81</v>
      </c>
      <c r="C193" s="60">
        <v>1</v>
      </c>
      <c r="D193" s="60">
        <v>15</v>
      </c>
      <c r="E193" s="51"/>
      <c r="F193" s="51">
        <v>0.5</v>
      </c>
      <c r="G193" s="51">
        <v>0.5</v>
      </c>
      <c r="H193" s="51"/>
      <c r="I193" s="49">
        <f t="shared" ref="I193:I211" si="10">IF(A193&lt;&gt;0,(B193-(B192-D192))/(A193-A192),"")</f>
        <v>11.25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20</v>
      </c>
      <c r="B194" s="60">
        <v>119</v>
      </c>
      <c r="C194" s="60">
        <v>2</v>
      </c>
      <c r="D194" s="60">
        <v>22</v>
      </c>
      <c r="E194" s="51">
        <v>0.1</v>
      </c>
      <c r="F194" s="51">
        <v>0.45</v>
      </c>
      <c r="G194" s="51">
        <v>0.45</v>
      </c>
      <c r="H194" s="51"/>
      <c r="I194" s="49">
        <f t="shared" si="10"/>
        <v>13.25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24</v>
      </c>
      <c r="B195" s="60">
        <v>157</v>
      </c>
      <c r="C195" s="60">
        <v>3</v>
      </c>
      <c r="D195" s="60">
        <v>31</v>
      </c>
      <c r="E195" s="51">
        <v>0.2</v>
      </c>
      <c r="F195" s="51">
        <v>0.4</v>
      </c>
      <c r="G195" s="51">
        <v>0.4</v>
      </c>
      <c r="H195" s="51"/>
      <c r="I195" s="49">
        <f t="shared" si="10"/>
        <v>15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28</v>
      </c>
      <c r="B196" s="60">
        <v>190</v>
      </c>
      <c r="C196" s="60">
        <v>4</v>
      </c>
      <c r="D196" s="60">
        <v>35</v>
      </c>
      <c r="E196" s="51">
        <v>0.3</v>
      </c>
      <c r="F196" s="51">
        <v>0.35</v>
      </c>
      <c r="G196" s="51">
        <v>0.35</v>
      </c>
      <c r="H196" s="51"/>
      <c r="I196" s="49">
        <f t="shared" si="10"/>
        <v>16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34</v>
      </c>
      <c r="B197" s="60">
        <v>244</v>
      </c>
      <c r="C197" s="60">
        <v>5</v>
      </c>
      <c r="D197" s="60">
        <v>46</v>
      </c>
      <c r="E197" s="51"/>
      <c r="F197" s="51"/>
      <c r="G197" s="51"/>
      <c r="H197" s="51"/>
      <c r="I197" s="49">
        <f t="shared" si="10"/>
        <v>14.833333333333334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40</v>
      </c>
      <c r="B198" s="60">
        <v>275</v>
      </c>
      <c r="C198" s="60">
        <v>6</v>
      </c>
      <c r="D198" s="60">
        <v>41</v>
      </c>
      <c r="E198" s="51"/>
      <c r="F198" s="51"/>
      <c r="G198" s="51"/>
      <c r="H198" s="51"/>
      <c r="I198" s="49">
        <f t="shared" si="10"/>
        <v>12.833333333333334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46</v>
      </c>
      <c r="B199" s="50">
        <v>293</v>
      </c>
      <c r="C199" s="50">
        <v>7</v>
      </c>
      <c r="D199" s="50">
        <v>29</v>
      </c>
      <c r="E199" s="51"/>
      <c r="F199" s="51"/>
      <c r="G199" s="51"/>
      <c r="H199" s="51"/>
      <c r="I199" s="49">
        <f t="shared" si="10"/>
        <v>9.8333333333333339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54</v>
      </c>
      <c r="B200" s="50">
        <v>311</v>
      </c>
      <c r="C200" s="50">
        <v>8</v>
      </c>
      <c r="D200" s="50">
        <v>16</v>
      </c>
      <c r="E200" s="51"/>
      <c r="F200" s="51"/>
      <c r="G200" s="51"/>
      <c r="H200" s="51"/>
      <c r="I200" s="49">
        <f t="shared" si="10"/>
        <v>5.875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62</v>
      </c>
      <c r="B201" s="50">
        <v>316</v>
      </c>
      <c r="C201" s="50">
        <v>9</v>
      </c>
      <c r="D201" s="50">
        <v>316</v>
      </c>
      <c r="E201" s="51"/>
      <c r="F201" s="51"/>
      <c r="G201" s="51"/>
      <c r="H201" s="51"/>
      <c r="I201" s="49">
        <f t="shared" si="10"/>
        <v>2.625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10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0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0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0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0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0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0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0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0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0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Tilleul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95</v>
      </c>
      <c r="C218" s="50">
        <v>1</v>
      </c>
      <c r="D218" s="60">
        <f>15+28</f>
        <v>43</v>
      </c>
      <c r="E218" s="63"/>
      <c r="F218" s="63">
        <v>0.25</v>
      </c>
      <c r="G218" s="63">
        <v>0.25</v>
      </c>
      <c r="H218" s="63">
        <v>0.5</v>
      </c>
      <c r="I218" s="53">
        <f>IFERROR(B218/A218,"")</f>
        <v>4.75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174</v>
      </c>
      <c r="C219" s="50">
        <v>2</v>
      </c>
      <c r="D219" s="60">
        <f>28+28</f>
        <v>56</v>
      </c>
      <c r="E219" s="63"/>
      <c r="F219" s="63">
        <v>0.25</v>
      </c>
      <c r="G219" s="63">
        <v>0.25</v>
      </c>
      <c r="H219" s="63">
        <v>0.5</v>
      </c>
      <c r="I219" s="53">
        <f t="shared" ref="I219:I237" si="11">IF(A219&lt;&gt;0,(B219-(B218-D218))/(A219-A218),"")</f>
        <v>12.2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220</v>
      </c>
      <c r="C220" s="50">
        <v>3</v>
      </c>
      <c r="D220" s="60">
        <f>28+28</f>
        <v>56</v>
      </c>
      <c r="E220" s="63"/>
      <c r="F220" s="63"/>
      <c r="G220" s="63"/>
      <c r="H220" s="63"/>
      <c r="I220" s="53">
        <f t="shared" si="11"/>
        <v>10.199999999999999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241</v>
      </c>
      <c r="C221" s="55">
        <v>4</v>
      </c>
      <c r="D221" s="55">
        <f>22+17</f>
        <v>39</v>
      </c>
      <c r="E221" s="63"/>
      <c r="F221" s="63"/>
      <c r="G221" s="63"/>
      <c r="H221" s="63"/>
      <c r="I221" s="53">
        <f t="shared" si="11"/>
        <v>7.7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258</v>
      </c>
      <c r="C222" s="55">
        <v>5</v>
      </c>
      <c r="D222" s="55">
        <f>13+12</f>
        <v>25</v>
      </c>
      <c r="E222" s="63"/>
      <c r="F222" s="63"/>
      <c r="G222" s="63"/>
      <c r="H222" s="63"/>
      <c r="I222" s="53">
        <f t="shared" si="11"/>
        <v>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274</v>
      </c>
      <c r="C223" s="55">
        <v>6</v>
      </c>
      <c r="D223" s="55">
        <f>11+10</f>
        <v>21</v>
      </c>
      <c r="E223" s="63"/>
      <c r="F223" s="63"/>
      <c r="G223" s="63"/>
      <c r="H223" s="63"/>
      <c r="I223" s="53">
        <f t="shared" si="11"/>
        <v>4.0999999999999996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267+9+8</f>
        <v>284</v>
      </c>
      <c r="C224" s="55">
        <v>7</v>
      </c>
      <c r="D224" s="55">
        <f>B224</f>
        <v>284</v>
      </c>
      <c r="E224" s="63"/>
      <c r="F224" s="63"/>
      <c r="G224" s="63"/>
      <c r="H224" s="63"/>
      <c r="I224" s="53">
        <f t="shared" si="11"/>
        <v>3.1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1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1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1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1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Pin noir d'Autriche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20</v>
      </c>
      <c r="B244" s="60">
        <v>91</v>
      </c>
      <c r="C244" s="60">
        <v>1</v>
      </c>
      <c r="D244" s="60">
        <v>3</v>
      </c>
      <c r="E244" s="51"/>
      <c r="F244" s="51">
        <v>0.5</v>
      </c>
      <c r="G244" s="51">
        <v>0.5</v>
      </c>
      <c r="H244" s="63"/>
      <c r="I244" s="53">
        <f>IFERROR(B244/A244,"")</f>
        <v>4.55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30</v>
      </c>
      <c r="B245" s="60">
        <v>218</v>
      </c>
      <c r="C245" s="60">
        <v>2</v>
      </c>
      <c r="D245" s="60">
        <v>70</v>
      </c>
      <c r="E245" s="63"/>
      <c r="F245" s="63">
        <v>0.5</v>
      </c>
      <c r="G245" s="63">
        <v>0.5</v>
      </c>
      <c r="H245" s="63"/>
      <c r="I245" s="53">
        <f>IF(A245&lt;&gt;0,(B245-(B244-D244))/(A245-A244),"")</f>
        <v>13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40</v>
      </c>
      <c r="B246" s="60">
        <v>285</v>
      </c>
      <c r="C246" s="60">
        <v>3</v>
      </c>
      <c r="D246" s="60">
        <v>70</v>
      </c>
      <c r="E246" s="63"/>
      <c r="F246" s="63"/>
      <c r="G246" s="63"/>
      <c r="H246" s="63"/>
      <c r="I246" s="53">
        <f>IF(A246&lt;&gt;0,(B246-(B245-D245))/(A246-A245),"")</f>
        <v>13.7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50</v>
      </c>
      <c r="B247" s="60">
        <v>343</v>
      </c>
      <c r="C247" s="60">
        <v>4</v>
      </c>
      <c r="D247" s="60">
        <v>70</v>
      </c>
      <c r="E247" s="63"/>
      <c r="F247" s="63"/>
      <c r="G247" s="63"/>
      <c r="H247" s="63"/>
      <c r="I247" s="53">
        <f t="shared" ref="I247:I263" si="12">IF(A247&lt;&gt;0,(B247-(B246-D246))/(A247-A246),"")</f>
        <v>12.8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60</v>
      </c>
      <c r="B248" s="60">
        <v>387</v>
      </c>
      <c r="C248" s="60">
        <v>5</v>
      </c>
      <c r="D248" s="60">
        <v>57</v>
      </c>
      <c r="E248" s="63"/>
      <c r="F248" s="63"/>
      <c r="G248" s="63"/>
      <c r="H248" s="63"/>
      <c r="I248" s="53">
        <f t="shared" si="12"/>
        <v>11.4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70</v>
      </c>
      <c r="B249" s="60">
        <v>422</v>
      </c>
      <c r="C249" s="60">
        <v>6</v>
      </c>
      <c r="D249" s="60">
        <v>44</v>
      </c>
      <c r="E249" s="63"/>
      <c r="F249" s="63"/>
      <c r="G249" s="63"/>
      <c r="H249" s="63"/>
      <c r="I249" s="53">
        <f t="shared" si="12"/>
        <v>9.1999999999999993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80</v>
      </c>
      <c r="B250" s="60">
        <v>450</v>
      </c>
      <c r="C250" s="60">
        <v>7</v>
      </c>
      <c r="D250" s="60">
        <f>B250</f>
        <v>450</v>
      </c>
      <c r="E250" s="63"/>
      <c r="F250" s="63"/>
      <c r="G250" s="63"/>
      <c r="H250" s="63"/>
      <c r="I250" s="53">
        <f t="shared" si="12"/>
        <v>7.2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2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2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2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2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2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2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2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2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2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2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2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2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2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Alisier torminal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20</v>
      </c>
      <c r="B270" s="60">
        <v>42</v>
      </c>
      <c r="C270" s="50"/>
      <c r="D270" s="60"/>
      <c r="E270" s="51"/>
      <c r="F270" s="51"/>
      <c r="G270" s="51"/>
      <c r="H270" s="51"/>
      <c r="I270" s="53">
        <f>IFERROR(B270/A270,"")</f>
        <v>2.1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30</v>
      </c>
      <c r="B271" s="60">
        <v>105</v>
      </c>
      <c r="C271" s="50">
        <v>1</v>
      </c>
      <c r="D271" s="60">
        <f>21+8</f>
        <v>29</v>
      </c>
      <c r="E271" s="51"/>
      <c r="F271" s="51">
        <v>0.25</v>
      </c>
      <c r="G271" s="51">
        <v>0.25</v>
      </c>
      <c r="H271" s="51">
        <v>0.5</v>
      </c>
      <c r="I271" s="53">
        <f>IF(A271&lt;&gt;0,(B271-(B270-D270))/(A271-A270),"")</f>
        <v>6.3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40</v>
      </c>
      <c r="B272" s="60">
        <v>158</v>
      </c>
      <c r="C272" s="50">
        <v>2</v>
      </c>
      <c r="D272" s="60">
        <f>21+21</f>
        <v>42</v>
      </c>
      <c r="E272" s="51"/>
      <c r="F272" s="51"/>
      <c r="G272" s="51"/>
      <c r="H272" s="51"/>
      <c r="I272" s="53">
        <f t="shared" ref="I272:I289" si="13">IF(A272&lt;&gt;0,(B272-(B271-D271))/(A272-A271),"")</f>
        <v>8.1999999999999993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50</v>
      </c>
      <c r="B273" s="60">
        <v>199</v>
      </c>
      <c r="C273" s="50">
        <v>3</v>
      </c>
      <c r="D273" s="60">
        <f t="shared" ref="D273:D276" si="14">21+21</f>
        <v>42</v>
      </c>
      <c r="E273" s="51"/>
      <c r="F273" s="51"/>
      <c r="G273" s="51"/>
      <c r="H273" s="51"/>
      <c r="I273" s="53">
        <f t="shared" si="13"/>
        <v>8.3000000000000007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60</v>
      </c>
      <c r="B274" s="60">
        <v>235</v>
      </c>
      <c r="C274" s="50">
        <v>4</v>
      </c>
      <c r="D274" s="60">
        <f t="shared" si="14"/>
        <v>42</v>
      </c>
      <c r="E274" s="51"/>
      <c r="F274" s="51"/>
      <c r="G274" s="51"/>
      <c r="H274" s="51"/>
      <c r="I274" s="53">
        <f t="shared" si="13"/>
        <v>7.8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70</v>
      </c>
      <c r="B275" s="60">
        <v>263</v>
      </c>
      <c r="C275" s="50">
        <v>5</v>
      </c>
      <c r="D275" s="60">
        <f t="shared" si="14"/>
        <v>42</v>
      </c>
      <c r="E275" s="63"/>
      <c r="F275" s="63"/>
      <c r="G275" s="63"/>
      <c r="H275" s="63"/>
      <c r="I275" s="53">
        <f t="shared" si="13"/>
        <v>7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80</v>
      </c>
      <c r="B276" s="60">
        <v>282</v>
      </c>
      <c r="C276" s="50">
        <v>6</v>
      </c>
      <c r="D276" s="60">
        <f t="shared" si="14"/>
        <v>42</v>
      </c>
      <c r="E276" s="63"/>
      <c r="F276" s="63"/>
      <c r="G276" s="63"/>
      <c r="H276" s="63"/>
      <c r="I276" s="53">
        <f t="shared" si="13"/>
        <v>6.1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90</v>
      </c>
      <c r="B277" s="55">
        <v>296</v>
      </c>
      <c r="C277" s="55">
        <v>7</v>
      </c>
      <c r="D277" s="55">
        <v>42</v>
      </c>
      <c r="E277" s="63"/>
      <c r="F277" s="63"/>
      <c r="G277" s="63"/>
      <c r="H277" s="63"/>
      <c r="I277" s="53">
        <f t="shared" si="13"/>
        <v>5.6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100</v>
      </c>
      <c r="B278" s="55">
        <v>303</v>
      </c>
      <c r="C278" s="55">
        <v>8</v>
      </c>
      <c r="D278" s="55">
        <v>42</v>
      </c>
      <c r="E278" s="63"/>
      <c r="F278" s="63"/>
      <c r="G278" s="63"/>
      <c r="H278" s="63"/>
      <c r="I278" s="53">
        <f t="shared" si="13"/>
        <v>4.9000000000000004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110</v>
      </c>
      <c r="B279" s="55">
        <v>305</v>
      </c>
      <c r="C279" s="55">
        <v>9</v>
      </c>
      <c r="D279" s="55">
        <v>39</v>
      </c>
      <c r="E279" s="63"/>
      <c r="F279" s="63"/>
      <c r="G279" s="63"/>
      <c r="H279" s="63"/>
      <c r="I279" s="53">
        <f t="shared" si="13"/>
        <v>4.4000000000000004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120</v>
      </c>
      <c r="B280" s="55">
        <v>303</v>
      </c>
      <c r="C280" s="55">
        <v>10</v>
      </c>
      <c r="D280" s="55">
        <v>303</v>
      </c>
      <c r="E280" s="63"/>
      <c r="F280" s="63"/>
      <c r="G280" s="63"/>
      <c r="H280" s="63"/>
      <c r="I280" s="53">
        <f t="shared" si="13"/>
        <v>3.7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3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3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3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3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3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3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3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3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3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I12" sqref="I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pubescent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chevelu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Tilleul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noir d'Autriche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Alisier torminal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237.22177246688199</v>
      </c>
      <c r="T3" s="59">
        <f>IF('Données projet'!E9&gt;30,$R$33-$H$33,LOOKUP('Données projet'!$E$9,$A$3:$A$203,R3:R203)-LOOKUP('Données projet'!$E$9,$A$3:$A$203,$H$3:$H$203))</f>
        <v>149.27472147904302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210.07838338464626</v>
      </c>
      <c r="AO3" s="59">
        <f>IF('Données projet'!E10&gt;30,$AM$33-$H$33,LOOKUP('Données projet'!$E$10,$A$3:$A$203,AM3:AM203)-LOOKUP('Données projet'!$E$10,$A$3:$A$203,$H$3:$H$203))</f>
        <v>241.76003724236273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209.93608079129638</v>
      </c>
      <c r="BJ3" s="59">
        <f>IF('Données projet'!E11&gt;30,$BH$33-$H$33,LOOKUP('Données projet'!$E$11,$A$3:$A$203,BH3:BH203)-LOOKUP('Données projet'!$E$11,$A$3:$A$203,$H$3:$H$203))</f>
        <v>240.15652428700969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215.23235148064941</v>
      </c>
      <c r="CE3" s="59">
        <f>IF('Données projet'!E12&gt;30,$CC$33-$H$33,LOOKUP('Données projet'!$E$12,$A$3:$A$203,CC3:CC203)-LOOKUP('Données projet'!$E$12,$A$3:$A$203,$H$3:$H$203))</f>
        <v>184.07239726900434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279.20364724206644</v>
      </c>
      <c r="CZ3" s="59">
        <f>IF('Données projet'!E13&gt;30,$CX$33-$H$33,LOOKUP('Données projet'!$E$13,$A$3:$A$203,CX3:CX203)-LOOKUP('Données projet'!$E$13,$A$3:$A$203,$H$3:$H$203))</f>
        <v>173.99850582760712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291.18074901939718</v>
      </c>
      <c r="DU3" s="59">
        <f>IF('Données projet'!E14&gt;30,$DS$33-$H$33,LOOKUP('Données projet'!$E$14,$A$3:$A$203,DS3:DS203)-LOOKUP('Données projet'!$E$14,$A$3:$A$203,$H$3:$H$203))</f>
        <v>181.05123751753774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168.08890945052406</v>
      </c>
      <c r="EP3" s="59">
        <f>IF('Données projet'!E15&gt;30,$EN$33-$H$33,LOOKUP('Données projet'!$E$15,$A$3:$A$203,EN3:EN203)-LOOKUP('Données projet'!$E$15,$A$3:$A$203,$H$3:$H$203))</f>
        <v>182.52462557642343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156.63226020379989</v>
      </c>
      <c r="FK3" s="59">
        <f>IF('Données projet'!E16&gt;30,$FI$33-$H$33,LOOKUP('Données projet'!$E$16,$A$3:$A$203,FI3:FI203)-LOOKUP('Données projet'!$E$16,$A$3:$A$203,$H$3:$H$203))</f>
        <v>196.0481096619543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216.94426559495264</v>
      </c>
      <c r="GF3" s="59">
        <f>IF('Données projet'!E17&gt;30,$GD$33-$H$33,LOOKUP('Données projet'!$E$17,$A$3:$A$203,GD3:GD203)-LOOKUP('Données projet'!$E$17,$A$3:$A$203,$H$3:$H$203))</f>
        <v>225.33715877618704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261.22357949323879</v>
      </c>
      <c r="HA3" s="59">
        <f>IF('Données projet'!E18&gt;30,$GY$33-$H$33,LOOKUP('Données projet'!$E$18,$A$3:$A$203,GY3:GY203)-LOOKUP('Données projet'!$E$18,$A$3:$A$203,$H$3:$H$203))</f>
        <v>163.41029152029387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237.22177246688199</v>
      </c>
      <c r="T4" s="59">
        <f>$T$3</f>
        <v>149.27472147904302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2.2999999999999998</v>
      </c>
      <c r="AI4" s="13">
        <f>IF('Données projet'!$A$62&gt;35,AI3+AH4-AQ3,IF(A4&lt;'Données projet'!$A$62,$AF$205^A4,IF(A4='Données projet'!$A$62,'Données projet'!$B$62,AI3+AH4-AQ3)))</f>
        <v>1.3682730833261529</v>
      </c>
      <c r="AJ4" s="13">
        <f>AI4*VLOOKUP('Données projet'!$B$10,Paramètres!$A$1:$I$89,3,0)*VLOOKUP('Données projet'!$B$10,Paramètres!$A$1:$I$89,5,0)</f>
        <v>1.1953233655937274</v>
      </c>
      <c r="AK4" s="13">
        <f>EXP(-1.0587+0.8836*LN(AJ4)+0.284)</f>
        <v>0.53953319778599107</v>
      </c>
      <c r="AL4" s="20">
        <f t="shared" ref="AL4:AL67" si="4">(AJ4+AK4)*0.475*44/12</f>
        <v>3.0215418478863434</v>
      </c>
      <c r="AM4" s="59">
        <f t="shared" ref="AM4:AM67" si="5">AL4+(AD4+AE4)*44/12</f>
        <v>296.35487518121965</v>
      </c>
      <c r="AN4" s="59">
        <f ca="1">AVERAGE(OFFSET($AM$3,0,0,'Données projet'!$E$10+1,1))-AVERAGE(OFFSET($H$3,0,0,'Données projet'!$E$10+1,1))</f>
        <v>210.07838338464626</v>
      </c>
      <c r="AO4" s="59">
        <f>$AO$3</f>
        <v>241.76003724236273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5.9</v>
      </c>
      <c r="BD4" s="12">
        <f>IF('Données projet'!$A$88&gt;35,BD3+BC4-BL3,IF(A4&lt;'Données projet'!$A$88,$BA$205^A4,IF(A4='Données projet'!$A$88,'Données projet'!$B$88,BD3+BC4-BL3)))</f>
        <v>1.2693871579679339</v>
      </c>
      <c r="BE4" s="13">
        <f>BD4*VLOOKUP('Données projet'!$B$11,Paramètres!$A$1:$I$89,3,0)*VLOOKUP('Données projet'!$B$11,Paramètres!$A$1:$I$89,5,0)</f>
        <v>0.79209758657199081</v>
      </c>
      <c r="BF4" s="13">
        <f>EXP(-1.0587+0.8836*LN(BE4)+0.284)</f>
        <v>0.37507050689117594</v>
      </c>
      <c r="BG4" s="20">
        <f t="shared" ref="BG4:BG67" si="7">(BE4+BF4)*0.475*44/12</f>
        <v>2.0328177627816819</v>
      </c>
      <c r="BH4" s="59">
        <f t="shared" ref="BH4:BH67" si="8">BG4+(AY4+AZ4)*44/12</f>
        <v>295.366151096115</v>
      </c>
      <c r="BI4" s="59">
        <f ca="1">AVERAGE(OFFSET($BH$3,0,0,'Données projet'!$E$11+1,1))-AVERAGE(OFFSET($H$3,0,0,'Données projet'!$E$11+1,1))</f>
        <v>209.93608079129638</v>
      </c>
      <c r="BJ4" s="59">
        <f>$BJ$3</f>
        <v>240.15652428700969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215.23235148064941</v>
      </c>
      <c r="CE4" s="59">
        <f>$CE$3</f>
        <v>184.07239726900434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1.2223636300497438</v>
      </c>
      <c r="CV4" s="13">
        <f>EXP(-1.0587+0.8836*LN(CU4)+0.284)</f>
        <v>0.55030360208821416</v>
      </c>
      <c r="CW4" s="20">
        <f t="shared" ref="CW4:CW67" si="13">(CU4+CV4)*0.475*44/12</f>
        <v>3.0873954293069432</v>
      </c>
      <c r="CX4" s="59">
        <f t="shared" ref="CX4:CX67" si="14">CW4+(CO4+CP4)*44/12</f>
        <v>296.42072876264024</v>
      </c>
      <c r="CY4" s="59">
        <f ca="1">AVERAGE(OFFSET($CX$3,0,0,'Données projet'!$E$13+1,1))-AVERAGE(OFFSET($H$3,0,0,'Données projet'!$E$13+1,1))</f>
        <v>279.20364724206644</v>
      </c>
      <c r="CZ4" s="59">
        <f>$CZ$3</f>
        <v>173.99850582760712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1.2599748186666591</v>
      </c>
      <c r="DQ4" s="13">
        <f>EXP(-1.0587+0.8836*LN(DP4)+0.284)</f>
        <v>0.56523859641176133</v>
      </c>
      <c r="DR4" s="20">
        <f t="shared" ref="DR4:DR67" si="16">(DP4+DQ4)*0.475*44/12</f>
        <v>3.1789133645949152</v>
      </c>
      <c r="DS4" s="59">
        <f t="shared" ref="DS4:DS67" si="17">DR4+(DJ4+DK4)*44/12</f>
        <v>296.51224669792822</v>
      </c>
      <c r="DT4" s="59">
        <f ca="1">AVERAGE(OFFSET($DS$3,0,0,'Données projet'!$E$14+1,1))-AVERAGE(OFFSET($H$3,0,0,'Données projet'!$E$14+1,1))</f>
        <v>291.18074901939718</v>
      </c>
      <c r="DU4" s="59">
        <f>$DU$3</f>
        <v>181.05123751753774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</v>
      </c>
      <c r="EJ4" s="12">
        <f>IF('Données projet'!$A$192&gt;35,EJ3+EI4-ER3,IF(A4&lt;'Données projet'!$A$192,$EG$205^A4,IF(A4='Données projet'!$A$192,'Données projet'!$B$192,EJ3+EI4-ER3)))</f>
        <v>1.3480061545972777</v>
      </c>
      <c r="EK4" s="17">
        <f>EJ4*VLOOKUP('Données projet'!$B$15,Paramètres!$A$1:$I$89,3,0)*VLOOKUP('Données projet'!$B$15,Paramètres!$A$1:$I$89,5,0)</f>
        <v>0.80610768044917203</v>
      </c>
      <c r="EL4" s="13">
        <f>EXP(-1.0587+0.8836*LN(EK4)+0.284)</f>
        <v>0.38092631183578585</v>
      </c>
      <c r="EM4" s="20">
        <f t="shared" ref="EM4:EM67" si="19">(EK4+EL4)*0.475*44/12</f>
        <v>2.0674175365629677</v>
      </c>
      <c r="EN4" s="59">
        <f t="shared" ref="EN4:EN67" si="20">EM4+(EE4+EF4)*44/12</f>
        <v>295.40075086989629</v>
      </c>
      <c r="EO4" s="59">
        <f ca="1">AVERAGE(OFFSET($EN$3,0,0,'Données projet'!$E$15+1,1))-AVERAGE(OFFSET($H$3,0,0,'Données projet'!$E$15+1,1))</f>
        <v>168.08890945052406</v>
      </c>
      <c r="EP4" s="59">
        <f>$EP$3</f>
        <v>182.52462557642343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4.75</v>
      </c>
      <c r="FE4" s="12">
        <f>IF('Données projet'!$A$218&gt;35,FE3+FD4-FM3,IF(A4&lt;'Données projet'!$A$218,$FB$205^A4,IF(A4='Données projet'!$A$218,'Données projet'!$B$218,FE3+FD4-FM3)))</f>
        <v>1.2557008269631629</v>
      </c>
      <c r="FF4" s="17">
        <f>FE4*VLOOKUP('Données projet'!$B$16,Paramètres!$A$1:$I$89,3,0)*VLOOKUP('Données projet'!$B$16,Paramètres!$A$1:$I$89,5,0)</f>
        <v>0.84232411472688973</v>
      </c>
      <c r="FG4" s="13">
        <f>EXP(-1.0587+0.8836*LN(FF4)+0.284)</f>
        <v>0.39600941950779012</v>
      </c>
      <c r="FH4" s="20">
        <f t="shared" ref="FH4:FH67" si="22">(FF4+FG4)*0.475*44/12</f>
        <v>2.1567642387920674</v>
      </c>
      <c r="FI4" s="59">
        <f t="shared" ref="FI4:FI67" si="23">FH4+(EZ4+FA4)*44/12</f>
        <v>295.49009757212536</v>
      </c>
      <c r="FJ4" s="59">
        <f ca="1">AVERAGE(OFFSET($FI$3,0,0,'Données projet'!$E$16+1,1))-AVERAGE(OFFSET($H$3,0,0,'Données projet'!$E$16+1,1))</f>
        <v>156.63226020379989</v>
      </c>
      <c r="FK4" s="59">
        <f>$FK$3</f>
        <v>196.0481096619543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4.55</v>
      </c>
      <c r="FZ4" s="12">
        <f>IF('Données projet'!$A$244&gt;35,FZ3+FY4-GH3,IF(A4&lt;'Données projet'!$A$244,$FW$205^A4,IF(A4='Données projet'!$A$244,'Données projet'!$B$244,FZ3+FY4-GH3)))</f>
        <v>1.2530028811664373</v>
      </c>
      <c r="GA4" s="17">
        <f>FZ4*VLOOKUP('Données projet'!$B$17,Paramètres!$A$1:$I$89,3,0)*VLOOKUP('Données projet'!$B$17,Paramètres!$A$1:$I$89,5,0)</f>
        <v>0.74929572293752955</v>
      </c>
      <c r="GB4" s="13">
        <f>EXP(-1.0587+0.8836*LN(GA4)+0.284)</f>
        <v>0.35710479340754359</v>
      </c>
      <c r="GC4" s="20">
        <f t="shared" ref="GC4:GC67" si="25">(GA4+GB4)*0.475*44/12</f>
        <v>1.9269808993010022</v>
      </c>
      <c r="GD4" s="59">
        <f t="shared" ref="GD4:GD67" si="26">GC4+(FU4+FV4)*44/12</f>
        <v>295.2603142326343</v>
      </c>
      <c r="GE4" s="59">
        <f ca="1">AVERAGE(OFFSET($GD$3,0,0,'Données projet'!$E$17+1,1))-AVERAGE(OFFSET($H$3,0,0,'Données projet'!$E$17+1,1))</f>
        <v>216.94426559495264</v>
      </c>
      <c r="GF4" s="59">
        <f>$GF$3</f>
        <v>225.33715877618704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2.1</v>
      </c>
      <c r="GU4" s="12">
        <f>IF('Données projet'!$A$270&gt;35,GU3+GT4-HC3,IF(A4&lt;'Données projet'!$A$270,$GR$205^A4,IF(A4='Données projet'!$A$270,'Données projet'!$B$270,GU3+GT4-HC3)))</f>
        <v>1.2054868146447177</v>
      </c>
      <c r="GV4" s="17">
        <f>GU4*VLOOKUP('Données projet'!$B$18,Paramètres!$A$1:$I$89,3,0)*VLOOKUP('Données projet'!$B$18,Paramètres!$A$1:$I$89,5,0)</f>
        <v>1.165946847124371</v>
      </c>
      <c r="GW4" s="13">
        <f>EXP(-1.0587+0.8836*LN(GV4)+0.284)</f>
        <v>0.52780002987456354</v>
      </c>
      <c r="GX4" s="20">
        <f t="shared" ref="GX4:GX67" si="28">(GV4+GW4)*0.475*44/12</f>
        <v>2.9499424774398109</v>
      </c>
      <c r="GY4" s="59">
        <f t="shared" ref="GY4:GY67" si="29">GX4+(GP4+GQ4)*44/12</f>
        <v>296.28327581077315</v>
      </c>
      <c r="GZ4" s="59">
        <f ca="1">AVERAGE(OFFSET($GY$3,0,0,'Données projet'!$E$18+1,1))-AVERAGE(OFFSET($H$3,0,0,'Données projet'!$E$18+1,1))</f>
        <v>261.22357949323879</v>
      </c>
      <c r="HA4" s="59">
        <f>$HA$3</f>
        <v>163.41029152029387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237.22177246688199</v>
      </c>
      <c r="T5" s="59">
        <f t="shared" ref="T5:T68" si="34">$T$3</f>
        <v>149.27472147904302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2.2999999999999998</v>
      </c>
      <c r="AI5" s="13">
        <f>IF('Données projet'!$A$62&gt;35,AI4+AH5-AQ4,IF(A5&lt;'Données projet'!$A$62,$AF$205^A5,IF(A5='Données projet'!$A$62,'Données projet'!$B$62,AI4+AH5-AQ4)))</f>
        <v>1.8721712305548575</v>
      </c>
      <c r="AJ5" s="13">
        <f>AI5*VLOOKUP('Données projet'!$B$10,Paramètres!$A$1:$I$89,3,0)*VLOOKUP('Données projet'!$B$10,Paramètres!$A$1:$I$89,5,0)</f>
        <v>1.6355287870127238</v>
      </c>
      <c r="AK5" s="13">
        <f t="shared" ref="AK5:AK68" si="35">EXP(-1.0587+0.8836*LN(AJ5)+0.284)</f>
        <v>0.71177125311828726</v>
      </c>
      <c r="AL5" s="20">
        <f t="shared" si="4"/>
        <v>4.0882142365615106</v>
      </c>
      <c r="AM5" s="59">
        <f t="shared" si="5"/>
        <v>297.42154756989481</v>
      </c>
      <c r="AN5" s="59">
        <f ca="1">AVERAGE(OFFSET($AM$3,0,0,'Données projet'!$E$10+1,1))-AVERAGE(OFFSET($H$3,0,0,'Données projet'!$E$10+1,1))</f>
        <v>210.07838338464626</v>
      </c>
      <c r="AO5" s="59">
        <f t="shared" ref="AO5:AO68" si="36">$AO$3</f>
        <v>241.76003724236273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5.9</v>
      </c>
      <c r="BD5" s="12">
        <f>IF('Données projet'!$A$88&gt;35,BD4+BC5-BL4,IF(A5&lt;'Données projet'!$A$88,$BA$205^A5,IF(A5='Données projet'!$A$88,'Données projet'!$B$88,BD4+BC5-BL4)))</f>
        <v>1.6113437568139084</v>
      </c>
      <c r="BE5" s="13">
        <f>BD5*VLOOKUP('Données projet'!$B$11,Paramètres!$A$1:$I$89,3,0)*VLOOKUP('Données projet'!$B$11,Paramètres!$A$1:$I$89,5,0)</f>
        <v>1.0054785042518788</v>
      </c>
      <c r="BF5" s="13">
        <f t="shared" ref="BF5:BF68" si="37">EXP(-1.0587+0.8836*LN(BE5)+0.284)</f>
        <v>0.46307214995521828</v>
      </c>
      <c r="BG5" s="20">
        <f t="shared" si="7"/>
        <v>2.5577257227440273</v>
      </c>
      <c r="BH5" s="59">
        <f t="shared" si="8"/>
        <v>295.89105905607732</v>
      </c>
      <c r="BI5" s="59">
        <f ca="1">AVERAGE(OFFSET($BH$3,0,0,'Données projet'!$E$11+1,1))-AVERAGE(OFFSET($H$3,0,0,'Données projet'!$E$11+1,1))</f>
        <v>209.93608079129638</v>
      </c>
      <c r="BJ5" s="59">
        <f t="shared" ref="BJ5:BJ68" si="38">$BJ$3</f>
        <v>240.15652428700969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215.23235148064941</v>
      </c>
      <c r="CE5" s="59">
        <f t="shared" ref="CE5:CE68" si="40">$CE$3</f>
        <v>184.07239726900434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1.47354323872622</v>
      </c>
      <c r="CV5" s="13">
        <f t="shared" ref="CV5:CV68" si="41">EXP(-1.0587+0.8836*LN(CU5)+0.284)</f>
        <v>0.64910881835703094</v>
      </c>
      <c r="CW5" s="20">
        <f t="shared" si="13"/>
        <v>3.6969523327533285</v>
      </c>
      <c r="CX5" s="59">
        <f t="shared" si="14"/>
        <v>297.03028566608663</v>
      </c>
      <c r="CY5" s="59">
        <f ca="1">AVERAGE(OFFSET($CX$3,0,0,'Données projet'!$E$13+1,1))-AVERAGE(OFFSET($H$3,0,0,'Données projet'!$E$13+1,1))</f>
        <v>279.20364724206644</v>
      </c>
      <c r="CZ5" s="59">
        <f t="shared" ref="CZ5:CZ68" si="42">$CZ$3</f>
        <v>173.99850582760712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1.5188830306870267</v>
      </c>
      <c r="DQ5" s="13">
        <f t="shared" ref="DQ5:DQ68" si="43">EXP(-1.0587+0.8836*LN(DP5)+0.284)</f>
        <v>0.66672534218267832</v>
      </c>
      <c r="DR5" s="20">
        <f t="shared" si="16"/>
        <v>3.8066012494147365</v>
      </c>
      <c r="DS5" s="59">
        <f t="shared" si="17"/>
        <v>297.13993458274803</v>
      </c>
      <c r="DT5" s="59">
        <f ca="1">AVERAGE(OFFSET($DS$3,0,0,'Données projet'!$E$14+1,1))-AVERAGE(OFFSET($H$3,0,0,'Données projet'!$E$14+1,1))</f>
        <v>291.18074901939718</v>
      </c>
      <c r="DU5" s="59">
        <f t="shared" ref="DU5:DU68" si="44">$DU$3</f>
        <v>181.05123751753774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</v>
      </c>
      <c r="EJ5" s="12">
        <f>IF('Données projet'!$A$192&gt;35,EJ4+EI5-ER4,IF(A5&lt;'Données projet'!$A$192,$EG$205^A5,IF(A5='Données projet'!$A$192,'Données projet'!$B$192,EJ4+EI5-ER4)))</f>
        <v>1.8171205928321397</v>
      </c>
      <c r="EK5" s="17">
        <f>EJ5*VLOOKUP('Données projet'!$B$15,Paramètres!$A$1:$I$89,3,0)*VLOOKUP('Données projet'!$B$15,Paramètres!$A$1:$I$89,5,0)</f>
        <v>1.0866381145136197</v>
      </c>
      <c r="EL5" s="13">
        <f t="shared" ref="EL5:EL68" si="45">EXP(-1.0587+0.8836*LN(EK5)+0.284)</f>
        <v>0.49594865026181029</v>
      </c>
      <c r="EM5" s="20">
        <f t="shared" si="19"/>
        <v>2.7563386153172069</v>
      </c>
      <c r="EN5" s="59">
        <f t="shared" si="20"/>
        <v>296.0896719486505</v>
      </c>
      <c r="EO5" s="59">
        <f ca="1">AVERAGE(OFFSET($EN$3,0,0,'Données projet'!$E$15+1,1))-AVERAGE(OFFSET($H$3,0,0,'Données projet'!$E$15+1,1))</f>
        <v>168.08890945052406</v>
      </c>
      <c r="EP5" s="59">
        <f t="shared" ref="EP5:EP68" si="46">$EP$3</f>
        <v>182.52462557642343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4.75</v>
      </c>
      <c r="FE5" s="12">
        <f>IF('Données projet'!$A$218&gt;35,FE4+FD5-FM4,IF(A5&lt;'Données projet'!$A$218,$FB$205^A5,IF(A5='Données projet'!$A$218,'Données projet'!$B$218,FE4+FD5-FM4)))</f>
        <v>1.576784566835971</v>
      </c>
      <c r="FF5" s="17">
        <f>FE5*VLOOKUP('Données projet'!$B$16,Paramètres!$A$1:$I$89,3,0)*VLOOKUP('Données projet'!$B$16,Paramètres!$A$1:$I$89,5,0)</f>
        <v>1.0577070874335694</v>
      </c>
      <c r="FG5" s="13">
        <f t="shared" ref="FG5:FG68" si="47">EXP(-1.0587+0.8836*LN(FF5)+0.284)</f>
        <v>0.484263063493652</v>
      </c>
      <c r="FH5" s="20">
        <f t="shared" si="22"/>
        <v>2.6855980128649111</v>
      </c>
      <c r="FI5" s="59">
        <f t="shared" si="23"/>
        <v>296.0189313461982</v>
      </c>
      <c r="FJ5" s="59">
        <f ca="1">AVERAGE(OFFSET($FI$3,0,0,'Données projet'!$E$16+1,1))-AVERAGE(OFFSET($H$3,0,0,'Données projet'!$E$16+1,1))</f>
        <v>156.63226020379989</v>
      </c>
      <c r="FK5" s="59">
        <f t="shared" ref="FK5:FK68" si="48">$FK$3</f>
        <v>196.0481096619543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4.55</v>
      </c>
      <c r="FZ5" s="12">
        <f>IF('Données projet'!$A$244&gt;35,FZ4+FY5-GH4,IF(A5&lt;'Données projet'!$A$244,$FW$205^A5,IF(A5='Données projet'!$A$244,'Données projet'!$B$244,FZ4+FY5-GH4)))</f>
        <v>1.570016220211393</v>
      </c>
      <c r="GA5" s="17">
        <f>FZ5*VLOOKUP('Données projet'!$B$17,Paramètres!$A$1:$I$89,3,0)*VLOOKUP('Données projet'!$B$17,Paramètres!$A$1:$I$89,5,0)</f>
        <v>0.9388696996864131</v>
      </c>
      <c r="GB5" s="13">
        <f t="shared" ref="GB5:GB68" si="49">EXP(-1.0587+0.8836*LN(GA5)+0.284)</f>
        <v>0.43585911075604999</v>
      </c>
      <c r="GC5" s="20">
        <f t="shared" si="25"/>
        <v>2.3943193448539568</v>
      </c>
      <c r="GD5" s="59">
        <f t="shared" si="26"/>
        <v>295.72765267818727</v>
      </c>
      <c r="GE5" s="59">
        <f ca="1">AVERAGE(OFFSET($GD$3,0,0,'Données projet'!$E$17+1,1))-AVERAGE(OFFSET($H$3,0,0,'Données projet'!$E$17+1,1))</f>
        <v>216.94426559495264</v>
      </c>
      <c r="GF5" s="59">
        <f t="shared" ref="GF5:GF68" si="50">$GF$3</f>
        <v>225.33715877618704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2.1</v>
      </c>
      <c r="GU5" s="12">
        <f>IF('Données projet'!$A$270&gt;35,GU4+GT5-HC4,IF(A5&lt;'Données projet'!$A$270,$GR$205^A5,IF(A5='Données projet'!$A$270,'Données projet'!$B$270,GU4+GT5-HC4)))</f>
        <v>1.4531984602822681</v>
      </c>
      <c r="GV5" s="17">
        <f>GU5*VLOOKUP('Données projet'!$B$18,Paramètres!$A$1:$I$89,3,0)*VLOOKUP('Données projet'!$B$18,Paramètres!$A$1:$I$89,5,0)</f>
        <v>1.4055335507850097</v>
      </c>
      <c r="GW5" s="13">
        <f t="shared" ref="GW5:GW68" si="51">EXP(-1.0587+0.8836*LN(GV5)+0.284)</f>
        <v>0.62256480317525631</v>
      </c>
      <c r="GX5" s="20">
        <f t="shared" si="28"/>
        <v>3.5322712998141292</v>
      </c>
      <c r="GY5" s="59">
        <f t="shared" si="29"/>
        <v>296.86560463314743</v>
      </c>
      <c r="GZ5" s="59">
        <f ca="1">AVERAGE(OFFSET($GY$3,0,0,'Données projet'!$E$18+1,1))-AVERAGE(OFFSET($H$3,0,0,'Données projet'!$E$18+1,1))</f>
        <v>261.22357949323879</v>
      </c>
      <c r="HA5" s="59">
        <f t="shared" ref="HA5:HA68" si="52">$HA$3</f>
        <v>163.41029152029387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237.22177246688199</v>
      </c>
      <c r="T6" s="59">
        <f t="shared" si="34"/>
        <v>149.27472147904302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2.2999999999999998</v>
      </c>
      <c r="AI6" s="13">
        <f>IF('Données projet'!$A$62&gt;35,AI5+AH6-AQ5,IF(A6&lt;'Données projet'!$A$62,$AF$205^A6,IF(A6='Données projet'!$A$62,'Données projet'!$B$62,AI5+AH6-AQ5)))</f>
        <v>2.5616415021458128</v>
      </c>
      <c r="AJ6" s="13">
        <f>AI6*VLOOKUP('Données projet'!$B$10,Paramètres!$A$1:$I$89,3,0)*VLOOKUP('Données projet'!$B$10,Paramètres!$A$1:$I$89,5,0)</f>
        <v>2.237850016274582</v>
      </c>
      <c r="AK6" s="13">
        <f t="shared" si="35"/>
        <v>0.93899377989068589</v>
      </c>
      <c r="AL6" s="20">
        <f t="shared" si="4"/>
        <v>5.5330029449878415</v>
      </c>
      <c r="AM6" s="59">
        <f t="shared" si="5"/>
        <v>298.86633627832117</v>
      </c>
      <c r="AN6" s="59">
        <f ca="1">AVERAGE(OFFSET($AM$3,0,0,'Données projet'!$E$10+1,1))-AVERAGE(OFFSET($H$3,0,0,'Données projet'!$E$10+1,1))</f>
        <v>210.07838338464626</v>
      </c>
      <c r="AO6" s="59">
        <f t="shared" si="36"/>
        <v>241.76003724236273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5.9</v>
      </c>
      <c r="BD6" s="12">
        <f>IF('Données projet'!$A$88&gt;35,BD5+BC6-BL5,IF(A6&lt;'Données projet'!$A$88,$BA$205^A6,IF(A6='Données projet'!$A$88,'Données projet'!$B$88,BD5+BC6-BL5)))</f>
        <v>2.0454190719713807</v>
      </c>
      <c r="BE6" s="13">
        <f>BD6*VLOOKUP('Données projet'!$B$11,Paramètres!$A$1:$I$89,3,0)*VLOOKUP('Données projet'!$B$11,Paramètres!$A$1:$I$89,5,0)</f>
        <v>1.2763415009101415</v>
      </c>
      <c r="BF6" s="13">
        <f t="shared" si="37"/>
        <v>0.57172134871794966</v>
      </c>
      <c r="BG6" s="20">
        <f t="shared" si="7"/>
        <v>3.2187094631022588</v>
      </c>
      <c r="BH6" s="59">
        <f t="shared" si="8"/>
        <v>296.55204279643556</v>
      </c>
      <c r="BI6" s="59">
        <f ca="1">AVERAGE(OFFSET($BH$3,0,0,'Données projet'!$E$11+1,1))-AVERAGE(OFFSET($H$3,0,0,'Données projet'!$E$11+1,1))</f>
        <v>209.93608079129638</v>
      </c>
      <c r="BJ6" s="59">
        <f t="shared" si="38"/>
        <v>240.15652428700969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215.23235148064941</v>
      </c>
      <c r="CE6" s="59">
        <f t="shared" si="40"/>
        <v>184.07239726900434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1.7763369450933317</v>
      </c>
      <c r="CV6" s="13">
        <f t="shared" si="41"/>
        <v>0.76565418883323866</v>
      </c>
      <c r="CW6" s="20">
        <f t="shared" si="13"/>
        <v>4.4273012249221102</v>
      </c>
      <c r="CX6" s="59">
        <f t="shared" si="14"/>
        <v>297.76063455825545</v>
      </c>
      <c r="CY6" s="59">
        <f ca="1">AVERAGE(OFFSET($CX$3,0,0,'Données projet'!$E$13+1,1))-AVERAGE(OFFSET($H$3,0,0,'Données projet'!$E$13+1,1))</f>
        <v>279.20364724206644</v>
      </c>
      <c r="CZ6" s="59">
        <f t="shared" si="42"/>
        <v>173.99850582760712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1.830993466480819</v>
      </c>
      <c r="DQ6" s="13">
        <f t="shared" si="43"/>
        <v>0.78643370203401075</v>
      </c>
      <c r="DR6" s="20">
        <f t="shared" si="16"/>
        <v>4.5586856518299959</v>
      </c>
      <c r="DS6" s="59">
        <f t="shared" si="17"/>
        <v>297.8920189851633</v>
      </c>
      <c r="DT6" s="59">
        <f ca="1">AVERAGE(OFFSET($DS$3,0,0,'Données projet'!$E$14+1,1))-AVERAGE(OFFSET($H$3,0,0,'Données projet'!$E$14+1,1))</f>
        <v>291.18074901939718</v>
      </c>
      <c r="DU6" s="59">
        <f t="shared" si="44"/>
        <v>181.05123751753774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</v>
      </c>
      <c r="EJ6" s="12">
        <f>IF('Données projet'!$A$192&gt;35,EJ5+EI6-ER5,IF(A6&lt;'Données projet'!$A$192,$EG$205^A6,IF(A6='Données projet'!$A$192,'Données projet'!$B$192,EJ5+EI6-ER5)))</f>
        <v>2.4494897427831783</v>
      </c>
      <c r="EK6" s="17">
        <f>EJ6*VLOOKUP('Données projet'!$B$15,Paramètres!$A$1:$I$89,3,0)*VLOOKUP('Données projet'!$B$15,Paramètres!$A$1:$I$89,5,0)</f>
        <v>1.4647948661843406</v>
      </c>
      <c r="EL6" s="13">
        <f t="shared" si="45"/>
        <v>0.64570247854798968</v>
      </c>
      <c r="EM6" s="20">
        <f t="shared" si="19"/>
        <v>3.6757828754088084</v>
      </c>
      <c r="EN6" s="59">
        <f t="shared" si="20"/>
        <v>297.00911620874211</v>
      </c>
      <c r="EO6" s="59">
        <f ca="1">AVERAGE(OFFSET($EN$3,0,0,'Données projet'!$E$15+1,1))-AVERAGE(OFFSET($H$3,0,0,'Données projet'!$E$15+1,1))</f>
        <v>168.08890945052406</v>
      </c>
      <c r="EP6" s="59">
        <f t="shared" si="46"/>
        <v>182.52462557642343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4.75</v>
      </c>
      <c r="FE6" s="12">
        <f>IF('Données projet'!$A$218&gt;35,FE5+FD6-FM5,IF(A6&lt;'Données projet'!$A$218,$FB$205^A6,IF(A6='Données projet'!$A$218,'Données projet'!$B$218,FE5+FD6-FM5)))</f>
        <v>1.9799696845186814</v>
      </c>
      <c r="FF6" s="17">
        <f>FE6*VLOOKUP('Données projet'!$B$16,Paramètres!$A$1:$I$89,3,0)*VLOOKUP('Données projet'!$B$16,Paramètres!$A$1:$I$89,5,0)</f>
        <v>1.3281636643751316</v>
      </c>
      <c r="FG6" s="13">
        <f t="shared" si="47"/>
        <v>0.5921846883231614</v>
      </c>
      <c r="FH6" s="20">
        <f t="shared" si="22"/>
        <v>3.3446067142828606</v>
      </c>
      <c r="FI6" s="59">
        <f t="shared" si="23"/>
        <v>296.67794004761618</v>
      </c>
      <c r="FJ6" s="59">
        <f ca="1">AVERAGE(OFFSET($FI$3,0,0,'Données projet'!$E$16+1,1))-AVERAGE(OFFSET($H$3,0,0,'Données projet'!$E$16+1,1))</f>
        <v>156.63226020379989</v>
      </c>
      <c r="FK6" s="59">
        <f t="shared" si="48"/>
        <v>196.0481096619543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4.55</v>
      </c>
      <c r="FZ6" s="12">
        <f>IF('Données projet'!$A$244&gt;35,FZ5+FY6-GH5,IF(A6&lt;'Données projet'!$A$244,$FW$205^A6,IF(A6='Données projet'!$A$244,'Données projet'!$B$244,FZ5+FY6-GH5)))</f>
        <v>1.9672348474029151</v>
      </c>
      <c r="GA6" s="17">
        <f>FZ6*VLOOKUP('Données projet'!$B$17,Paramètres!$A$1:$I$89,3,0)*VLOOKUP('Données projet'!$B$17,Paramètres!$A$1:$I$89,5,0)</f>
        <v>1.1764064387469433</v>
      </c>
      <c r="GB6" s="13">
        <f t="shared" si="49"/>
        <v>0.53198155817597481</v>
      </c>
      <c r="GC6" s="20">
        <f t="shared" si="25"/>
        <v>2.9754424279740825</v>
      </c>
      <c r="GD6" s="59">
        <f t="shared" si="26"/>
        <v>296.3087757613074</v>
      </c>
      <c r="GE6" s="59">
        <f ca="1">AVERAGE(OFFSET($GD$3,0,0,'Données projet'!$E$17+1,1))-AVERAGE(OFFSET($H$3,0,0,'Données projet'!$E$17+1,1))</f>
        <v>216.94426559495264</v>
      </c>
      <c r="GF6" s="59">
        <f t="shared" si="50"/>
        <v>225.33715877618704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2.1</v>
      </c>
      <c r="GU6" s="12">
        <f>IF('Données projet'!$A$270&gt;35,GU5+GT6-HC5,IF(A6&lt;'Données projet'!$A$270,$GR$205^A6,IF(A6='Données projet'!$A$270,'Données projet'!$B$270,GU5+GT6-HC5)))</f>
        <v>1.7518115829322798</v>
      </c>
      <c r="GV6" s="17">
        <f>GU6*VLOOKUP('Données projet'!$B$18,Paramètres!$A$1:$I$89,3,0)*VLOOKUP('Données projet'!$B$18,Paramètres!$A$1:$I$89,5,0)</f>
        <v>1.694352163012101</v>
      </c>
      <c r="GW6" s="13">
        <f t="shared" si="51"/>
        <v>0.73434428233124405</v>
      </c>
      <c r="GX6" s="20">
        <f t="shared" si="28"/>
        <v>4.2299796423063247</v>
      </c>
      <c r="GY6" s="59">
        <f t="shared" si="29"/>
        <v>297.56331297563963</v>
      </c>
      <c r="GZ6" s="59">
        <f ca="1">AVERAGE(OFFSET($GY$3,0,0,'Données projet'!$E$18+1,1))-AVERAGE(OFFSET($H$3,0,0,'Données projet'!$E$18+1,1))</f>
        <v>261.22357949323879</v>
      </c>
      <c r="HA6" s="59">
        <f t="shared" si="52"/>
        <v>163.41029152029387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237.22177246688199</v>
      </c>
      <c r="T7" s="59">
        <f t="shared" si="34"/>
        <v>149.27472147904302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2.2999999999999998</v>
      </c>
      <c r="AI7" s="13">
        <f>IF('Données projet'!$A$62&gt;35,AI6+AH7-AQ6,IF(A7&lt;'Données projet'!$A$62,$AF$205^A7,IF(A7='Données projet'!$A$62,'Données projet'!$B$62,AI6+AH7-AQ6)))</f>
        <v>3.5050251165172894</v>
      </c>
      <c r="AJ7" s="13">
        <f>AI7*VLOOKUP('Données projet'!$B$10,Paramètres!$A$1:$I$89,3,0)*VLOOKUP('Données projet'!$B$10,Paramètres!$A$1:$I$89,5,0)</f>
        <v>3.0619899417895042</v>
      </c>
      <c r="AK7" s="13">
        <f t="shared" si="35"/>
        <v>1.2387537636714157</v>
      </c>
      <c r="AL7" s="20">
        <f t="shared" si="4"/>
        <v>7.4904619536777686</v>
      </c>
      <c r="AM7" s="59">
        <f t="shared" si="5"/>
        <v>300.82379528701108</v>
      </c>
      <c r="AN7" s="59">
        <f ca="1">AVERAGE(OFFSET($AM$3,0,0,'Données projet'!$E$10+1,1))-AVERAGE(OFFSET($H$3,0,0,'Données projet'!$E$10+1,1))</f>
        <v>210.07838338464626</v>
      </c>
      <c r="AO7" s="59">
        <f t="shared" si="36"/>
        <v>241.76003724236273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5.9</v>
      </c>
      <c r="BD7" s="12">
        <f>IF('Données projet'!$A$88&gt;35,BD6+BC7-BL6,IF(A7&lt;'Données projet'!$A$88,$BA$205^A7,IF(A7='Données projet'!$A$88,'Données projet'!$B$88,BD6+BC7-BL6)))</f>
        <v>2.5964287026231601</v>
      </c>
      <c r="BE7" s="13">
        <f>BD7*VLOOKUP('Données projet'!$B$11,Paramètres!$A$1:$I$89,3,0)*VLOOKUP('Données projet'!$B$11,Paramètres!$A$1:$I$89,5,0)</f>
        <v>1.6201715104368517</v>
      </c>
      <c r="BF7" s="13">
        <f t="shared" si="37"/>
        <v>0.70586257586745638</v>
      </c>
      <c r="BG7" s="20">
        <f t="shared" si="7"/>
        <v>4.0511760336466702</v>
      </c>
      <c r="BH7" s="59">
        <f t="shared" si="8"/>
        <v>297.38450936698001</v>
      </c>
      <c r="BI7" s="59">
        <f ca="1">AVERAGE(OFFSET($BH$3,0,0,'Données projet'!$E$11+1,1))-AVERAGE(OFFSET($H$3,0,0,'Données projet'!$E$11+1,1))</f>
        <v>209.93608079129638</v>
      </c>
      <c r="BJ7" s="59">
        <f t="shared" si="38"/>
        <v>240.15652428700969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215.23235148064941</v>
      </c>
      <c r="CE7" s="59">
        <f t="shared" si="40"/>
        <v>184.07239726900434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2.1413507656762891</v>
      </c>
      <c r="CV7" s="13">
        <f t="shared" si="41"/>
        <v>0.9031249003236328</v>
      </c>
      <c r="CW7" s="20">
        <f t="shared" si="13"/>
        <v>5.3024617849498643</v>
      </c>
      <c r="CX7" s="59">
        <f t="shared" si="14"/>
        <v>298.63579511828317</v>
      </c>
      <c r="CY7" s="59">
        <f ca="1">AVERAGE(OFFSET($CX$3,0,0,'Données projet'!$E$13+1,1))-AVERAGE(OFFSET($H$3,0,0,'Données projet'!$E$13+1,1))</f>
        <v>279.20364724206644</v>
      </c>
      <c r="CZ7" s="59">
        <f t="shared" si="42"/>
        <v>173.99850582760712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2.2072384815432522</v>
      </c>
      <c r="DQ7" s="13">
        <f t="shared" si="43"/>
        <v>0.92763530732188715</v>
      </c>
      <c r="DR7" s="20">
        <f t="shared" si="16"/>
        <v>5.4599051822734497</v>
      </c>
      <c r="DS7" s="59">
        <f t="shared" si="17"/>
        <v>298.79323851560679</v>
      </c>
      <c r="DT7" s="59">
        <f ca="1">AVERAGE(OFFSET($DS$3,0,0,'Données projet'!$E$14+1,1))-AVERAGE(OFFSET($H$3,0,0,'Données projet'!$E$14+1,1))</f>
        <v>291.18074901939718</v>
      </c>
      <c r="DU7" s="59">
        <f t="shared" si="44"/>
        <v>181.05123751753774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</v>
      </c>
      <c r="EJ7" s="12">
        <f>IF('Données projet'!$A$192&gt;35,EJ6+EI7-ER6,IF(A7&lt;'Données projet'!$A$192,$EG$205^A7,IF(A7='Données projet'!$A$192,'Données projet'!$B$192,EJ6+EI7-ER6)))</f>
        <v>3.3019272488946267</v>
      </c>
      <c r="EK7" s="17">
        <f>EJ7*VLOOKUP('Données projet'!$B$15,Paramètres!$A$1:$I$89,3,0)*VLOOKUP('Données projet'!$B$15,Paramètres!$A$1:$I$89,5,0)</f>
        <v>1.974552494838987</v>
      </c>
      <c r="EL7" s="13">
        <f t="shared" si="45"/>
        <v>0.84067511945625772</v>
      </c>
      <c r="EM7" s="20">
        <f t="shared" si="19"/>
        <v>4.9031880948975504</v>
      </c>
      <c r="EN7" s="59">
        <f t="shared" si="20"/>
        <v>298.23652142823084</v>
      </c>
      <c r="EO7" s="59">
        <f ca="1">AVERAGE(OFFSET($EN$3,0,0,'Données projet'!$E$15+1,1))-AVERAGE(OFFSET($H$3,0,0,'Données projet'!$E$15+1,1))</f>
        <v>168.08890945052406</v>
      </c>
      <c r="EP7" s="59">
        <f t="shared" si="46"/>
        <v>182.52462557642343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4.75</v>
      </c>
      <c r="FE7" s="12">
        <f>IF('Données projet'!$A$218&gt;35,FE6+FD7-FM6,IF(A7&lt;'Données projet'!$A$218,$FB$205^A7,IF(A7='Données projet'!$A$218,'Données projet'!$B$218,FE6+FD7-FM6)))</f>
        <v>2.4862495702121006</v>
      </c>
      <c r="FF7" s="17">
        <f>FE7*VLOOKUP('Données projet'!$B$16,Paramètres!$A$1:$I$89,3,0)*VLOOKUP('Données projet'!$B$16,Paramètres!$A$1:$I$89,5,0)</f>
        <v>1.6677762116982771</v>
      </c>
      <c r="FG7" s="13">
        <f t="shared" si="47"/>
        <v>0.72415744978451535</v>
      </c>
      <c r="FH7" s="20">
        <f t="shared" si="22"/>
        <v>4.16595112708253</v>
      </c>
      <c r="FI7" s="59">
        <f t="shared" si="23"/>
        <v>297.49928446041582</v>
      </c>
      <c r="FJ7" s="59">
        <f ca="1">AVERAGE(OFFSET($FI$3,0,0,'Données projet'!$E$16+1,1))-AVERAGE(OFFSET($H$3,0,0,'Données projet'!$E$16+1,1))</f>
        <v>156.63226020379989</v>
      </c>
      <c r="FK7" s="59">
        <f t="shared" si="48"/>
        <v>196.0481096619543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4.55</v>
      </c>
      <c r="FZ7" s="12">
        <f>IF('Données projet'!$A$244&gt;35,FZ6+FY7-GH6,IF(A7&lt;'Données projet'!$A$244,$FW$205^A7,IF(A7='Données projet'!$A$244,'Données projet'!$B$244,FZ6+FY7-GH6)))</f>
        <v>2.4649509317268694</v>
      </c>
      <c r="GA7" s="17">
        <f>FZ7*VLOOKUP('Données projet'!$B$17,Paramètres!$A$1:$I$89,3,0)*VLOOKUP('Données projet'!$B$17,Paramètres!$A$1:$I$89,5,0)</f>
        <v>1.4740406571726681</v>
      </c>
      <c r="GB7" s="13">
        <f t="shared" si="49"/>
        <v>0.64930242653052039</v>
      </c>
      <c r="GC7" s="20">
        <f t="shared" si="25"/>
        <v>3.6981558707830531</v>
      </c>
      <c r="GD7" s="59">
        <f t="shared" si="26"/>
        <v>297.03148920411638</v>
      </c>
      <c r="GE7" s="59">
        <f ca="1">AVERAGE(OFFSET($GD$3,0,0,'Données projet'!$E$17+1,1))-AVERAGE(OFFSET($H$3,0,0,'Données projet'!$E$17+1,1))</f>
        <v>216.94426559495264</v>
      </c>
      <c r="GF7" s="59">
        <f t="shared" si="50"/>
        <v>225.33715877618704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2.1</v>
      </c>
      <c r="GU7" s="12">
        <f>IF('Données projet'!$A$270&gt;35,GU6+GT7-HC6,IF(A7&lt;'Données projet'!$A$270,$GR$205^A7,IF(A7='Données projet'!$A$270,'Données projet'!$B$270,GU6+GT7-HC6)))</f>
        <v>2.1117857649667546</v>
      </c>
      <c r="GV7" s="17">
        <f>GU7*VLOOKUP('Données projet'!$B$18,Paramètres!$A$1:$I$89,3,0)*VLOOKUP('Données projet'!$B$18,Paramètres!$A$1:$I$89,5,0)</f>
        <v>2.042519191875845</v>
      </c>
      <c r="GW7" s="13">
        <f t="shared" si="51"/>
        <v>0.86619340226463792</v>
      </c>
      <c r="GX7" s="20">
        <f t="shared" si="28"/>
        <v>5.0660077681280073</v>
      </c>
      <c r="GY7" s="59">
        <f t="shared" si="29"/>
        <v>298.39934110146135</v>
      </c>
      <c r="GZ7" s="59">
        <f ca="1">AVERAGE(OFFSET($GY$3,0,0,'Données projet'!$E$18+1,1))-AVERAGE(OFFSET($H$3,0,0,'Données projet'!$E$18+1,1))</f>
        <v>261.22357949323879</v>
      </c>
      <c r="HA7" s="59">
        <f t="shared" si="52"/>
        <v>163.41029152029387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237.22177246688199</v>
      </c>
      <c r="T8" s="59">
        <f t="shared" si="34"/>
        <v>149.27472147904302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2.2999999999999998</v>
      </c>
      <c r="AI8" s="13">
        <f>IF('Données projet'!$A$62&gt;35,AI7+AH8-AQ7,IF(A8&lt;'Données projet'!$A$62,$AF$205^A8,IF(A8='Données projet'!$A$62,'Données projet'!$B$62,AI7+AH8-AQ7)))</f>
        <v>4.79583152331272</v>
      </c>
      <c r="AJ8" s="13">
        <f>AI8*VLOOKUP('Données projet'!$B$10,Paramètres!$A$1:$I$89,3,0)*VLOOKUP('Données projet'!$B$10,Paramètres!$A$1:$I$89,5,0)</f>
        <v>4.189638418765993</v>
      </c>
      <c r="AK8" s="13">
        <f t="shared" si="35"/>
        <v>1.6342077230679199</v>
      </c>
      <c r="AL8" s="20">
        <f t="shared" si="4"/>
        <v>10.143198697027399</v>
      </c>
      <c r="AM8" s="59">
        <f t="shared" si="5"/>
        <v>303.47653203036072</v>
      </c>
      <c r="AN8" s="59">
        <f ca="1">AVERAGE(OFFSET($AM$3,0,0,'Données projet'!$E$10+1,1))-AVERAGE(OFFSET($H$3,0,0,'Données projet'!$E$10+1,1))</f>
        <v>210.07838338464626</v>
      </c>
      <c r="AO8" s="59">
        <f t="shared" si="36"/>
        <v>241.76003724236273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5.9</v>
      </c>
      <c r="BD8" s="12">
        <f>IF('Données projet'!$A$88&gt;35,BD7+BC8-BL7,IF(A8&lt;'Données projet'!$A$88,$BA$205^A8,IF(A8='Données projet'!$A$88,'Données projet'!$B$88,BD7+BC8-BL7)))</f>
        <v>3.2958732516891831</v>
      </c>
      <c r="BE8" s="13">
        <f>BD8*VLOOKUP('Données projet'!$B$11,Paramètres!$A$1:$I$89,3,0)*VLOOKUP('Données projet'!$B$11,Paramètres!$A$1:$I$89,5,0)</f>
        <v>2.0566249090540505</v>
      </c>
      <c r="BF8" s="13">
        <f t="shared" si="37"/>
        <v>0.87147694786545582</v>
      </c>
      <c r="BG8" s="20">
        <f t="shared" si="7"/>
        <v>5.0997774008014733</v>
      </c>
      <c r="BH8" s="59">
        <f t="shared" si="8"/>
        <v>298.4331107341348</v>
      </c>
      <c r="BI8" s="59">
        <f ca="1">AVERAGE(OFFSET($BH$3,0,0,'Données projet'!$E$11+1,1))-AVERAGE(OFFSET($H$3,0,0,'Données projet'!$E$11+1,1))</f>
        <v>209.93608079129638</v>
      </c>
      <c r="BJ8" s="59">
        <f t="shared" si="38"/>
        <v>240.15652428700969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215.23235148064941</v>
      </c>
      <c r="CE8" s="59">
        <f t="shared" si="40"/>
        <v>184.07239726900434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2.5813701135521372</v>
      </c>
      <c r="CV8" s="13">
        <f t="shared" si="41"/>
        <v>1.0652780295337991</v>
      </c>
      <c r="CW8" s="20">
        <f t="shared" si="13"/>
        <v>6.3512455158746723</v>
      </c>
      <c r="CX8" s="59">
        <f t="shared" si="14"/>
        <v>299.68457884920798</v>
      </c>
      <c r="CY8" s="59">
        <f ca="1">AVERAGE(OFFSET($CX$3,0,0,'Données projet'!$E$13+1,1))-AVERAGE(OFFSET($H$3,0,0,'Données projet'!$E$13+1,1))</f>
        <v>279.20364724206644</v>
      </c>
      <c r="CZ8" s="59">
        <f t="shared" si="42"/>
        <v>173.99850582760712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2.6607968862768185</v>
      </c>
      <c r="DQ8" s="13">
        <f t="shared" si="43"/>
        <v>1.0941892001380149</v>
      </c>
      <c r="DR8" s="20">
        <f t="shared" si="16"/>
        <v>6.5399341005058345</v>
      </c>
      <c r="DS8" s="59">
        <f t="shared" si="17"/>
        <v>299.87326743383915</v>
      </c>
      <c r="DT8" s="59">
        <f ca="1">AVERAGE(OFFSET($DS$3,0,0,'Données projet'!$E$14+1,1))-AVERAGE(OFFSET($H$3,0,0,'Données projet'!$E$14+1,1))</f>
        <v>291.18074901939718</v>
      </c>
      <c r="DU8" s="59">
        <f t="shared" si="44"/>
        <v>181.05123751753774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</v>
      </c>
      <c r="EJ8" s="12">
        <f>IF('Données projet'!$A$192&gt;35,EJ7+EI8-ER7,IF(A8&lt;'Données projet'!$A$192,$EG$205^A8,IF(A8='Données projet'!$A$192,'Données projet'!$B$192,EJ7+EI8-ER7)))</f>
        <v>4.4510182535424141</v>
      </c>
      <c r="EK8" s="17">
        <f>EJ8*VLOOKUP('Données projet'!$B$15,Paramètres!$A$1:$I$89,3,0)*VLOOKUP('Données projet'!$B$15,Paramètres!$A$1:$I$89,5,0)</f>
        <v>2.6617089156183638</v>
      </c>
      <c r="EL8" s="13">
        <f t="shared" si="45"/>
        <v>1.0945205879680817</v>
      </c>
      <c r="EM8" s="20">
        <f t="shared" si="19"/>
        <v>6.5420997187463925</v>
      </c>
      <c r="EN8" s="59">
        <f t="shared" si="20"/>
        <v>299.8754330520797</v>
      </c>
      <c r="EO8" s="59">
        <f ca="1">AVERAGE(OFFSET($EN$3,0,0,'Données projet'!$E$15+1,1))-AVERAGE(OFFSET($H$3,0,0,'Données projet'!$E$15+1,1))</f>
        <v>168.08890945052406</v>
      </c>
      <c r="EP8" s="59">
        <f t="shared" si="46"/>
        <v>182.52462557642343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4.75</v>
      </c>
      <c r="FE8" s="12">
        <f>IF('Données projet'!$A$218&gt;35,FE7+FD8-FM7,IF(A8&lt;'Données projet'!$A$218,$FB$205^A8,IF(A8='Données projet'!$A$218,'Données projet'!$B$218,FE7+FD8-FM7)))</f>
        <v>3.121985641352143</v>
      </c>
      <c r="FF8" s="17">
        <f>FE8*VLOOKUP('Données projet'!$B$16,Paramètres!$A$1:$I$89,3,0)*VLOOKUP('Données projet'!$B$16,Paramètres!$A$1:$I$89,5,0)</f>
        <v>2.0942279682190175</v>
      </c>
      <c r="FG8" s="13">
        <f t="shared" si="47"/>
        <v>0.88554132252781281</v>
      </c>
      <c r="FH8" s="20">
        <f t="shared" si="22"/>
        <v>5.1897648480507295</v>
      </c>
      <c r="FI8" s="59">
        <f t="shared" si="23"/>
        <v>298.52309818138406</v>
      </c>
      <c r="FJ8" s="59">
        <f ca="1">AVERAGE(OFFSET($FI$3,0,0,'Données projet'!$E$16+1,1))-AVERAGE(OFFSET($H$3,0,0,'Données projet'!$E$16+1,1))</f>
        <v>156.63226020379989</v>
      </c>
      <c r="FK8" s="59">
        <f t="shared" si="48"/>
        <v>196.0481096619543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4.55</v>
      </c>
      <c r="FZ8" s="12">
        <f>IF('Données projet'!$A$244&gt;35,FZ7+FY8-GH7,IF(A8&lt;'Données projet'!$A$244,$FW$205^A8,IF(A8='Données projet'!$A$244,'Données projet'!$B$244,FZ7+FY8-GH7)))</f>
        <v>3.0885906193876616</v>
      </c>
      <c r="GA8" s="17">
        <f>FZ8*VLOOKUP('Données projet'!$B$17,Paramètres!$A$1:$I$89,3,0)*VLOOKUP('Données projet'!$B$17,Paramètres!$A$1:$I$89,5,0)</f>
        <v>1.8469771903938217</v>
      </c>
      <c r="GB8" s="13">
        <f t="shared" si="49"/>
        <v>0.79249672214945899</v>
      </c>
      <c r="GC8" s="20">
        <f t="shared" si="25"/>
        <v>4.59708373101288</v>
      </c>
      <c r="GD8" s="59">
        <f t="shared" si="26"/>
        <v>297.93041706434622</v>
      </c>
      <c r="GE8" s="59">
        <f ca="1">AVERAGE(OFFSET($GD$3,0,0,'Données projet'!$E$17+1,1))-AVERAGE(OFFSET($H$3,0,0,'Données projet'!$E$17+1,1))</f>
        <v>216.94426559495264</v>
      </c>
      <c r="GF8" s="59">
        <f t="shared" si="50"/>
        <v>225.33715877618704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2.1</v>
      </c>
      <c r="GU8" s="12">
        <f>IF('Données projet'!$A$270&gt;35,GU7+GT8-HC7,IF(A8&lt;'Données projet'!$A$270,$GR$205^A8,IF(A8='Données projet'!$A$270,'Données projet'!$B$270,GU7+GT8-HC7)))</f>
        <v>2.5457298950218314</v>
      </c>
      <c r="GV8" s="17">
        <f>GU8*VLOOKUP('Données projet'!$B$18,Paramètres!$A$1:$I$89,3,0)*VLOOKUP('Données projet'!$B$18,Paramètres!$A$1:$I$89,5,0)</f>
        <v>2.4622299544651152</v>
      </c>
      <c r="GW8" s="13">
        <f t="shared" si="51"/>
        <v>1.021715601495419</v>
      </c>
      <c r="GX8" s="20">
        <f t="shared" si="28"/>
        <v>6.0678718432979295</v>
      </c>
      <c r="GY8" s="59">
        <f t="shared" si="29"/>
        <v>299.40120517663127</v>
      </c>
      <c r="GZ8" s="59">
        <f ca="1">AVERAGE(OFFSET($GY$3,0,0,'Données projet'!$E$18+1,1))-AVERAGE(OFFSET($H$3,0,0,'Données projet'!$E$18+1,1))</f>
        <v>261.22357949323879</v>
      </c>
      <c r="HA8" s="59">
        <f t="shared" si="52"/>
        <v>163.41029152029387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237.22177246688199</v>
      </c>
      <c r="T9" s="59">
        <f t="shared" si="34"/>
        <v>149.27472147904302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2.2999999999999998</v>
      </c>
      <c r="AI9" s="13">
        <f>IF('Données projet'!$A$62&gt;35,AI8+AH9-AQ8,IF(A9&lt;'Données projet'!$A$62,$AF$205^A9,IF(A9='Données projet'!$A$62,'Données projet'!$B$62,AI8+AH9-AQ8)))</f>
        <v>6.5620071855158564</v>
      </c>
      <c r="AJ9" s="13">
        <f>AI9*VLOOKUP('Données projet'!$B$10,Paramètres!$A$1:$I$89,3,0)*VLOOKUP('Données projet'!$B$10,Paramètres!$A$1:$I$89,5,0)</f>
        <v>5.7325694772666536</v>
      </c>
      <c r="AK9" s="13">
        <f t="shared" si="35"/>
        <v>2.1559045554135094</v>
      </c>
      <c r="AL9" s="20">
        <f t="shared" si="4"/>
        <v>13.739092273584617</v>
      </c>
      <c r="AM9" s="59">
        <f t="shared" si="5"/>
        <v>307.07242560691793</v>
      </c>
      <c r="AN9" s="59">
        <f ca="1">AVERAGE(OFFSET($AM$3,0,0,'Données projet'!$E$10+1,1))-AVERAGE(OFFSET($H$3,0,0,'Données projet'!$E$10+1,1))</f>
        <v>210.07838338464626</v>
      </c>
      <c r="AO9" s="59">
        <f t="shared" si="36"/>
        <v>241.76003724236273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5.9</v>
      </c>
      <c r="BD9" s="12">
        <f>IF('Données projet'!$A$88&gt;35,BD8+BC9-BL8,IF(A9&lt;'Données projet'!$A$88,$BA$205^A9,IF(A9='Données projet'!$A$88,'Données projet'!$B$88,BD8+BC9-BL8)))</f>
        <v>4.1837391799842649</v>
      </c>
      <c r="BE9" s="13">
        <f>BD9*VLOOKUP('Données projet'!$B$11,Paramètres!$A$1:$I$89,3,0)*VLOOKUP('Données projet'!$B$11,Paramètres!$A$1:$I$89,5,0)</f>
        <v>2.6106532483101814</v>
      </c>
      <c r="BF9" s="13">
        <f t="shared" si="37"/>
        <v>1.075948912190948</v>
      </c>
      <c r="BG9" s="20">
        <f t="shared" si="7"/>
        <v>6.4208320962061336</v>
      </c>
      <c r="BH9" s="59">
        <f t="shared" si="8"/>
        <v>299.75416542953946</v>
      </c>
      <c r="BI9" s="59">
        <f ca="1">AVERAGE(OFFSET($BH$3,0,0,'Données projet'!$E$11+1,1))-AVERAGE(OFFSET($H$3,0,0,'Données projet'!$E$11+1,1))</f>
        <v>209.93608079129638</v>
      </c>
      <c r="BJ9" s="59">
        <f t="shared" si="38"/>
        <v>240.15652428700969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215.23235148064941</v>
      </c>
      <c r="CE9" s="59">
        <f t="shared" si="40"/>
        <v>184.07239726900434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3.111807635605039</v>
      </c>
      <c r="CV9" s="13">
        <f t="shared" si="41"/>
        <v>1.2565452240335246</v>
      </c>
      <c r="CW9" s="20">
        <f t="shared" si="13"/>
        <v>7.6082145638704972</v>
      </c>
      <c r="CX9" s="59">
        <f t="shared" si="14"/>
        <v>300.9415478972038</v>
      </c>
      <c r="CY9" s="59">
        <f ca="1">AVERAGE(OFFSET($CX$3,0,0,'Données projet'!$E$13+1,1))-AVERAGE(OFFSET($H$3,0,0,'Données projet'!$E$13+1,1))</f>
        <v>279.20364724206644</v>
      </c>
      <c r="CZ9" s="59">
        <f t="shared" si="42"/>
        <v>173.99850582760712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3.2075555628544254</v>
      </c>
      <c r="DQ9" s="13">
        <f t="shared" si="43"/>
        <v>1.290647300990696</v>
      </c>
      <c r="DR9" s="20">
        <f t="shared" si="16"/>
        <v>7.8343699878635862</v>
      </c>
      <c r="DS9" s="59">
        <f t="shared" si="17"/>
        <v>301.16770332119688</v>
      </c>
      <c r="DT9" s="59">
        <f ca="1">AVERAGE(OFFSET($DS$3,0,0,'Données projet'!$E$14+1,1))-AVERAGE(OFFSET($H$3,0,0,'Données projet'!$E$14+1,1))</f>
        <v>291.18074901939718</v>
      </c>
      <c r="DU9" s="59">
        <f t="shared" si="44"/>
        <v>181.05123751753774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</v>
      </c>
      <c r="EJ9" s="12">
        <f>IF('Données projet'!$A$192&gt;35,EJ8+EI9-ER8,IF(A9&lt;'Données projet'!$A$192,$EG$205^A9,IF(A9='Données projet'!$A$192,'Données projet'!$B$192,EJ8+EI9-ER8)))</f>
        <v>6</v>
      </c>
      <c r="EK9" s="17">
        <f>EJ9*VLOOKUP('Données projet'!$B$15,Paramètres!$A$1:$I$89,3,0)*VLOOKUP('Données projet'!$B$15,Paramètres!$A$1:$I$89,5,0)</f>
        <v>3.5880000000000005</v>
      </c>
      <c r="EL9" s="13">
        <f t="shared" si="45"/>
        <v>1.4250157876217819</v>
      </c>
      <c r="EM9" s="20">
        <f t="shared" si="19"/>
        <v>8.7310024967746021</v>
      </c>
      <c r="EN9" s="59">
        <f t="shared" si="20"/>
        <v>302.06433583010789</v>
      </c>
      <c r="EO9" s="59">
        <f ca="1">AVERAGE(OFFSET($EN$3,0,0,'Données projet'!$E$15+1,1))-AVERAGE(OFFSET($H$3,0,0,'Données projet'!$E$15+1,1))</f>
        <v>168.08890945052406</v>
      </c>
      <c r="EP9" s="59">
        <f t="shared" si="46"/>
        <v>182.52462557642343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4.75</v>
      </c>
      <c r="FE9" s="12">
        <f>IF('Données projet'!$A$218&gt;35,FE8+FD9-FM8,IF(A9&lt;'Données projet'!$A$218,$FB$205^A9,IF(A9='Données projet'!$A$218,'Données projet'!$B$218,FE8+FD9-FM8)))</f>
        <v>3.920279951613006</v>
      </c>
      <c r="FF9" s="17">
        <f>FE9*VLOOKUP('Données projet'!$B$16,Paramètres!$A$1:$I$89,3,0)*VLOOKUP('Données projet'!$B$16,Paramètres!$A$1:$I$89,5,0)</f>
        <v>2.6297237915420046</v>
      </c>
      <c r="FG9" s="13">
        <f t="shared" si="47"/>
        <v>1.0828907914123567</v>
      </c>
      <c r="FH9" s="20">
        <f t="shared" si="22"/>
        <v>6.4661370653121786</v>
      </c>
      <c r="FI9" s="59">
        <f t="shared" si="23"/>
        <v>299.7994703986455</v>
      </c>
      <c r="FJ9" s="59">
        <f ca="1">AVERAGE(OFFSET($FI$3,0,0,'Données projet'!$E$16+1,1))-AVERAGE(OFFSET($H$3,0,0,'Données projet'!$E$16+1,1))</f>
        <v>156.63226020379989</v>
      </c>
      <c r="FK9" s="59">
        <f t="shared" si="48"/>
        <v>196.0481096619543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4.55</v>
      </c>
      <c r="FZ9" s="12">
        <f>IF('Données projet'!$A$244&gt;35,FZ8+FY9-GH8,IF(A9&lt;'Données projet'!$A$244,$FW$205^A9,IF(A9='Données projet'!$A$244,'Données projet'!$B$244,FZ8+FY9-GH8)))</f>
        <v>3.8700129448363709</v>
      </c>
      <c r="GA9" s="17">
        <f>FZ9*VLOOKUP('Données projet'!$B$17,Paramètres!$A$1:$I$89,3,0)*VLOOKUP('Données projet'!$B$17,Paramètres!$A$1:$I$89,5,0)</f>
        <v>2.3142677410121499</v>
      </c>
      <c r="GB9" s="13">
        <f t="shared" si="49"/>
        <v>0.96727045665540168</v>
      </c>
      <c r="GC9" s="20">
        <f t="shared" si="25"/>
        <v>5.7153456942709857</v>
      </c>
      <c r="GD9" s="59">
        <f t="shared" si="26"/>
        <v>299.04867902760429</v>
      </c>
      <c r="GE9" s="59">
        <f ca="1">AVERAGE(OFFSET($GD$3,0,0,'Données projet'!$E$17+1,1))-AVERAGE(OFFSET($H$3,0,0,'Données projet'!$E$17+1,1))</f>
        <v>216.94426559495264</v>
      </c>
      <c r="GF9" s="59">
        <f t="shared" si="50"/>
        <v>225.33715877618704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2.1</v>
      </c>
      <c r="GU9" s="12">
        <f>IF('Données projet'!$A$270&gt;35,GU8+GT9-HC8,IF(A9&lt;'Données projet'!$A$270,$GR$205^A9,IF(A9='Données projet'!$A$270,'Données projet'!$B$270,GU8+GT9-HC8)))</f>
        <v>3.0688438220956993</v>
      </c>
      <c r="GV9" s="17">
        <f>GU9*VLOOKUP('Données projet'!$B$18,Paramètres!$A$1:$I$89,3,0)*VLOOKUP('Données projet'!$B$18,Paramètres!$A$1:$I$89,5,0)</f>
        <v>2.9681857447309605</v>
      </c>
      <c r="GW9" s="13">
        <f t="shared" si="51"/>
        <v>1.2051613041728233</v>
      </c>
      <c r="GX9" s="20">
        <f t="shared" si="28"/>
        <v>7.2685794435074236</v>
      </c>
      <c r="GY9" s="59">
        <f t="shared" si="29"/>
        <v>300.60191277684072</v>
      </c>
      <c r="GZ9" s="59">
        <f ca="1">AVERAGE(OFFSET($GY$3,0,0,'Données projet'!$E$18+1,1))-AVERAGE(OFFSET($H$3,0,0,'Données projet'!$E$18+1,1))</f>
        <v>261.22357949323879</v>
      </c>
      <c r="HA9" s="59">
        <f t="shared" si="52"/>
        <v>163.41029152029387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237.22177246688199</v>
      </c>
      <c r="T10" s="59">
        <f t="shared" si="34"/>
        <v>149.27472147904302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2.2999999999999998</v>
      </c>
      <c r="AI10" s="13">
        <f>IF('Données projet'!$A$62&gt;35,AI9+AH10-AQ9,IF(A10&lt;'Données projet'!$A$62,$AF$205^A10,IF(A10='Données projet'!$A$62,'Données projet'!$B$62,AI9+AH10-AQ9)))</f>
        <v>8.9786178045341511</v>
      </c>
      <c r="AJ10" s="13">
        <f>AI10*VLOOKUP('Données projet'!$B$10,Paramètres!$A$1:$I$89,3,0)*VLOOKUP('Données projet'!$B$10,Paramètres!$A$1:$I$89,5,0)</f>
        <v>7.8437205140410358</v>
      </c>
      <c r="AK10" s="13">
        <f t="shared" si="35"/>
        <v>2.8441454451868036</v>
      </c>
      <c r="AL10" s="20">
        <f t="shared" si="4"/>
        <v>18.614699878988485</v>
      </c>
      <c r="AM10" s="59">
        <f t="shared" si="5"/>
        <v>311.94803321232177</v>
      </c>
      <c r="AN10" s="59">
        <f ca="1">AVERAGE(OFFSET($AM$3,0,0,'Données projet'!$E$10+1,1))-AVERAGE(OFFSET($H$3,0,0,'Données projet'!$E$10+1,1))</f>
        <v>210.07838338464626</v>
      </c>
      <c r="AO10" s="59">
        <f t="shared" si="36"/>
        <v>241.76003724236273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5.9</v>
      </c>
      <c r="BD10" s="12">
        <f>IF('Données projet'!$A$88&gt;35,BD9+BC10-BL9,IF(A10&lt;'Données projet'!$A$88,$BA$205^A10,IF(A10='Données projet'!$A$88,'Données projet'!$B$88,BD9+BC10-BL9)))</f>
        <v>5.3107847873593199</v>
      </c>
      <c r="BE10" s="13">
        <f>BD10*VLOOKUP('Données projet'!$B$11,Paramètres!$A$1:$I$89,3,0)*VLOOKUP('Données projet'!$B$11,Paramètres!$A$1:$I$89,5,0)</f>
        <v>3.3139297073122154</v>
      </c>
      <c r="BF10" s="13">
        <f t="shared" si="37"/>
        <v>1.3283955065941828</v>
      </c>
      <c r="BG10" s="20">
        <f t="shared" si="7"/>
        <v>8.0853830808869755</v>
      </c>
      <c r="BH10" s="59">
        <f t="shared" si="8"/>
        <v>301.41871641422028</v>
      </c>
      <c r="BI10" s="59">
        <f ca="1">AVERAGE(OFFSET($BH$3,0,0,'Données projet'!$E$11+1,1))-AVERAGE(OFFSET($H$3,0,0,'Données projet'!$E$11+1,1))</f>
        <v>209.93608079129638</v>
      </c>
      <c r="BJ10" s="59">
        <f t="shared" si="38"/>
        <v>240.15652428700969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215.23235148064941</v>
      </c>
      <c r="CE10" s="59">
        <f t="shared" si="40"/>
        <v>184.07239726900434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3.7512430744326299</v>
      </c>
      <c r="CV10" s="13">
        <f t="shared" si="41"/>
        <v>1.4821538192545303</v>
      </c>
      <c r="CW10" s="20">
        <f t="shared" si="13"/>
        <v>9.1148329231718037</v>
      </c>
      <c r="CX10" s="59">
        <f t="shared" si="14"/>
        <v>302.44816625650515</v>
      </c>
      <c r="CY10" s="59">
        <f ca="1">AVERAGE(OFFSET($CX$3,0,0,'Données projet'!$E$13+1,1))-AVERAGE(OFFSET($H$3,0,0,'Données projet'!$E$13+1,1))</f>
        <v>279.20364724206644</v>
      </c>
      <c r="CZ10" s="59">
        <f t="shared" si="42"/>
        <v>173.99850582760712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3.8666659382613262</v>
      </c>
      <c r="DQ10" s="13">
        <f t="shared" si="43"/>
        <v>1.5223788128638611</v>
      </c>
      <c r="DR10" s="20">
        <f t="shared" si="16"/>
        <v>9.3859196082097007</v>
      </c>
      <c r="DS10" s="59">
        <f t="shared" si="17"/>
        <v>302.719252941543</v>
      </c>
      <c r="DT10" s="59">
        <f ca="1">AVERAGE(OFFSET($DS$3,0,0,'Données projet'!$E$14+1,1))-AVERAGE(OFFSET($H$3,0,0,'Données projet'!$E$14+1,1))</f>
        <v>291.18074901939718</v>
      </c>
      <c r="DU10" s="59">
        <f t="shared" si="44"/>
        <v>181.05123751753774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</v>
      </c>
      <c r="EJ10" s="12">
        <f>IF('Données projet'!$A$192&gt;35,EJ9+EI10-ER9,IF(A10&lt;'Données projet'!$A$192,$EG$205^A10,IF(A10='Données projet'!$A$192,'Données projet'!$B$192,EJ9+EI10-ER9)))</f>
        <v>8.0880369275836674</v>
      </c>
      <c r="EK10" s="17">
        <f>EJ10*VLOOKUP('Données projet'!$B$15,Paramètres!$A$1:$I$89,3,0)*VLOOKUP('Données projet'!$B$15,Paramètres!$A$1:$I$89,5,0)</f>
        <v>4.836646082695033</v>
      </c>
      <c r="EL10" s="13">
        <f t="shared" si="45"/>
        <v>1.8553054344470195</v>
      </c>
      <c r="EM10" s="20">
        <f t="shared" si="19"/>
        <v>11.65514889235574</v>
      </c>
      <c r="EN10" s="59">
        <f t="shared" si="20"/>
        <v>304.98848222568904</v>
      </c>
      <c r="EO10" s="59">
        <f ca="1">AVERAGE(OFFSET($EN$3,0,0,'Données projet'!$E$15+1,1))-AVERAGE(OFFSET($H$3,0,0,'Données projet'!$E$15+1,1))</f>
        <v>168.08890945052406</v>
      </c>
      <c r="EP10" s="59">
        <f t="shared" si="46"/>
        <v>182.52462557642343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4.75</v>
      </c>
      <c r="FE10" s="12">
        <f>IF('Données projet'!$A$218&gt;35,FE9+FD10-FM9,IF(A10&lt;'Données projet'!$A$218,$FB$205^A10,IF(A10='Données projet'!$A$218,'Données projet'!$B$218,FE9+FD10-FM9)))</f>
        <v>4.9226987771675601</v>
      </c>
      <c r="FF10" s="17">
        <f>FE10*VLOOKUP('Données projet'!$B$16,Paramètres!$A$1:$I$89,3,0)*VLOOKUP('Données projet'!$B$16,Paramètres!$A$1:$I$89,5,0)</f>
        <v>3.3021463397239992</v>
      </c>
      <c r="FG10" s="13">
        <f t="shared" si="47"/>
        <v>1.3242210569895227</v>
      </c>
      <c r="FH10" s="20">
        <f t="shared" si="22"/>
        <v>8.057589882609383</v>
      </c>
      <c r="FI10" s="59">
        <f t="shared" si="23"/>
        <v>301.39092321594268</v>
      </c>
      <c r="FJ10" s="59">
        <f ca="1">AVERAGE(OFFSET($FI$3,0,0,'Données projet'!$E$16+1,1))-AVERAGE(OFFSET($H$3,0,0,'Données projet'!$E$16+1,1))</f>
        <v>156.63226020379989</v>
      </c>
      <c r="FK10" s="59">
        <f t="shared" si="48"/>
        <v>196.0481096619543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4.55</v>
      </c>
      <c r="FZ10" s="12">
        <f>IF('Données projet'!$A$244&gt;35,FZ9+FY10-GH9,IF(A10&lt;'Données projet'!$A$244,$FW$205^A10,IF(A10='Données projet'!$A$244,'Données projet'!$B$244,FZ9+FY10-GH9)))</f>
        <v>4.8491373700313813</v>
      </c>
      <c r="GA10" s="17">
        <f>FZ10*VLOOKUP('Données projet'!$B$17,Paramètres!$A$1:$I$89,3,0)*VLOOKUP('Données projet'!$B$17,Paramètres!$A$1:$I$89,5,0)</f>
        <v>2.8997841472787664</v>
      </c>
      <c r="GB10" s="13">
        <f t="shared" si="49"/>
        <v>1.1805880203273573</v>
      </c>
      <c r="GC10" s="20">
        <f t="shared" si="25"/>
        <v>7.1066481919139983</v>
      </c>
      <c r="GD10" s="59">
        <f t="shared" si="26"/>
        <v>300.43998152524733</v>
      </c>
      <c r="GE10" s="59">
        <f ca="1">AVERAGE(OFFSET($GD$3,0,0,'Données projet'!$E$17+1,1))-AVERAGE(OFFSET($H$3,0,0,'Données projet'!$E$17+1,1))</f>
        <v>216.94426559495264</v>
      </c>
      <c r="GF10" s="59">
        <f t="shared" si="50"/>
        <v>225.33715877618704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2.1</v>
      </c>
      <c r="GU10" s="12">
        <f>IF('Données projet'!$A$270&gt;35,GU9+GT10-HC9,IF(A10&lt;'Données projet'!$A$270,$GR$205^A10,IF(A10='Données projet'!$A$270,'Données projet'!$B$270,GU9+GT10-HC9)))</f>
        <v>3.6994507637402658</v>
      </c>
      <c r="GV10" s="17">
        <f>GU10*VLOOKUP('Données projet'!$B$18,Paramètres!$A$1:$I$89,3,0)*VLOOKUP('Données projet'!$B$18,Paramètres!$A$1:$I$89,5,0)</f>
        <v>3.5781087786895851</v>
      </c>
      <c r="GW10" s="13">
        <f t="shared" si="51"/>
        <v>1.4215440842341414</v>
      </c>
      <c r="GX10" s="20">
        <f t="shared" si="28"/>
        <v>8.707728736258824</v>
      </c>
      <c r="GY10" s="59">
        <f t="shared" si="29"/>
        <v>302.04106206959216</v>
      </c>
      <c r="GZ10" s="59">
        <f ca="1">AVERAGE(OFFSET($GY$3,0,0,'Données projet'!$E$18+1,1))-AVERAGE(OFFSET($H$3,0,0,'Données projet'!$E$18+1,1))</f>
        <v>261.22357949323879</v>
      </c>
      <c r="HA10" s="59">
        <f t="shared" si="52"/>
        <v>163.41029152029387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237.22177246688199</v>
      </c>
      <c r="T11" s="59">
        <f t="shared" si="34"/>
        <v>149.27472147904302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2.2999999999999998</v>
      </c>
      <c r="AI11" s="13">
        <f>IF('Données projet'!$A$62&gt;35,AI10+AH11-AQ10,IF(A11&lt;'Données projet'!$A$62,$AF$205^A11,IF(A11='Données projet'!$A$62,'Données projet'!$B$62,AI10+AH11-AQ10)))</f>
        <v>12.285201067417038</v>
      </c>
      <c r="AJ11" s="13">
        <f>AI11*VLOOKUP('Données projet'!$B$10,Paramètres!$A$1:$I$89,3,0)*VLOOKUP('Données projet'!$B$10,Paramètres!$A$1:$I$89,5,0)</f>
        <v>10.732351652495526</v>
      </c>
      <c r="AK11" s="13">
        <f t="shared" si="35"/>
        <v>3.7520971385606225</v>
      </c>
      <c r="AL11" s="20">
        <f t="shared" si="4"/>
        <v>25.227081644422793</v>
      </c>
      <c r="AM11" s="59">
        <f t="shared" si="5"/>
        <v>318.56041497775612</v>
      </c>
      <c r="AN11" s="59">
        <f ca="1">AVERAGE(OFFSET($AM$3,0,0,'Données projet'!$E$10+1,1))-AVERAGE(OFFSET($H$3,0,0,'Données projet'!$E$10+1,1))</f>
        <v>210.07838338464626</v>
      </c>
      <c r="AO11" s="59">
        <f t="shared" si="36"/>
        <v>241.76003724236273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5.9</v>
      </c>
      <c r="BD11" s="12">
        <f>IF('Données projet'!$A$88&gt;35,BD10+BC11-BL10,IF(A11&lt;'Données projet'!$A$88,$BA$205^A11,IF(A11='Données projet'!$A$88,'Données projet'!$B$88,BD10+BC11-BL10)))</f>
        <v>6.7414420078053858</v>
      </c>
      <c r="BE11" s="13">
        <f>BD11*VLOOKUP('Données projet'!$B$11,Paramètres!$A$1:$I$89,3,0)*VLOOKUP('Données projet'!$B$11,Paramètres!$A$1:$I$89,5,0)</f>
        <v>4.2066598128705603</v>
      </c>
      <c r="BF11" s="13">
        <f t="shared" si="37"/>
        <v>1.6400728714398731</v>
      </c>
      <c r="BG11" s="20">
        <f t="shared" si="7"/>
        <v>10.183059425174006</v>
      </c>
      <c r="BH11" s="59">
        <f t="shared" si="8"/>
        <v>303.51639275850732</v>
      </c>
      <c r="BI11" s="59">
        <f ca="1">AVERAGE(OFFSET($BH$3,0,0,'Données projet'!$E$11+1,1))-AVERAGE(OFFSET($H$3,0,0,'Données projet'!$E$11+1,1))</f>
        <v>209.93608079129638</v>
      </c>
      <c r="BJ11" s="59">
        <f t="shared" si="38"/>
        <v>240.15652428700969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215.23235148064941</v>
      </c>
      <c r="CE11" s="59">
        <f t="shared" si="40"/>
        <v>184.07239726900434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4.5220740647558486</v>
      </c>
      <c r="CV11" s="13">
        <f t="shared" si="41"/>
        <v>1.7482697016499746</v>
      </c>
      <c r="CW11" s="20">
        <f t="shared" si="13"/>
        <v>10.92084872649014</v>
      </c>
      <c r="CX11" s="59">
        <f t="shared" si="14"/>
        <v>304.25418205982345</v>
      </c>
      <c r="CY11" s="59">
        <f ca="1">AVERAGE(OFFSET($CX$3,0,0,'Données projet'!$E$13+1,1))-AVERAGE(OFFSET($H$3,0,0,'Données projet'!$E$13+1,1))</f>
        <v>279.20364724206644</v>
      </c>
      <c r="CZ11" s="59">
        <f t="shared" si="42"/>
        <v>173.99850582760712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4.661214805209875</v>
      </c>
      <c r="DQ11" s="13">
        <f t="shared" si="43"/>
        <v>1.7957169616190025</v>
      </c>
      <c r="DR11" s="20">
        <f t="shared" si="16"/>
        <v>11.245822827226961</v>
      </c>
      <c r="DS11" s="59">
        <f t="shared" si="17"/>
        <v>304.57915616056027</v>
      </c>
      <c r="DT11" s="59">
        <f ca="1">AVERAGE(OFFSET($DS$3,0,0,'Données projet'!$E$14+1,1))-AVERAGE(OFFSET($H$3,0,0,'Données projet'!$E$14+1,1))</f>
        <v>291.18074901939718</v>
      </c>
      <c r="DU11" s="59">
        <f t="shared" si="44"/>
        <v>181.05123751753774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</v>
      </c>
      <c r="EJ11" s="12">
        <f>IF('Données projet'!$A$192&gt;35,EJ10+EI11-ER10,IF(A11&lt;'Données projet'!$A$192,$EG$205^A11,IF(A11='Données projet'!$A$192,'Données projet'!$B$192,EJ10+EI11-ER10)))</f>
        <v>10.902723556992838</v>
      </c>
      <c r="EK11" s="17">
        <f>EJ11*VLOOKUP('Données projet'!$B$15,Paramètres!$A$1:$I$89,3,0)*VLOOKUP('Données projet'!$B$15,Paramètres!$A$1:$I$89,5,0)</f>
        <v>6.5198286870817181</v>
      </c>
      <c r="EL11" s="13">
        <f t="shared" si="45"/>
        <v>2.4155228910363733</v>
      </c>
      <c r="EM11" s="20">
        <f t="shared" si="19"/>
        <v>15.562403998555673</v>
      </c>
      <c r="EN11" s="59">
        <f t="shared" si="20"/>
        <v>308.89573733188899</v>
      </c>
      <c r="EO11" s="59">
        <f ca="1">AVERAGE(OFFSET($EN$3,0,0,'Données projet'!$E$15+1,1))-AVERAGE(OFFSET($H$3,0,0,'Données projet'!$E$15+1,1))</f>
        <v>168.08890945052406</v>
      </c>
      <c r="EP11" s="59">
        <f t="shared" si="46"/>
        <v>182.52462557642343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4.75</v>
      </c>
      <c r="FE11" s="12">
        <f>IF('Données projet'!$A$218&gt;35,FE10+FD11-FM10,IF(A11&lt;'Données projet'!$A$218,$FB$205^A11,IF(A11='Données projet'!$A$218,'Données projet'!$B$218,FE10+FD11-FM10)))</f>
        <v>6.1814369253798551</v>
      </c>
      <c r="FF11" s="17">
        <f>FE11*VLOOKUP('Données projet'!$B$16,Paramètres!$A$1:$I$89,3,0)*VLOOKUP('Données projet'!$B$16,Paramètres!$A$1:$I$89,5,0)</f>
        <v>4.1465078895448073</v>
      </c>
      <c r="FG11" s="13">
        <f t="shared" si="47"/>
        <v>1.6193335668570716</v>
      </c>
      <c r="FH11" s="20">
        <f t="shared" si="22"/>
        <v>10.042173869899939</v>
      </c>
      <c r="FI11" s="59">
        <f t="shared" si="23"/>
        <v>303.37550720323327</v>
      </c>
      <c r="FJ11" s="59">
        <f ca="1">AVERAGE(OFFSET($FI$3,0,0,'Données projet'!$E$16+1,1))-AVERAGE(OFFSET($H$3,0,0,'Données projet'!$E$16+1,1))</f>
        <v>156.63226020379989</v>
      </c>
      <c r="FK11" s="59">
        <f t="shared" si="48"/>
        <v>196.0481096619543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4.55</v>
      </c>
      <c r="FZ11" s="12">
        <f>IF('Données projet'!$A$244&gt;35,FZ10+FY11-GH10,IF(A11&lt;'Données projet'!$A$244,$FW$205^A11,IF(A11='Données projet'!$A$244,'Données projet'!$B$244,FZ10+FY11-GH10)))</f>
        <v>6.0759830958211616</v>
      </c>
      <c r="GA11" s="17">
        <f>FZ11*VLOOKUP('Données projet'!$B$17,Paramètres!$A$1:$I$89,3,0)*VLOOKUP('Données projet'!$B$17,Paramètres!$A$1:$I$89,5,0)</f>
        <v>3.633437891301055</v>
      </c>
      <c r="GB11" s="13">
        <f t="shared" si="49"/>
        <v>1.4409496993838373</v>
      </c>
      <c r="GC11" s="20">
        <f t="shared" si="25"/>
        <v>8.8378917204428529</v>
      </c>
      <c r="GD11" s="59">
        <f t="shared" si="26"/>
        <v>302.17122505377614</v>
      </c>
      <c r="GE11" s="59">
        <f ca="1">AVERAGE(OFFSET($GD$3,0,0,'Données projet'!$E$17+1,1))-AVERAGE(OFFSET($H$3,0,0,'Données projet'!$E$17+1,1))</f>
        <v>216.94426559495264</v>
      </c>
      <c r="GF11" s="59">
        <f t="shared" si="50"/>
        <v>225.33715877618704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2.1</v>
      </c>
      <c r="GU11" s="12">
        <f>IF('Données projet'!$A$270&gt;35,GU10+GT11-HC10,IF(A11&lt;'Données projet'!$A$270,$GR$205^A11,IF(A11='Données projet'!$A$270,'Données projet'!$B$270,GU10+GT11-HC10)))</f>
        <v>4.4596391171162209</v>
      </c>
      <c r="GV11" s="17">
        <f>GU11*VLOOKUP('Données projet'!$B$18,Paramètres!$A$1:$I$89,3,0)*VLOOKUP('Données projet'!$B$18,Paramètres!$A$1:$I$89,5,0)</f>
        <v>4.3133629540748091</v>
      </c>
      <c r="GW11" s="13">
        <f t="shared" si="51"/>
        <v>1.6767776864592203</v>
      </c>
      <c r="GX11" s="20">
        <f t="shared" si="28"/>
        <v>10.432828282263435</v>
      </c>
      <c r="GY11" s="59">
        <f t="shared" si="29"/>
        <v>303.76616161559673</v>
      </c>
      <c r="GZ11" s="59">
        <f ca="1">AVERAGE(OFFSET($GY$3,0,0,'Données projet'!$E$18+1,1))-AVERAGE(OFFSET($H$3,0,0,'Données projet'!$E$18+1,1))</f>
        <v>261.22357949323879</v>
      </c>
      <c r="HA11" s="59">
        <f t="shared" si="52"/>
        <v>163.41029152029387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237.22177246688199</v>
      </c>
      <c r="T12" s="59">
        <f t="shared" si="34"/>
        <v>149.27472147904302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2.2999999999999998</v>
      </c>
      <c r="AI12" s="13">
        <f>IF('Données projet'!$A$62&gt;35,AI11+AH12-AQ11,IF(A12&lt;'Données projet'!$A$62,$AF$205^A12,IF(A12='Données projet'!$A$62,'Données projet'!$B$62,AI11+AH12-AQ11)))</f>
        <v>16.809509943796456</v>
      </c>
      <c r="AJ12" s="13">
        <f>AI12*VLOOKUP('Données projet'!$B$10,Paramètres!$A$1:$I$89,3,0)*VLOOKUP('Données projet'!$B$10,Paramètres!$A$1:$I$89,5,0)</f>
        <v>14.684787886900585</v>
      </c>
      <c r="AK12" s="13">
        <f t="shared" si="35"/>
        <v>4.9498990851609408</v>
      </c>
      <c r="AL12" s="20">
        <f t="shared" si="4"/>
        <v>34.197079809673824</v>
      </c>
      <c r="AM12" s="59">
        <f t="shared" si="5"/>
        <v>327.53041314300714</v>
      </c>
      <c r="AN12" s="59">
        <f ca="1">AVERAGE(OFFSET($AM$3,0,0,'Données projet'!$E$10+1,1))-AVERAGE(OFFSET($H$3,0,0,'Données projet'!$E$10+1,1))</f>
        <v>210.07838338464626</v>
      </c>
      <c r="AO12" s="59">
        <f t="shared" si="36"/>
        <v>241.76003724236273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5.9</v>
      </c>
      <c r="BD12" s="12">
        <f>IF('Données projet'!$A$88&gt;35,BD11+BC12-BL11,IF(A12&lt;'Données projet'!$A$88,$BA$205^A12,IF(A12='Données projet'!$A$88,'Données projet'!$B$88,BD11+BC12-BL11)))</f>
        <v>8.5574999108937213</v>
      </c>
      <c r="BE12" s="13">
        <f>BD12*VLOOKUP('Données projet'!$B$11,Paramètres!$A$1:$I$89,3,0)*VLOOKUP('Données projet'!$B$11,Paramètres!$A$1:$I$89,5,0)</f>
        <v>5.3398799443976825</v>
      </c>
      <c r="BF12" s="13">
        <f t="shared" si="37"/>
        <v>2.0248781407951277</v>
      </c>
      <c r="BG12" s="20">
        <f t="shared" si="7"/>
        <v>12.826953665044144</v>
      </c>
      <c r="BH12" s="59">
        <f t="shared" si="8"/>
        <v>306.16028699837744</v>
      </c>
      <c r="BI12" s="59">
        <f ca="1">AVERAGE(OFFSET($BH$3,0,0,'Données projet'!$E$11+1,1))-AVERAGE(OFFSET($H$3,0,0,'Données projet'!$E$11+1,1))</f>
        <v>209.93608079129638</v>
      </c>
      <c r="BJ12" s="59">
        <f t="shared" si="38"/>
        <v>240.15652428700969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215.23235148064941</v>
      </c>
      <c r="CE12" s="59">
        <f t="shared" si="40"/>
        <v>184.07239726900434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5.4513006599100189</v>
      </c>
      <c r="CV12" s="13">
        <f t="shared" si="41"/>
        <v>2.062165822468125</v>
      </c>
      <c r="CW12" s="20">
        <f t="shared" si="13"/>
        <v>13.085954123475267</v>
      </c>
      <c r="CX12" s="59">
        <f t="shared" si="14"/>
        <v>306.4192874568086</v>
      </c>
      <c r="CY12" s="59">
        <f ca="1">AVERAGE(OFFSET($CX$3,0,0,'Données projet'!$E$13+1,1))-AVERAGE(OFFSET($H$3,0,0,'Données projet'!$E$13+1,1))</f>
        <v>279.20364724206644</v>
      </c>
      <c r="CZ12" s="59">
        <f t="shared" si="42"/>
        <v>173.99850582760712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5.61903298790725</v>
      </c>
      <c r="DQ12" s="13">
        <f t="shared" si="43"/>
        <v>2.1181320831575063</v>
      </c>
      <c r="DR12" s="20">
        <f t="shared" si="16"/>
        <v>13.475562498771119</v>
      </c>
      <c r="DS12" s="59">
        <f t="shared" si="17"/>
        <v>306.80889583210444</v>
      </c>
      <c r="DT12" s="59">
        <f ca="1">AVERAGE(OFFSET($DS$3,0,0,'Données projet'!$E$14+1,1))-AVERAGE(OFFSET($H$3,0,0,'Données projet'!$E$14+1,1))</f>
        <v>291.18074901939718</v>
      </c>
      <c r="DU12" s="59">
        <f t="shared" si="44"/>
        <v>181.05123751753774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</v>
      </c>
      <c r="EJ12" s="12">
        <f>IF('Données projet'!$A$192&gt;35,EJ11+EI12-ER11,IF(A12&lt;'Données projet'!$A$192,$EG$205^A12,IF(A12='Données projet'!$A$192,'Données projet'!$B$192,EJ11+EI12-ER11)))</f>
        <v>14.696938456699069</v>
      </c>
      <c r="EK12" s="17">
        <f>EJ12*VLOOKUP('Données projet'!$B$15,Paramètres!$A$1:$I$89,3,0)*VLOOKUP('Données projet'!$B$15,Paramètres!$A$1:$I$89,5,0)</f>
        <v>8.7887691971060438</v>
      </c>
      <c r="EL12" s="13">
        <f t="shared" si="45"/>
        <v>3.1449004184369191</v>
      </c>
      <c r="EM12" s="20">
        <f t="shared" si="19"/>
        <v>20.784474580403991</v>
      </c>
      <c r="EN12" s="59">
        <f t="shared" si="20"/>
        <v>314.11780791373729</v>
      </c>
      <c r="EO12" s="59">
        <f ca="1">AVERAGE(OFFSET($EN$3,0,0,'Données projet'!$E$15+1,1))-AVERAGE(OFFSET($H$3,0,0,'Données projet'!$E$15+1,1))</f>
        <v>168.08890945052406</v>
      </c>
      <c r="EP12" s="59">
        <f t="shared" si="46"/>
        <v>182.52462557642343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4.75</v>
      </c>
      <c r="FE12" s="12">
        <f>IF('Données projet'!$A$218&gt;35,FE11+FD12-FM11,IF(A12&lt;'Données projet'!$A$218,$FB$205^A12,IF(A12='Données projet'!$A$218,'Données projet'!$B$218,FE11+FD12-FM11)))</f>
        <v>7.7620354590201153</v>
      </c>
      <c r="FF12" s="17">
        <f>FE12*VLOOKUP('Données projet'!$B$16,Paramètres!$A$1:$I$89,3,0)*VLOOKUP('Données projet'!$B$16,Paramètres!$A$1:$I$89,5,0)</f>
        <v>5.2067733859106937</v>
      </c>
      <c r="FG12" s="13">
        <f t="shared" si="47"/>
        <v>1.980214094096522</v>
      </c>
      <c r="FH12" s="20">
        <f t="shared" si="22"/>
        <v>12.517336527679234</v>
      </c>
      <c r="FI12" s="59">
        <f t="shared" si="23"/>
        <v>305.85066986101253</v>
      </c>
      <c r="FJ12" s="59">
        <f ca="1">AVERAGE(OFFSET($FI$3,0,0,'Données projet'!$E$16+1,1))-AVERAGE(OFFSET($H$3,0,0,'Données projet'!$E$16+1,1))</f>
        <v>156.63226020379989</v>
      </c>
      <c r="FK12" s="59">
        <f t="shared" si="48"/>
        <v>196.0481096619543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4.55</v>
      </c>
      <c r="FZ12" s="12">
        <f>IF('Données projet'!$A$244&gt;35,FZ11+FY12-GH11,IF(A12&lt;'Données projet'!$A$244,$FW$205^A12,IF(A12='Données projet'!$A$244,'Données projet'!$B$244,FZ11+FY12-GH11)))</f>
        <v>7.6132243249824851</v>
      </c>
      <c r="GA12" s="17">
        <f>FZ12*VLOOKUP('Données projet'!$B$17,Paramètres!$A$1:$I$89,3,0)*VLOOKUP('Données projet'!$B$17,Paramètres!$A$1:$I$89,5,0)</f>
        <v>4.5527081463395263</v>
      </c>
      <c r="GB12" s="13">
        <f t="shared" si="49"/>
        <v>1.758730395704539</v>
      </c>
      <c r="GC12" s="20">
        <f t="shared" si="25"/>
        <v>10.992422127393413</v>
      </c>
      <c r="GD12" s="59">
        <f t="shared" si="26"/>
        <v>304.32575546072673</v>
      </c>
      <c r="GE12" s="59">
        <f ca="1">AVERAGE(OFFSET($GD$3,0,0,'Données projet'!$E$17+1,1))-AVERAGE(OFFSET($H$3,0,0,'Données projet'!$E$17+1,1))</f>
        <v>216.94426559495264</v>
      </c>
      <c r="GF12" s="59">
        <f t="shared" si="50"/>
        <v>225.33715877618704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2.1</v>
      </c>
      <c r="GU12" s="12">
        <f>IF('Données projet'!$A$270&gt;35,GU11+GT12-HC11,IF(A12&lt;'Données projet'!$A$270,$GR$205^A12,IF(A12='Données projet'!$A$270,'Données projet'!$B$270,GU11+GT12-HC11)))</f>
        <v>5.3760361537574148</v>
      </c>
      <c r="GV12" s="17">
        <f>GU12*VLOOKUP('Données projet'!$B$18,Paramètres!$A$1:$I$89,3,0)*VLOOKUP('Données projet'!$B$18,Paramètres!$A$1:$I$89,5,0)</f>
        <v>5.1997021679141717</v>
      </c>
      <c r="GW12" s="13">
        <f t="shared" si="51"/>
        <v>1.977837649208241</v>
      </c>
      <c r="GX12" s="20">
        <f t="shared" si="28"/>
        <v>12.500881848154869</v>
      </c>
      <c r="GY12" s="59">
        <f t="shared" si="29"/>
        <v>305.83421518148816</v>
      </c>
      <c r="GZ12" s="59">
        <f ca="1">AVERAGE(OFFSET($GY$3,0,0,'Données projet'!$E$18+1,1))-AVERAGE(OFFSET($H$3,0,0,'Données projet'!$E$18+1,1))</f>
        <v>261.22357949323879</v>
      </c>
      <c r="HA12" s="59">
        <f t="shared" si="52"/>
        <v>163.41029152029387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237.22177246688199</v>
      </c>
      <c r="T13" s="59">
        <f t="shared" si="34"/>
        <v>149.27472147904302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23</v>
      </c>
      <c r="AG13" s="12">
        <f>VLOOKUP(A13,'Données projet'!$A$61:$I$81,9,0)</f>
        <v>2.2999999999999998</v>
      </c>
      <c r="AH13" s="12">
        <f t="array" ref="AH13">INDEX(AG:AG,MIN(IF(ISNUMBER(AG13:AG209),ROW(AG13:AG209),"")))</f>
        <v>2.2999999999999998</v>
      </c>
      <c r="AI13" s="13">
        <f>IF('Données projet'!$A$62&gt;35,AI12+AH13-AQ12,IF(A13&lt;'Données projet'!$A$62,$AF$205^A13,IF(A13='Données projet'!$A$62,'Données projet'!$B$62,AI12+AH13-AQ12)))</f>
        <v>23</v>
      </c>
      <c r="AJ13" s="13">
        <f>AI13*VLOOKUP('Données projet'!$B$10,Paramètres!$A$1:$I$89,3,0)*VLOOKUP('Données projet'!$B$10,Paramètres!$A$1:$I$89,5,0)</f>
        <v>20.0928</v>
      </c>
      <c r="AK13" s="13">
        <f t="shared" si="35"/>
        <v>6.5300817245569407</v>
      </c>
      <c r="AL13" s="20">
        <f t="shared" si="4"/>
        <v>46.368185670270002</v>
      </c>
      <c r="AM13" s="59">
        <f t="shared" si="5"/>
        <v>339.70151900360332</v>
      </c>
      <c r="AN13" s="59">
        <f ca="1">AVERAGE(OFFSET($AM$3,0,0,'Données projet'!$E$10+1,1))-AVERAGE(OFFSET($H$3,0,0,'Données projet'!$E$10+1,1))</f>
        <v>210.07838338464626</v>
      </c>
      <c r="AO13" s="59">
        <f t="shared" si="36"/>
        <v>241.76003724236273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5.9</v>
      </c>
      <c r="BD13" s="12">
        <f>IF('Données projet'!$A$88&gt;35,BD12+BC13-BL12,IF(A13&lt;'Données projet'!$A$88,$BA$205^A13,IF(A13='Données projet'!$A$88,'Données projet'!$B$88,BD12+BC13-BL12)))</f>
        <v>10.862780491200228</v>
      </c>
      <c r="BE13" s="13">
        <f>BD13*VLOOKUP('Données projet'!$B$11,Paramètres!$A$1:$I$89,3,0)*VLOOKUP('Données projet'!$B$11,Paramètres!$A$1:$I$89,5,0)</f>
        <v>6.7783750265089431</v>
      </c>
      <c r="BF13" s="13">
        <f t="shared" si="37"/>
        <v>2.4999690906845462</v>
      </c>
      <c r="BG13" s="20">
        <f t="shared" si="7"/>
        <v>16.159782670778661</v>
      </c>
      <c r="BH13" s="59">
        <f t="shared" si="8"/>
        <v>309.49311600411198</v>
      </c>
      <c r="BI13" s="59">
        <f ca="1">AVERAGE(OFFSET($BH$3,0,0,'Données projet'!$E$11+1,1))-AVERAGE(OFFSET($H$3,0,0,'Données projet'!$E$11+1,1))</f>
        <v>209.93608079129638</v>
      </c>
      <c r="BJ13" s="59">
        <f t="shared" si="38"/>
        <v>240.15652428700969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215.23235148064941</v>
      </c>
      <c r="CE13" s="59">
        <f t="shared" si="40"/>
        <v>184.07239726900434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6.5714710681855761</v>
      </c>
      <c r="CV13" s="13">
        <f t="shared" si="41"/>
        <v>2.4324209676242781</v>
      </c>
      <c r="CW13" s="20">
        <f t="shared" si="13"/>
        <v>15.681778629035497</v>
      </c>
      <c r="CX13" s="59">
        <f t="shared" si="14"/>
        <v>309.01511196236879</v>
      </c>
      <c r="CY13" s="59">
        <f ca="1">AVERAGE(OFFSET($CX$3,0,0,'Données projet'!$E$13+1,1))-AVERAGE(OFFSET($H$3,0,0,'Données projet'!$E$13+1,1))</f>
        <v>279.20364724206644</v>
      </c>
      <c r="CZ13" s="59">
        <f t="shared" si="42"/>
        <v>173.99850582760712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6.7736701779759017</v>
      </c>
      <c r="DQ13" s="13">
        <f t="shared" si="43"/>
        <v>2.4984357878182442</v>
      </c>
      <c r="DR13" s="20">
        <f t="shared" si="16"/>
        <v>16.148917890424809</v>
      </c>
      <c r="DS13" s="59">
        <f t="shared" si="17"/>
        <v>309.48225122375811</v>
      </c>
      <c r="DT13" s="59">
        <f ca="1">AVERAGE(OFFSET($DS$3,0,0,'Données projet'!$E$14+1,1))-AVERAGE(OFFSET($H$3,0,0,'Données projet'!$E$14+1,1))</f>
        <v>291.18074901939718</v>
      </c>
      <c r="DU13" s="59">
        <f t="shared" si="44"/>
        <v>181.05123751753774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</v>
      </c>
      <c r="EJ13" s="12">
        <f>IF('Données projet'!$A$192&gt;35,EJ12+EI13-ER12,IF(A13&lt;'Données projet'!$A$192,$EG$205^A13,IF(A13='Données projet'!$A$192,'Données projet'!$B$192,EJ12+EI13-ER12)))</f>
        <v>19.81156349336776</v>
      </c>
      <c r="EK13" s="17">
        <f>EJ13*VLOOKUP('Données projet'!$B$15,Paramètres!$A$1:$I$89,3,0)*VLOOKUP('Données projet'!$B$15,Paramètres!$A$1:$I$89,5,0)</f>
        <v>11.847314969033921</v>
      </c>
      <c r="EL13" s="13">
        <f t="shared" si="45"/>
        <v>4.094516627677768</v>
      </c>
      <c r="EM13" s="20">
        <f t="shared" si="19"/>
        <v>27.76535669760619</v>
      </c>
      <c r="EN13" s="59">
        <f t="shared" si="20"/>
        <v>321.09869003093951</v>
      </c>
      <c r="EO13" s="59">
        <f ca="1">AVERAGE(OFFSET($EN$3,0,0,'Données projet'!$E$15+1,1))-AVERAGE(OFFSET($H$3,0,0,'Données projet'!$E$15+1,1))</f>
        <v>168.08890945052406</v>
      </c>
      <c r="EP13" s="59">
        <f t="shared" si="46"/>
        <v>182.52462557642343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4.75</v>
      </c>
      <c r="FE13" s="12">
        <f>IF('Données projet'!$A$218&gt;35,FE12+FD13-FM12,IF(A13&lt;'Données projet'!$A$218,$FB$205^A13,IF(A13='Données projet'!$A$218,'Données projet'!$B$218,FE12+FD13-FM12)))</f>
        <v>9.7467943448089507</v>
      </c>
      <c r="FF13" s="17">
        <f>FE13*VLOOKUP('Données projet'!$B$16,Paramètres!$A$1:$I$89,3,0)*VLOOKUP('Données projet'!$B$16,Paramètres!$A$1:$I$89,5,0)</f>
        <v>6.5381496464978444</v>
      </c>
      <c r="FG13" s="13">
        <f t="shared" si="47"/>
        <v>2.4215195304505239</v>
      </c>
      <c r="FH13" s="20">
        <f t="shared" si="22"/>
        <v>15.604757149851741</v>
      </c>
      <c r="FI13" s="59">
        <f t="shared" si="23"/>
        <v>308.93809048318508</v>
      </c>
      <c r="FJ13" s="59">
        <f ca="1">AVERAGE(OFFSET($FI$3,0,0,'Données projet'!$E$16+1,1))-AVERAGE(OFFSET($H$3,0,0,'Données projet'!$E$16+1,1))</f>
        <v>156.63226020379989</v>
      </c>
      <c r="FK13" s="59">
        <f t="shared" si="48"/>
        <v>196.0481096619543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4.55</v>
      </c>
      <c r="FZ13" s="12">
        <f>IF('Données projet'!$A$244&gt;35,FZ12+FY13-GH12,IF(A13&lt;'Données projet'!$A$244,$FW$205^A13,IF(A13='Données projet'!$A$244,'Données projet'!$B$244,FZ12+FY13-GH12)))</f>
        <v>9.5393920141694579</v>
      </c>
      <c r="GA13" s="17">
        <f>FZ13*VLOOKUP('Données projet'!$B$17,Paramètres!$A$1:$I$89,3,0)*VLOOKUP('Données projet'!$B$17,Paramètres!$A$1:$I$89,5,0)</f>
        <v>5.7045564244733367</v>
      </c>
      <c r="GB13" s="13">
        <f t="shared" si="49"/>
        <v>2.1465930463066791</v>
      </c>
      <c r="GC13" s="20">
        <f t="shared" si="25"/>
        <v>13.674085328275192</v>
      </c>
      <c r="GD13" s="59">
        <f t="shared" si="26"/>
        <v>307.00741866160848</v>
      </c>
      <c r="GE13" s="59">
        <f ca="1">AVERAGE(OFFSET($GD$3,0,0,'Données projet'!$E$17+1,1))-AVERAGE(OFFSET($H$3,0,0,'Données projet'!$E$17+1,1))</f>
        <v>216.94426559495264</v>
      </c>
      <c r="GF13" s="59">
        <f t="shared" si="50"/>
        <v>225.33715877618704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2.1</v>
      </c>
      <c r="GU13" s="12">
        <f>IF('Données projet'!$A$270&gt;35,GU12+GT13-HC12,IF(A13&lt;'Données projet'!$A$270,$GR$205^A13,IF(A13='Données projet'!$A$270,'Données projet'!$B$270,GU12+GT13-HC12)))</f>
        <v>6.4807406984078657</v>
      </c>
      <c r="GV13" s="17">
        <f>GU13*VLOOKUP('Données projet'!$B$18,Paramètres!$A$1:$I$89,3,0)*VLOOKUP('Données projet'!$B$18,Paramètres!$A$1:$I$89,5,0)</f>
        <v>6.2681724035000874</v>
      </c>
      <c r="GW13" s="13">
        <f t="shared" si="51"/>
        <v>2.3329519459947301</v>
      </c>
      <c r="GX13" s="20">
        <f t="shared" si="28"/>
        <v>14.98029157537014</v>
      </c>
      <c r="GY13" s="59">
        <f t="shared" si="29"/>
        <v>308.31362490870345</v>
      </c>
      <c r="GZ13" s="59">
        <f ca="1">AVERAGE(OFFSET($GY$3,0,0,'Données projet'!$E$18+1,1))-AVERAGE(OFFSET($H$3,0,0,'Données projet'!$E$18+1,1))</f>
        <v>261.22357949323879</v>
      </c>
      <c r="HA13" s="59">
        <f t="shared" si="52"/>
        <v>163.41029152029387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237.22177246688199</v>
      </c>
      <c r="T14" s="59">
        <f t="shared" si="34"/>
        <v>149.27472147904302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</v>
      </c>
      <c r="AI14" s="13">
        <f>IF('Données projet'!$A$62&gt;35,AI13+AH14-AQ13,IF(A14&lt;'Données projet'!$A$62,$AF$205^A14,IF(A14='Données projet'!$A$62,'Données projet'!$B$62,AI13+AH14-AQ13)))</f>
        <v>30.4</v>
      </c>
      <c r="AJ14" s="13">
        <f>AI14*VLOOKUP('Données projet'!$B$10,Paramètres!$A$1:$I$89,3,0)*VLOOKUP('Données projet'!$B$10,Paramètres!$A$1:$I$89,5,0)</f>
        <v>26.557440000000003</v>
      </c>
      <c r="AK14" s="13">
        <f t="shared" si="35"/>
        <v>8.3553182981993483</v>
      </c>
      <c r="AL14" s="20">
        <f t="shared" si="4"/>
        <v>60.806387369363868</v>
      </c>
      <c r="AM14" s="59">
        <f t="shared" si="5"/>
        <v>354.13972070269716</v>
      </c>
      <c r="AN14" s="59">
        <f ca="1">AVERAGE(OFFSET($AM$3,0,0,'Données projet'!$E$10+1,1))-AVERAGE(OFFSET($H$3,0,0,'Données projet'!$E$10+1,1))</f>
        <v>210.07838338464626</v>
      </c>
      <c r="AO14" s="59">
        <f t="shared" si="36"/>
        <v>241.76003724236273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5.9</v>
      </c>
      <c r="BD14" s="12">
        <f>IF('Données projet'!$A$88&gt;35,BD13+BC14-BL13,IF(A14&lt;'Données projet'!$A$88,$BA$205^A14,IF(A14='Données projet'!$A$88,'Données projet'!$B$88,BD13+BC14-BL13)))</f>
        <v>13.789074055354174</v>
      </c>
      <c r="BE14" s="13">
        <f>BD14*VLOOKUP('Données projet'!$B$11,Paramètres!$A$1:$I$89,3,0)*VLOOKUP('Données projet'!$B$11,Paramètres!$A$1:$I$89,5,0)</f>
        <v>8.6043822105410044</v>
      </c>
      <c r="BF14" s="13">
        <f t="shared" si="37"/>
        <v>3.0865291735155624</v>
      </c>
      <c r="BG14" s="20">
        <f t="shared" si="7"/>
        <v>20.361670660565185</v>
      </c>
      <c r="BH14" s="59">
        <f t="shared" si="8"/>
        <v>313.69500399389852</v>
      </c>
      <c r="BI14" s="59">
        <f ca="1">AVERAGE(OFFSET($BH$3,0,0,'Données projet'!$E$11+1,1))-AVERAGE(OFFSET($H$3,0,0,'Données projet'!$E$11+1,1))</f>
        <v>209.93608079129638</v>
      </c>
      <c r="BJ14" s="59">
        <f t="shared" si="38"/>
        <v>240.15652428700969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215.23235148064941</v>
      </c>
      <c r="CE14" s="59">
        <f t="shared" si="40"/>
        <v>184.07239726900434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7.921821725516951</v>
      </c>
      <c r="CV14" s="13">
        <f t="shared" si="41"/>
        <v>2.869154216054651</v>
      </c>
      <c r="CW14" s="20">
        <f t="shared" si="13"/>
        <v>18.794283098237205</v>
      </c>
      <c r="CX14" s="59">
        <f t="shared" si="14"/>
        <v>312.12761643157052</v>
      </c>
      <c r="CY14" s="59">
        <f ca="1">AVERAGE(OFFSET($CX$3,0,0,'Données projet'!$E$13+1,1))-AVERAGE(OFFSET($H$3,0,0,'Données projet'!$E$13+1,1))</f>
        <v>279.20364724206644</v>
      </c>
      <c r="CZ14" s="59">
        <f t="shared" si="42"/>
        <v>173.99850582760712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8.1655700863020879</v>
      </c>
      <c r="DQ14" s="13">
        <f t="shared" si="43"/>
        <v>2.9470217818266238</v>
      </c>
      <c r="DR14" s="20">
        <f t="shared" si="16"/>
        <v>19.35443083699084</v>
      </c>
      <c r="DS14" s="59">
        <f t="shared" si="17"/>
        <v>312.68776417032416</v>
      </c>
      <c r="DT14" s="59">
        <f ca="1">AVERAGE(OFFSET($DS$3,0,0,'Données projet'!$E$14+1,1))-AVERAGE(OFFSET($H$3,0,0,'Données projet'!$E$14+1,1))</f>
        <v>291.18074901939718</v>
      </c>
      <c r="DU14" s="59">
        <f t="shared" si="44"/>
        <v>181.05123751753774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</v>
      </c>
      <c r="EJ14" s="12">
        <f>IF('Données projet'!$A$192&gt;35,EJ13+EI14-ER13,IF(A14&lt;'Données projet'!$A$192,$EG$205^A14,IF(A14='Données projet'!$A$192,'Données projet'!$B$192,EJ13+EI14-ER13)))</f>
        <v>26.706109521254486</v>
      </c>
      <c r="EK14" s="17">
        <f>EJ14*VLOOKUP('Données projet'!$B$15,Paramètres!$A$1:$I$89,3,0)*VLOOKUP('Données projet'!$B$15,Paramètres!$A$1:$I$89,5,0)</f>
        <v>15.970253493710185</v>
      </c>
      <c r="EL14" s="13">
        <f t="shared" si="45"/>
        <v>5.3308735361046251</v>
      </c>
      <c r="EM14" s="20">
        <f t="shared" si="19"/>
        <v>37.09946291026079</v>
      </c>
      <c r="EN14" s="59">
        <f t="shared" si="20"/>
        <v>330.43279624359411</v>
      </c>
      <c r="EO14" s="59">
        <f ca="1">AVERAGE(OFFSET($EN$3,0,0,'Données projet'!$E$15+1,1))-AVERAGE(OFFSET($H$3,0,0,'Données projet'!$E$15+1,1))</f>
        <v>168.08890945052406</v>
      </c>
      <c r="EP14" s="59">
        <f t="shared" si="46"/>
        <v>182.52462557642343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4.75</v>
      </c>
      <c r="FE14" s="12">
        <f>IF('Données projet'!$A$218&gt;35,FE13+FD14-FM13,IF(A14&lt;'Données projet'!$A$218,$FB$205^A14,IF(A14='Données projet'!$A$218,'Données projet'!$B$218,FE13+FD14-FM13)))</f>
        <v>12.239057719016479</v>
      </c>
      <c r="FF14" s="17">
        <f>FE14*VLOOKUP('Données projet'!$B$16,Paramètres!$A$1:$I$89,3,0)*VLOOKUP('Données projet'!$B$16,Paramètres!$A$1:$I$89,5,0)</f>
        <v>8.2099599179162546</v>
      </c>
      <c r="FG14" s="13">
        <f t="shared" si="47"/>
        <v>2.9611731649797601</v>
      </c>
      <c r="FH14" s="20">
        <f t="shared" si="22"/>
        <v>19.456390119377222</v>
      </c>
      <c r="FI14" s="59">
        <f t="shared" si="23"/>
        <v>312.78972345271052</v>
      </c>
      <c r="FJ14" s="59">
        <f ca="1">AVERAGE(OFFSET($FI$3,0,0,'Données projet'!$E$16+1,1))-AVERAGE(OFFSET($H$3,0,0,'Données projet'!$E$16+1,1))</f>
        <v>156.63226020379989</v>
      </c>
      <c r="FK14" s="59">
        <f t="shared" si="48"/>
        <v>196.0481096619543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4.55</v>
      </c>
      <c r="FZ14" s="12">
        <f>IF('Données projet'!$A$244&gt;35,FZ13+FY14-GH13,IF(A14&lt;'Données projet'!$A$244,$FW$205^A14,IF(A14='Données projet'!$A$244,'Données projet'!$B$244,FZ13+FY14-GH13)))</f>
        <v>11.952885678330434</v>
      </c>
      <c r="GA14" s="17">
        <f>FZ14*VLOOKUP('Données projet'!$B$17,Paramètres!$A$1:$I$89,3,0)*VLOOKUP('Données projet'!$B$17,Paramètres!$A$1:$I$89,5,0)</f>
        <v>7.147825635641599</v>
      </c>
      <c r="GB14" s="13">
        <f t="shared" si="49"/>
        <v>2.6199932165306663</v>
      </c>
      <c r="GC14" s="20">
        <f t="shared" si="25"/>
        <v>17.012284500866695</v>
      </c>
      <c r="GD14" s="59">
        <f t="shared" si="26"/>
        <v>310.34561783420003</v>
      </c>
      <c r="GE14" s="59">
        <f ca="1">AVERAGE(OFFSET($GD$3,0,0,'Données projet'!$E$17+1,1))-AVERAGE(OFFSET($H$3,0,0,'Données projet'!$E$17+1,1))</f>
        <v>216.94426559495264</v>
      </c>
      <c r="GF14" s="59">
        <f t="shared" si="50"/>
        <v>225.33715877618704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2.1</v>
      </c>
      <c r="GU14" s="12">
        <f>IF('Données projet'!$A$270&gt;35,GU13+GT14-HC13,IF(A14&lt;'Données projet'!$A$270,$GR$205^A14,IF(A14='Données projet'!$A$270,'Données projet'!$B$270,GU13+GT14-HC13)))</f>
        <v>7.8124474610620815</v>
      </c>
      <c r="GV14" s="17">
        <f>GU14*VLOOKUP('Données projet'!$B$18,Paramètres!$A$1:$I$89,3,0)*VLOOKUP('Données projet'!$B$18,Paramètres!$A$1:$I$89,5,0)</f>
        <v>7.5561991843392455</v>
      </c>
      <c r="GW14" s="13">
        <f t="shared" si="51"/>
        <v>2.7518258561310041</v>
      </c>
      <c r="GX14" s="20">
        <f t="shared" si="28"/>
        <v>17.953143612152349</v>
      </c>
      <c r="GY14" s="59">
        <f t="shared" si="29"/>
        <v>311.28647694548567</v>
      </c>
      <c r="GZ14" s="59">
        <f ca="1">AVERAGE(OFFSET($GY$3,0,0,'Données projet'!$E$18+1,1))-AVERAGE(OFFSET($H$3,0,0,'Données projet'!$E$18+1,1))</f>
        <v>261.22357949323879</v>
      </c>
      <c r="HA14" s="59">
        <f t="shared" si="52"/>
        <v>163.41029152029387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237.22177246688199</v>
      </c>
      <c r="T15" s="59">
        <f t="shared" si="34"/>
        <v>149.27472147904302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</v>
      </c>
      <c r="AI15" s="13">
        <f>IF('Données projet'!$A$62&gt;35,AI14+AH15-AQ14,IF(A15&lt;'Données projet'!$A$62,$AF$205^A15,IF(A15='Données projet'!$A$62,'Données projet'!$B$62,AI14+AH15-AQ14)))</f>
        <v>37.799999999999997</v>
      </c>
      <c r="AJ15" s="13">
        <f>AI15*VLOOKUP('Données projet'!$B$10,Paramètres!$A$1:$I$89,3,0)*VLOOKUP('Données projet'!$B$10,Paramètres!$A$1:$I$89,5,0)</f>
        <v>33.022080000000003</v>
      </c>
      <c r="AK15" s="13">
        <f t="shared" si="35"/>
        <v>10.129025278332465</v>
      </c>
      <c r="AL15" s="20">
        <f t="shared" si="4"/>
        <v>75.154841693095705</v>
      </c>
      <c r="AM15" s="59">
        <f t="shared" si="5"/>
        <v>368.48817502642902</v>
      </c>
      <c r="AN15" s="59">
        <f ca="1">AVERAGE(OFFSET($AM$3,0,0,'Données projet'!$E$10+1,1))-AVERAGE(OFFSET($H$3,0,0,'Données projet'!$E$10+1,1))</f>
        <v>210.07838338464626</v>
      </c>
      <c r="AO15" s="59">
        <f t="shared" si="36"/>
        <v>241.76003724236273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5.9</v>
      </c>
      <c r="BD15" s="12">
        <f>IF('Données projet'!$A$88&gt;35,BD14+BC15-BL14,IF(A15&lt;'Données projet'!$A$88,$BA$205^A15,IF(A15='Données projet'!$A$88,'Données projet'!$B$88,BD14+BC15-BL14)))</f>
        <v>17.503673526135408</v>
      </c>
      <c r="BE15" s="13">
        <f>BD15*VLOOKUP('Données projet'!$B$11,Paramètres!$A$1:$I$89,3,0)*VLOOKUP('Données projet'!$B$11,Paramètres!$A$1:$I$89,5,0)</f>
        <v>10.922292280308493</v>
      </c>
      <c r="BF15" s="13">
        <f t="shared" si="37"/>
        <v>3.8107120501854101</v>
      </c>
      <c r="BG15" s="20">
        <f t="shared" si="7"/>
        <v>25.659982542276879</v>
      </c>
      <c r="BH15" s="59">
        <f t="shared" si="8"/>
        <v>318.99331587561016</v>
      </c>
      <c r="BI15" s="59">
        <f ca="1">AVERAGE(OFFSET($BH$3,0,0,'Données projet'!$E$11+1,1))-AVERAGE(OFFSET($H$3,0,0,'Données projet'!$E$11+1,1))</f>
        <v>209.93608079129638</v>
      </c>
      <c r="BJ15" s="59">
        <f t="shared" si="38"/>
        <v>240.15652428700969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215.23235148064941</v>
      </c>
      <c r="CE15" s="59">
        <f t="shared" si="40"/>
        <v>184.07239726900434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9.5496516380767513</v>
      </c>
      <c r="CV15" s="13">
        <f t="shared" si="41"/>
        <v>3.3843014943027487</v>
      </c>
      <c r="CW15" s="20">
        <f t="shared" si="13"/>
        <v>22.526635038894295</v>
      </c>
      <c r="CX15" s="59">
        <f t="shared" si="14"/>
        <v>315.85996837222763</v>
      </c>
      <c r="CY15" s="59">
        <f ca="1">AVERAGE(OFFSET($CX$3,0,0,'Données projet'!$E$13+1,1))-AVERAGE(OFFSET($H$3,0,0,'Données projet'!$E$13+1,1))</f>
        <v>279.20364724206644</v>
      </c>
      <c r="CZ15" s="59">
        <f t="shared" si="42"/>
        <v>173.99850582760712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9.8434870730944972</v>
      </c>
      <c r="DQ15" s="13">
        <f t="shared" si="43"/>
        <v>3.4761499274490784</v>
      </c>
      <c r="DR15" s="20">
        <f t="shared" si="16"/>
        <v>23.198367775946725</v>
      </c>
      <c r="DS15" s="59">
        <f t="shared" si="17"/>
        <v>316.53170110928005</v>
      </c>
      <c r="DT15" s="59">
        <f ca="1">AVERAGE(OFFSET($DS$3,0,0,'Données projet'!$E$14+1,1))-AVERAGE(OFFSET($H$3,0,0,'Données projet'!$E$14+1,1))</f>
        <v>291.18074901939718</v>
      </c>
      <c r="DU15" s="59">
        <f t="shared" si="44"/>
        <v>181.05123751753774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>
        <f>VLOOKUP(A15,'Données projet'!$A$191:$I$211,2,0)</f>
        <v>36</v>
      </c>
      <c r="EH15" s="12">
        <f>VLOOKUP(A15,'Données projet'!$A$191:$I$211,9,0)</f>
        <v>3</v>
      </c>
      <c r="EI15" s="12">
        <f t="array" ref="EI15">INDEX(EH:EH,MIN(IF(ISNUMBER(EH15:EH211),ROW(EH15:EH211),"")))</f>
        <v>3</v>
      </c>
      <c r="EJ15" s="12">
        <f>IF('Données projet'!$A$192&gt;35,EJ14+EI15-ER14,IF(A15&lt;'Données projet'!$A$192,$EG$205^A15,IF(A15='Données projet'!$A$192,'Données projet'!$B$192,EJ14+EI15-ER14)))</f>
        <v>36</v>
      </c>
      <c r="EK15" s="17">
        <f>EJ15*VLOOKUP('Données projet'!$B$15,Paramètres!$A$1:$I$89,3,0)*VLOOKUP('Données projet'!$B$15,Paramètres!$A$1:$I$89,5,0)</f>
        <v>21.528000000000002</v>
      </c>
      <c r="EL15" s="13">
        <f t="shared" si="45"/>
        <v>6.9405537312613621</v>
      </c>
      <c r="EM15" s="20">
        <f t="shared" si="19"/>
        <v>49.582731081946882</v>
      </c>
      <c r="EN15" s="59">
        <f t="shared" si="20"/>
        <v>342.91606441528018</v>
      </c>
      <c r="EO15" s="59">
        <f ca="1">AVERAGE(OFFSET($EN$3,0,0,'Données projet'!$E$15+1,1))-AVERAGE(OFFSET($H$3,0,0,'Données projet'!$E$15+1,1))</f>
        <v>168.08890945052406</v>
      </c>
      <c r="EP15" s="59">
        <f t="shared" si="46"/>
        <v>182.52462557642343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4.75</v>
      </c>
      <c r="FE15" s="12">
        <f>IF('Données projet'!$A$218&gt;35,FE14+FD15-FM14,IF(A15&lt;'Données projet'!$A$218,$FB$205^A15,IF(A15='Données projet'!$A$218,'Données projet'!$B$218,FE14+FD15-FM14)))</f>
        <v>15.368594899018873</v>
      </c>
      <c r="FF15" s="17">
        <f>FE15*VLOOKUP('Données projet'!$B$16,Paramètres!$A$1:$I$89,3,0)*VLOOKUP('Données projet'!$B$16,Paramètres!$A$1:$I$89,5,0)</f>
        <v>10.30925345826186</v>
      </c>
      <c r="FG15" s="13">
        <f t="shared" si="47"/>
        <v>3.6210926249952076</v>
      </c>
      <c r="FH15" s="20">
        <f t="shared" si="22"/>
        <v>24.262019428339389</v>
      </c>
      <c r="FI15" s="59">
        <f t="shared" si="23"/>
        <v>317.5953527616727</v>
      </c>
      <c r="FJ15" s="59">
        <f ca="1">AVERAGE(OFFSET($FI$3,0,0,'Données projet'!$E$16+1,1))-AVERAGE(OFFSET($H$3,0,0,'Données projet'!$E$16+1,1))</f>
        <v>156.63226020379989</v>
      </c>
      <c r="FK15" s="59">
        <f t="shared" si="48"/>
        <v>196.0481096619543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4.55</v>
      </c>
      <c r="FZ15" s="12">
        <f>IF('Données projet'!$A$244&gt;35,FZ14+FY15-GH14,IF(A15&lt;'Données projet'!$A$244,$FW$205^A15,IF(A15='Données projet'!$A$244,'Données projet'!$B$244,FZ14+FY15-GH14)))</f>
        <v>14.97700019320108</v>
      </c>
      <c r="GA15" s="17">
        <f>FZ15*VLOOKUP('Données projet'!$B$17,Paramètres!$A$1:$I$89,3,0)*VLOOKUP('Données projet'!$B$17,Paramètres!$A$1:$I$89,5,0)</f>
        <v>8.9562461155342472</v>
      </c>
      <c r="GB15" s="13">
        <f t="shared" si="49"/>
        <v>3.1977949739831653</v>
      </c>
      <c r="GC15" s="20">
        <f t="shared" si="25"/>
        <v>21.168288230909493</v>
      </c>
      <c r="GD15" s="59">
        <f t="shared" si="26"/>
        <v>314.50162156424278</v>
      </c>
      <c r="GE15" s="59">
        <f ca="1">AVERAGE(OFFSET($GD$3,0,0,'Données projet'!$E$17+1,1))-AVERAGE(OFFSET($H$3,0,0,'Données projet'!$E$17+1,1))</f>
        <v>216.94426559495264</v>
      </c>
      <c r="GF15" s="59">
        <f t="shared" si="50"/>
        <v>225.33715877618704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2.1</v>
      </c>
      <c r="GU15" s="12">
        <f>IF('Données projet'!$A$270&gt;35,GU14+GT15-HC14,IF(A15&lt;'Données projet'!$A$270,$GR$205^A15,IF(A15='Données projet'!$A$270,'Données projet'!$B$270,GU14+GT15-HC14)))</f>
        <v>9.4178024044149407</v>
      </c>
      <c r="GV15" s="17">
        <f>GU15*VLOOKUP('Données projet'!$B$18,Paramètres!$A$1:$I$89,3,0)*VLOOKUP('Données projet'!$B$18,Paramètres!$A$1:$I$89,5,0)</f>
        <v>9.1088984855501316</v>
      </c>
      <c r="GW15" s="13">
        <f t="shared" si="51"/>
        <v>3.2459072101643005</v>
      </c>
      <c r="GX15" s="20">
        <f t="shared" si="28"/>
        <v>21.517953253369303</v>
      </c>
      <c r="GY15" s="59">
        <f t="shared" si="29"/>
        <v>314.8512865867026</v>
      </c>
      <c r="GZ15" s="59">
        <f ca="1">AVERAGE(OFFSET($GY$3,0,0,'Données projet'!$E$18+1,1))-AVERAGE(OFFSET($H$3,0,0,'Données projet'!$E$18+1,1))</f>
        <v>261.22357949323879</v>
      </c>
      <c r="HA15" s="59">
        <f t="shared" si="52"/>
        <v>163.41029152029387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237.22177246688199</v>
      </c>
      <c r="T16" s="59">
        <f t="shared" si="34"/>
        <v>149.27472147904302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</v>
      </c>
      <c r="AI16" s="13">
        <f>IF('Données projet'!$A$62&gt;35,AI15+AH16-AQ15,IF(A16&lt;'Données projet'!$A$62,$AF$205^A16,IF(A16='Données projet'!$A$62,'Données projet'!$B$62,AI15+AH16-AQ15)))</f>
        <v>45.199999999999996</v>
      </c>
      <c r="AJ16" s="13">
        <f>AI16*VLOOKUP('Données projet'!$B$10,Paramètres!$A$1:$I$89,3,0)*VLOOKUP('Données projet'!$B$10,Paramètres!$A$1:$I$89,5,0)</f>
        <v>39.486720000000005</v>
      </c>
      <c r="AK16" s="13">
        <f t="shared" si="35"/>
        <v>11.862499896265861</v>
      </c>
      <c r="AL16" s="20">
        <f t="shared" si="4"/>
        <v>89.433224652663043</v>
      </c>
      <c r="AM16" s="59">
        <f t="shared" si="5"/>
        <v>382.76655798599637</v>
      </c>
      <c r="AN16" s="59">
        <f ca="1">AVERAGE(OFFSET($AM$3,0,0,'Données projet'!$E$10+1,1))-AVERAGE(OFFSET($H$3,0,0,'Données projet'!$E$10+1,1))</f>
        <v>210.07838338464626</v>
      </c>
      <c r="AO16" s="59">
        <f t="shared" si="36"/>
        <v>241.76003724236273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5.9</v>
      </c>
      <c r="BD16" s="12">
        <f>IF('Données projet'!$A$88&gt;35,BD15+BC16-BL15,IF(A16&lt;'Données projet'!$A$88,$BA$205^A16,IF(A16='Données projet'!$A$88,'Données projet'!$B$88,BD15+BC16-BL15)))</f>
        <v>22.218938391339591</v>
      </c>
      <c r="BE16" s="13">
        <f>BD16*VLOOKUP('Données projet'!$B$11,Paramètres!$A$1:$I$89,3,0)*VLOOKUP('Données projet'!$B$11,Paramètres!$A$1:$I$89,5,0)</f>
        <v>13.864617556195904</v>
      </c>
      <c r="BF16" s="13">
        <f t="shared" si="37"/>
        <v>4.7048077348604007</v>
      </c>
      <c r="BG16" s="20">
        <f t="shared" si="7"/>
        <v>32.341749048589733</v>
      </c>
      <c r="BH16" s="59">
        <f t="shared" si="8"/>
        <v>325.67508238192306</v>
      </c>
      <c r="BI16" s="59">
        <f ca="1">AVERAGE(OFFSET($BH$3,0,0,'Données projet'!$E$11+1,1))-AVERAGE(OFFSET($H$3,0,0,'Données projet'!$E$11+1,1))</f>
        <v>209.93608079129638</v>
      </c>
      <c r="BJ16" s="59">
        <f t="shared" si="38"/>
        <v>240.15652428700969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215.23235148064941</v>
      </c>
      <c r="CE16" s="59">
        <f t="shared" si="40"/>
        <v>184.07239726900434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11.511979134151852</v>
      </c>
      <c r="CV16" s="13">
        <f t="shared" si="41"/>
        <v>3.9919417855793822</v>
      </c>
      <c r="CW16" s="20">
        <f t="shared" si="13"/>
        <v>27.002662268531896</v>
      </c>
      <c r="CX16" s="59">
        <f t="shared" si="14"/>
        <v>320.33599560186519</v>
      </c>
      <c r="CY16" s="59">
        <f ca="1">AVERAGE(OFFSET($CX$3,0,0,'Données projet'!$E$13+1,1))-AVERAGE(OFFSET($H$3,0,0,'Données projet'!$E$13+1,1))</f>
        <v>279.20364724206644</v>
      </c>
      <c r="CZ16" s="59">
        <f t="shared" si="42"/>
        <v>173.99850582760712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11.866193876741139</v>
      </c>
      <c r="DQ16" s="13">
        <f t="shared" si="43"/>
        <v>4.100281305221487</v>
      </c>
      <c r="DR16" s="20">
        <f t="shared" si="16"/>
        <v>27.808277608584905</v>
      </c>
      <c r="DS16" s="59">
        <f t="shared" si="17"/>
        <v>321.1416109419182</v>
      </c>
      <c r="DT16" s="59">
        <f ca="1">AVERAGE(OFFSET($DS$3,0,0,'Données projet'!$E$14+1,1))-AVERAGE(OFFSET($H$3,0,0,'Données projet'!$E$14+1,1))</f>
        <v>291.18074901939718</v>
      </c>
      <c r="DU16" s="59">
        <f t="shared" si="44"/>
        <v>181.05123751753774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11.25</v>
      </c>
      <c r="EJ16" s="12">
        <f>IF('Données projet'!$A$192&gt;35,EJ15+EI16-ER15,IF(A16&lt;'Données projet'!$A$192,$EG$205^A16,IF(A16='Données projet'!$A$192,'Données projet'!$B$192,EJ15+EI16-ER15)))</f>
        <v>47.25</v>
      </c>
      <c r="EK16" s="17">
        <f>EJ16*VLOOKUP('Données projet'!$B$15,Paramètres!$A$1:$I$89,3,0)*VLOOKUP('Données projet'!$B$15,Paramètres!$A$1:$I$89,5,0)</f>
        <v>28.255500000000001</v>
      </c>
      <c r="EL16" s="13">
        <f t="shared" si="45"/>
        <v>8.8256494369710552</v>
      </c>
      <c r="EM16" s="20">
        <f t="shared" si="19"/>
        <v>64.583001936057926</v>
      </c>
      <c r="EN16" s="59">
        <f t="shared" si="20"/>
        <v>357.91633526939125</v>
      </c>
      <c r="EO16" s="59">
        <f ca="1">AVERAGE(OFFSET($EN$3,0,0,'Données projet'!$E$15+1,1))-AVERAGE(OFFSET($H$3,0,0,'Données projet'!$E$15+1,1))</f>
        <v>168.08890945052406</v>
      </c>
      <c r="EP16" s="59">
        <f t="shared" si="46"/>
        <v>182.52462557642343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4.75</v>
      </c>
      <c r="FE16" s="12">
        <f>IF('Données projet'!$A$218&gt;35,FE15+FD16-FM15,IF(A16&lt;'Données projet'!$A$218,$FB$205^A16,IF(A16='Données projet'!$A$218,'Données projet'!$B$218,FE15+FD16-FM15)))</f>
        <v>19.298357323959845</v>
      </c>
      <c r="FF16" s="17">
        <f>FE16*VLOOKUP('Données projet'!$B$16,Paramètres!$A$1:$I$89,3,0)*VLOOKUP('Données projet'!$B$16,Paramètres!$A$1:$I$89,5,0)</f>
        <v>12.945338092912264</v>
      </c>
      <c r="FG16" s="13">
        <f t="shared" si="47"/>
        <v>4.4280800440403496</v>
      </c>
      <c r="FH16" s="20">
        <f t="shared" si="22"/>
        <v>30.258703255192469</v>
      </c>
      <c r="FI16" s="59">
        <f t="shared" si="23"/>
        <v>323.59203658852579</v>
      </c>
      <c r="FJ16" s="59">
        <f ca="1">AVERAGE(OFFSET($FI$3,0,0,'Données projet'!$E$16+1,1))-AVERAGE(OFFSET($H$3,0,0,'Données projet'!$E$16+1,1))</f>
        <v>156.63226020379989</v>
      </c>
      <c r="FK16" s="59">
        <f t="shared" si="48"/>
        <v>196.0481096619543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4.55</v>
      </c>
      <c r="FZ16" s="12">
        <f>IF('Données projet'!$A$244&gt;35,FZ15+FY16-GH15,IF(A16&lt;'Données projet'!$A$244,$FW$205^A16,IF(A16='Données projet'!$A$244,'Données projet'!$B$244,FZ15+FY16-GH15)))</f>
        <v>18.766224393311244</v>
      </c>
      <c r="GA16" s="17">
        <f>FZ16*VLOOKUP('Données projet'!$B$17,Paramètres!$A$1:$I$89,3,0)*VLOOKUP('Données projet'!$B$17,Paramètres!$A$1:$I$89,5,0)</f>
        <v>11.222202187200125</v>
      </c>
      <c r="GB16" s="13">
        <f t="shared" si="49"/>
        <v>3.903022584605345</v>
      </c>
      <c r="GC16" s="20">
        <f t="shared" si="25"/>
        <v>26.343099810894525</v>
      </c>
      <c r="GD16" s="59">
        <f t="shared" si="26"/>
        <v>319.67643314422781</v>
      </c>
      <c r="GE16" s="59">
        <f ca="1">AVERAGE(OFFSET($GD$3,0,0,'Données projet'!$E$17+1,1))-AVERAGE(OFFSET($H$3,0,0,'Données projet'!$E$17+1,1))</f>
        <v>216.94426559495264</v>
      </c>
      <c r="GF16" s="59">
        <f t="shared" si="50"/>
        <v>225.33715877618704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2.1</v>
      </c>
      <c r="GU16" s="12">
        <f>IF('Données projet'!$A$270&gt;35,GU15+GT16-HC15,IF(A16&lt;'Données projet'!$A$270,$GR$205^A16,IF(A16='Données projet'!$A$270,'Données projet'!$B$270,GU15+GT16-HC15)))</f>
        <v>11.35303662145153</v>
      </c>
      <c r="GV16" s="17">
        <f>GU16*VLOOKUP('Données projet'!$B$18,Paramètres!$A$1:$I$89,3,0)*VLOOKUP('Données projet'!$B$18,Paramètres!$A$1:$I$89,5,0)</f>
        <v>10.98065702026792</v>
      </c>
      <c r="GW16" s="13">
        <f t="shared" si="51"/>
        <v>3.8286992592655618</v>
      </c>
      <c r="GX16" s="20">
        <f t="shared" si="28"/>
        <v>25.792962186854144</v>
      </c>
      <c r="GY16" s="59">
        <f t="shared" si="29"/>
        <v>319.12629552018745</v>
      </c>
      <c r="GZ16" s="59">
        <f ca="1">AVERAGE(OFFSET($GY$3,0,0,'Données projet'!$E$18+1,1))-AVERAGE(OFFSET($H$3,0,0,'Données projet'!$E$18+1,1))</f>
        <v>261.22357949323879</v>
      </c>
      <c r="HA16" s="59">
        <f t="shared" si="52"/>
        <v>163.41029152029387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237.22177246688199</v>
      </c>
      <c r="T17" s="59">
        <f t="shared" si="34"/>
        <v>149.27472147904302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</v>
      </c>
      <c r="AI17" s="13">
        <f>IF('Données projet'!$A$62&gt;35,AI16+AH17-AQ16,IF(A17&lt;'Données projet'!$A$62,$AF$205^A17,IF(A17='Données projet'!$A$62,'Données projet'!$B$62,AI16+AH17-AQ16)))</f>
        <v>52.599999999999994</v>
      </c>
      <c r="AJ17" s="13">
        <f>AI17*VLOOKUP('Données projet'!$B$10,Paramètres!$A$1:$I$89,3,0)*VLOOKUP('Données projet'!$B$10,Paramètres!$A$1:$I$89,5,0)</f>
        <v>45.951360000000001</v>
      </c>
      <c r="AK17" s="13">
        <f t="shared" si="35"/>
        <v>13.563098137964777</v>
      </c>
      <c r="AL17" s="20">
        <f t="shared" si="4"/>
        <v>103.65434792362198</v>
      </c>
      <c r="AM17" s="59">
        <f t="shared" si="5"/>
        <v>396.98768125695528</v>
      </c>
      <c r="AN17" s="59">
        <f ca="1">AVERAGE(OFFSET($AM$3,0,0,'Données projet'!$E$10+1,1))-AVERAGE(OFFSET($H$3,0,0,'Données projet'!$E$10+1,1))</f>
        <v>210.07838338464626</v>
      </c>
      <c r="AO17" s="59">
        <f t="shared" si="36"/>
        <v>241.76003724236273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5.9</v>
      </c>
      <c r="BD17" s="12">
        <f>IF('Données projet'!$A$88&gt;35,BD16+BC17-BL16,IF(A17&lt;'Données projet'!$A$88,$BA$205^A17,IF(A17='Données projet'!$A$88,'Données projet'!$B$88,BD16+BC17-BL16)))</f>
        <v>28.204435057647181</v>
      </c>
      <c r="BE17" s="13">
        <f>BD17*VLOOKUP('Données projet'!$B$11,Paramètres!$A$1:$I$89,3,0)*VLOOKUP('Données projet'!$B$11,Paramètres!$A$1:$I$89,5,0)</f>
        <v>17.599567475971842</v>
      </c>
      <c r="BF17" s="13">
        <f t="shared" si="37"/>
        <v>5.8086823487293593</v>
      </c>
      <c r="BG17" s="20">
        <f t="shared" si="7"/>
        <v>40.76936844468792</v>
      </c>
      <c r="BH17" s="59">
        <f t="shared" si="8"/>
        <v>334.10270177802124</v>
      </c>
      <c r="BI17" s="59">
        <f ca="1">AVERAGE(OFFSET($BH$3,0,0,'Données projet'!$E$11+1,1))-AVERAGE(OFFSET($H$3,0,0,'Données projet'!$E$11+1,1))</f>
        <v>209.93608079129638</v>
      </c>
      <c r="BJ17" s="59">
        <f t="shared" si="38"/>
        <v>240.15652428700969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215.23235148064941</v>
      </c>
      <c r="CE17" s="59">
        <f t="shared" si="40"/>
        <v>184.07239726900434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13.877539056685173</v>
      </c>
      <c r="CV17" s="13">
        <f t="shared" si="41"/>
        <v>4.7086819085950955</v>
      </c>
      <c r="CW17" s="20">
        <f t="shared" si="13"/>
        <v>32.371001514529802</v>
      </c>
      <c r="CX17" s="59">
        <f t="shared" si="14"/>
        <v>325.70433484786309</v>
      </c>
      <c r="CY17" s="59">
        <f ca="1">AVERAGE(OFFSET($CX$3,0,0,'Données projet'!$E$13+1,1))-AVERAGE(OFFSET($H$3,0,0,'Données projet'!$E$13+1,1))</f>
        <v>279.20364724206644</v>
      </c>
      <c r="CZ17" s="59">
        <f t="shared" si="42"/>
        <v>173.99850582760712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14.304540258429331</v>
      </c>
      <c r="DQ17" s="13">
        <f t="shared" si="43"/>
        <v>4.8364734355075134</v>
      </c>
      <c r="DR17" s="20">
        <f t="shared" si="16"/>
        <v>33.337265516940001</v>
      </c>
      <c r="DS17" s="59">
        <f t="shared" si="17"/>
        <v>326.67059885027334</v>
      </c>
      <c r="DT17" s="59">
        <f ca="1">AVERAGE(OFFSET($DS$3,0,0,'Données projet'!$E$14+1,1))-AVERAGE(OFFSET($H$3,0,0,'Données projet'!$E$14+1,1))</f>
        <v>291.18074901939718</v>
      </c>
      <c r="DU17" s="59">
        <f t="shared" si="44"/>
        <v>181.05123751753774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11.25</v>
      </c>
      <c r="EJ17" s="12">
        <f>IF('Données projet'!$A$192&gt;35,EJ16+EI17-ER16,IF(A17&lt;'Données projet'!$A$192,$EG$205^A17,IF(A17='Données projet'!$A$192,'Données projet'!$B$192,EJ16+EI17-ER16)))</f>
        <v>58.5</v>
      </c>
      <c r="EK17" s="17">
        <f>EJ17*VLOOKUP('Données projet'!$B$15,Paramètres!$A$1:$I$89,3,0)*VLOOKUP('Données projet'!$B$15,Paramètres!$A$1:$I$89,5,0)</f>
        <v>34.983000000000004</v>
      </c>
      <c r="EL17" s="13">
        <f t="shared" si="45"/>
        <v>10.658697928430266</v>
      </c>
      <c r="EM17" s="20">
        <f t="shared" si="19"/>
        <v>79.492623892016056</v>
      </c>
      <c r="EN17" s="59">
        <f t="shared" si="20"/>
        <v>372.82595722534938</v>
      </c>
      <c r="EO17" s="59">
        <f ca="1">AVERAGE(OFFSET($EN$3,0,0,'Données projet'!$E$15+1,1))-AVERAGE(OFFSET($H$3,0,0,'Données projet'!$E$15+1,1))</f>
        <v>168.08890945052406</v>
      </c>
      <c r="EP17" s="59">
        <f t="shared" si="46"/>
        <v>182.52462557642343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4.75</v>
      </c>
      <c r="FE17" s="12">
        <f>IF('Données projet'!$A$218&gt;35,FE16+FD17-FM16,IF(A17&lt;'Données projet'!$A$218,$FB$205^A17,IF(A17='Données projet'!$A$218,'Données projet'!$B$218,FE16+FD17-FM16)))</f>
        <v>24.232963250726986</v>
      </c>
      <c r="FF17" s="17">
        <f>FE17*VLOOKUP('Données projet'!$B$16,Paramètres!$A$1:$I$89,3,0)*VLOOKUP('Données projet'!$B$16,Paramètres!$A$1:$I$89,5,0)</f>
        <v>16.255471748587663</v>
      </c>
      <c r="FG17" s="13">
        <f t="shared" si="47"/>
        <v>5.4149106104277989</v>
      </c>
      <c r="FH17" s="20">
        <f t="shared" si="22"/>
        <v>37.742582608618598</v>
      </c>
      <c r="FI17" s="59">
        <f t="shared" si="23"/>
        <v>331.07591594195191</v>
      </c>
      <c r="FJ17" s="59">
        <f ca="1">AVERAGE(OFFSET($FI$3,0,0,'Données projet'!$E$16+1,1))-AVERAGE(OFFSET($H$3,0,0,'Données projet'!$E$16+1,1))</f>
        <v>156.63226020379989</v>
      </c>
      <c r="FK17" s="59">
        <f t="shared" si="48"/>
        <v>196.0481096619543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4.55</v>
      </c>
      <c r="FZ17" s="12">
        <f>IF('Données projet'!$A$244&gt;35,FZ16+FY17-GH16,IF(A17&lt;'Données projet'!$A$244,$FW$205^A17,IF(A17='Données projet'!$A$244,'Données projet'!$B$244,FZ16+FY17-GH16)))</f>
        <v>23.514133233434862</v>
      </c>
      <c r="GA17" s="17">
        <f>FZ17*VLOOKUP('Données projet'!$B$17,Paramètres!$A$1:$I$89,3,0)*VLOOKUP('Données projet'!$B$17,Paramètres!$A$1:$I$89,5,0)</f>
        <v>14.061451673594048</v>
      </c>
      <c r="GB17" s="13">
        <f t="shared" si="49"/>
        <v>4.7637779844792423</v>
      </c>
      <c r="GC17" s="20">
        <f t="shared" si="25"/>
        <v>32.787274987810981</v>
      </c>
      <c r="GD17" s="59">
        <f t="shared" si="26"/>
        <v>326.12060832114429</v>
      </c>
      <c r="GE17" s="59">
        <f ca="1">AVERAGE(OFFSET($GD$3,0,0,'Données projet'!$E$17+1,1))-AVERAGE(OFFSET($H$3,0,0,'Données projet'!$E$17+1,1))</f>
        <v>216.94426559495264</v>
      </c>
      <c r="GF17" s="59">
        <f t="shared" si="50"/>
        <v>225.33715877618704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2.1</v>
      </c>
      <c r="GU17" s="12">
        <f>IF('Données projet'!$A$270&gt;35,GU16+GT17-HC16,IF(A17&lt;'Données projet'!$A$270,$GR$205^A17,IF(A17='Données projet'!$A$270,'Données projet'!$B$270,GU16+GT17-HC16)))</f>
        <v>13.685935953338433</v>
      </c>
      <c r="GV17" s="17">
        <f>GU17*VLOOKUP('Données projet'!$B$18,Paramètres!$A$1:$I$89,3,0)*VLOOKUP('Données projet'!$B$18,Paramètres!$A$1:$I$89,5,0)</f>
        <v>13.237037254068934</v>
      </c>
      <c r="GW17" s="13">
        <f t="shared" si="51"/>
        <v>4.5161297192961545</v>
      </c>
      <c r="GX17" s="20">
        <f t="shared" si="28"/>
        <v>30.920099145277529</v>
      </c>
      <c r="GY17" s="59">
        <f t="shared" si="29"/>
        <v>324.25343247861082</v>
      </c>
      <c r="GZ17" s="59">
        <f ca="1">AVERAGE(OFFSET($GY$3,0,0,'Données projet'!$E$18+1,1))-AVERAGE(OFFSET($H$3,0,0,'Données projet'!$E$18+1,1))</f>
        <v>261.22357949323879</v>
      </c>
      <c r="HA17" s="59">
        <f t="shared" si="52"/>
        <v>163.41029152029387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237.22177246688199</v>
      </c>
      <c r="T18" s="59">
        <f t="shared" si="34"/>
        <v>149.27472147904302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60</v>
      </c>
      <c r="AG18" s="12">
        <f>VLOOKUP(A18,'Données projet'!$A$61:$I$81,9,0)</f>
        <v>7.4</v>
      </c>
      <c r="AH18" s="12">
        <f t="array" ref="AH18">INDEX(AG:AG,MIN(IF(ISNUMBER(AG18:AG214),ROW(AG18:AG214),"")))</f>
        <v>7.4</v>
      </c>
      <c r="AI18" s="13">
        <f>IF('Données projet'!$A$62&gt;35,AI17+AH18-AQ17,IF(A18&lt;'Données projet'!$A$62,$AF$205^A18,IF(A18='Données projet'!$A$62,'Données projet'!$B$62,AI17+AH18-AQ17)))</f>
        <v>59.999999999999993</v>
      </c>
      <c r="AJ18" s="13">
        <f>AI18*VLOOKUP('Données projet'!$B$10,Paramètres!$A$1:$I$89,3,0)*VLOOKUP('Données projet'!$B$10,Paramètres!$A$1:$I$89,5,0)</f>
        <v>52.416000000000004</v>
      </c>
      <c r="AK18" s="13">
        <f t="shared" si="35"/>
        <v>15.235978301273029</v>
      </c>
      <c r="AL18" s="20">
        <f t="shared" si="4"/>
        <v>117.82719554138386</v>
      </c>
      <c r="AM18" s="59">
        <f t="shared" si="5"/>
        <v>411.16052887471716</v>
      </c>
      <c r="AN18" s="59">
        <f ca="1">AVERAGE(OFFSET($AM$3,0,0,'Données projet'!$E$10+1,1))-AVERAGE(OFFSET($H$3,0,0,'Données projet'!$E$10+1,1))</f>
        <v>210.07838338464626</v>
      </c>
      <c r="AO18" s="59">
        <f t="shared" si="36"/>
        <v>241.76003724236273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5.9</v>
      </c>
      <c r="BD18" s="12">
        <f>IF('Données projet'!$A$88&gt;35,BD17+BC18-BL17,IF(A18&lt;'Données projet'!$A$88,$BA$205^A18,IF(A18='Données projet'!$A$88,'Données projet'!$B$88,BD17+BC18-BL17)))</f>
        <v>35.802347659917913</v>
      </c>
      <c r="BE18" s="13">
        <f>BD18*VLOOKUP('Données projet'!$B$11,Paramètres!$A$1:$I$89,3,0)*VLOOKUP('Données projet'!$B$11,Paramètres!$A$1:$I$89,5,0)</f>
        <v>22.34066493978878</v>
      </c>
      <c r="BF18" s="13">
        <f t="shared" si="37"/>
        <v>7.1715556787659356</v>
      </c>
      <c r="BG18" s="20">
        <f t="shared" si="7"/>
        <v>51.400450910649454</v>
      </c>
      <c r="BH18" s="59">
        <f t="shared" si="8"/>
        <v>344.73378424398277</v>
      </c>
      <c r="BI18" s="59">
        <f ca="1">AVERAGE(OFFSET($BH$3,0,0,'Données projet'!$E$11+1,1))-AVERAGE(OFFSET($H$3,0,0,'Données projet'!$E$11+1,1))</f>
        <v>209.93608079129638</v>
      </c>
      <c r="BJ18" s="59">
        <f t="shared" si="38"/>
        <v>240.15652428700969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215.23235148064941</v>
      </c>
      <c r="CE18" s="59">
        <f t="shared" si="40"/>
        <v>184.07239726900434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16.729190352551068</v>
      </c>
      <c r="CV18" s="13">
        <f t="shared" si="41"/>
        <v>5.5541103821765283</v>
      </c>
      <c r="CW18" s="20">
        <f t="shared" si="13"/>
        <v>38.810082112983899</v>
      </c>
      <c r="CX18" s="59">
        <f t="shared" si="14"/>
        <v>332.14341544631719</v>
      </c>
      <c r="CY18" s="59">
        <f ca="1">AVERAGE(OFFSET($CX$3,0,0,'Données projet'!$E$13+1,1))-AVERAGE(OFFSET($H$3,0,0,'Données projet'!$E$13+1,1))</f>
        <v>279.20364724206644</v>
      </c>
      <c r="CZ18" s="59">
        <f t="shared" si="42"/>
        <v>173.99850582760712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17.243934671091104</v>
      </c>
      <c r="DQ18" s="13">
        <f t="shared" si="43"/>
        <v>5.704846460798203</v>
      </c>
      <c r="DR18" s="20">
        <f t="shared" si="16"/>
        <v>39.969127138040541</v>
      </c>
      <c r="DS18" s="59">
        <f t="shared" si="17"/>
        <v>333.30246047137388</v>
      </c>
      <c r="DT18" s="59">
        <f ca="1">AVERAGE(OFFSET($DS$3,0,0,'Données projet'!$E$14+1,1))-AVERAGE(OFFSET($H$3,0,0,'Données projet'!$E$14+1,1))</f>
        <v>291.18074901939718</v>
      </c>
      <c r="DU18" s="59">
        <f t="shared" si="44"/>
        <v>181.05123751753774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11.25</v>
      </c>
      <c r="EJ18" s="12">
        <f>IF('Données projet'!$A$192&gt;35,EJ17+EI18-ER17,IF(A18&lt;'Données projet'!$A$192,$EG$205^A18,IF(A18='Données projet'!$A$192,'Données projet'!$B$192,EJ17+EI18-ER17)))</f>
        <v>69.75</v>
      </c>
      <c r="EK18" s="17">
        <f>EJ18*VLOOKUP('Données projet'!$B$15,Paramètres!$A$1:$I$89,3,0)*VLOOKUP('Données projet'!$B$15,Paramètres!$A$1:$I$89,5,0)</f>
        <v>41.710500000000003</v>
      </c>
      <c r="EL18" s="13">
        <f t="shared" si="45"/>
        <v>12.450904347349248</v>
      </c>
      <c r="EM18" s="20">
        <f t="shared" si="19"/>
        <v>94.331112571633255</v>
      </c>
      <c r="EN18" s="59">
        <f t="shared" si="20"/>
        <v>387.66444590496656</v>
      </c>
      <c r="EO18" s="59">
        <f ca="1">AVERAGE(OFFSET($EN$3,0,0,'Données projet'!$E$15+1,1))-AVERAGE(OFFSET($H$3,0,0,'Données projet'!$E$15+1,1))</f>
        <v>168.08890945052406</v>
      </c>
      <c r="EP18" s="59">
        <f t="shared" si="46"/>
        <v>182.52462557642343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4.75</v>
      </c>
      <c r="FE18" s="12">
        <f>IF('Données projet'!$A$218&gt;35,FE17+FD18-FM17,IF(A18&lt;'Données projet'!$A$218,$FB$205^A18,IF(A18='Données projet'!$A$218,'Données projet'!$B$218,FE17+FD18-FM17)))</f>
        <v>30.429351993705815</v>
      </c>
      <c r="FF18" s="17">
        <f>FE18*VLOOKUP('Données projet'!$B$16,Paramètres!$A$1:$I$89,3,0)*VLOOKUP('Données projet'!$B$16,Paramètres!$A$1:$I$89,5,0)</f>
        <v>20.412009317377862</v>
      </c>
      <c r="FG18" s="13">
        <f t="shared" si="47"/>
        <v>6.6216637069120585</v>
      </c>
      <c r="FH18" s="20">
        <f t="shared" si="22"/>
        <v>47.083647183971607</v>
      </c>
      <c r="FI18" s="59">
        <f t="shared" si="23"/>
        <v>340.41698051730492</v>
      </c>
      <c r="FJ18" s="59">
        <f ca="1">AVERAGE(OFFSET($FI$3,0,0,'Données projet'!$E$16+1,1))-AVERAGE(OFFSET($H$3,0,0,'Données projet'!$E$16+1,1))</f>
        <v>156.63226020379989</v>
      </c>
      <c r="FK18" s="59">
        <f t="shared" si="48"/>
        <v>196.0481096619543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4.55</v>
      </c>
      <c r="FZ18" s="12">
        <f>IF('Données projet'!$A$244&gt;35,FZ17+FY18-GH17,IF(A18&lt;'Données projet'!$A$244,$FW$205^A18,IF(A18='Données projet'!$A$244,'Données projet'!$B$244,FZ17+FY18-GH17)))</f>
        <v>29.463276689625356</v>
      </c>
      <c r="GA18" s="17">
        <f>FZ18*VLOOKUP('Données projet'!$B$17,Paramètres!$A$1:$I$89,3,0)*VLOOKUP('Données projet'!$B$17,Paramètres!$A$1:$I$89,5,0)</f>
        <v>17.619039460395964</v>
      </c>
      <c r="GB18" s="13">
        <f t="shared" si="49"/>
        <v>5.8143605868229411</v>
      </c>
      <c r="GC18" s="20">
        <f t="shared" si="25"/>
        <v>40.81317174890625</v>
      </c>
      <c r="GD18" s="59">
        <f t="shared" si="26"/>
        <v>334.14650508223957</v>
      </c>
      <c r="GE18" s="59">
        <f ca="1">AVERAGE(OFFSET($GD$3,0,0,'Données projet'!$E$17+1,1))-AVERAGE(OFFSET($H$3,0,0,'Données projet'!$E$17+1,1))</f>
        <v>216.94426559495264</v>
      </c>
      <c r="GF18" s="59">
        <f t="shared" si="50"/>
        <v>225.33715877618704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2.1</v>
      </c>
      <c r="GU18" s="12">
        <f>IF('Données projet'!$A$270&gt;35,GU17+GT18-HC17,IF(A18&lt;'Données projet'!$A$270,$GR$205^A18,IF(A18='Données projet'!$A$270,'Données projet'!$B$270,GU17+GT18-HC17)))</f>
        <v>16.498215337821566</v>
      </c>
      <c r="GV18" s="17">
        <f>GU18*VLOOKUP('Données projet'!$B$18,Paramètres!$A$1:$I$89,3,0)*VLOOKUP('Données projet'!$B$18,Paramètres!$A$1:$I$89,5,0)</f>
        <v>15.957073874741019</v>
      </c>
      <c r="GW18" s="13">
        <f t="shared" si="51"/>
        <v>5.3269860755326848</v>
      </c>
      <c r="GX18" s="20">
        <f t="shared" si="28"/>
        <v>37.069737746726702</v>
      </c>
      <c r="GY18" s="59">
        <f t="shared" si="29"/>
        <v>330.40307108006004</v>
      </c>
      <c r="GZ18" s="59">
        <f ca="1">AVERAGE(OFFSET($GY$3,0,0,'Données projet'!$E$18+1,1))-AVERAGE(OFFSET($H$3,0,0,'Données projet'!$E$18+1,1))</f>
        <v>261.22357949323879</v>
      </c>
      <c r="HA18" s="59">
        <f t="shared" si="52"/>
        <v>163.41029152029387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237.22177246688199</v>
      </c>
      <c r="T19" s="59">
        <f t="shared" si="34"/>
        <v>149.27472147904302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9.6</v>
      </c>
      <c r="AI19" s="13">
        <f>IF('Données projet'!$A$62&gt;35,AI18+AH19-AQ18,IF(A19&lt;'Données projet'!$A$62,$AF$205^A19,IF(A19='Données projet'!$A$62,'Données projet'!$B$62,AI18+AH19-AQ18)))</f>
        <v>69.599999999999994</v>
      </c>
      <c r="AJ19" s="13">
        <f>AI19*VLOOKUP('Données projet'!$B$10,Paramètres!$A$1:$I$89,3,0)*VLOOKUP('Données projet'!$B$10,Paramètres!$A$1:$I$89,5,0)</f>
        <v>60.80256</v>
      </c>
      <c r="AK19" s="13">
        <f t="shared" si="35"/>
        <v>17.371024177726472</v>
      </c>
      <c r="AL19" s="20">
        <f t="shared" si="4"/>
        <v>136.15232577620694</v>
      </c>
      <c r="AM19" s="59">
        <f t="shared" si="5"/>
        <v>429.48565910954028</v>
      </c>
      <c r="AN19" s="59">
        <f ca="1">AVERAGE(OFFSET($AM$3,0,0,'Données projet'!$E$10+1,1))-AVERAGE(OFFSET($H$3,0,0,'Données projet'!$E$10+1,1))</f>
        <v>210.07838338464626</v>
      </c>
      <c r="AO19" s="59">
        <f t="shared" si="36"/>
        <v>241.76003724236273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5.9</v>
      </c>
      <c r="BD19" s="12">
        <f>IF('Données projet'!$A$88&gt;35,BD18+BC19-BL18,IF(A19&lt;'Données projet'!$A$88,$BA$205^A19,IF(A19='Données projet'!$A$88,'Données projet'!$B$88,BD18+BC19-BL18)))</f>
        <v>45.44704034460311</v>
      </c>
      <c r="BE19" s="13">
        <f>BD19*VLOOKUP('Données projet'!$B$11,Paramètres!$A$1:$I$89,3,0)*VLOOKUP('Données projet'!$B$11,Paramètres!$A$1:$I$89,5,0)</f>
        <v>28.35895317503234</v>
      </c>
      <c r="BF19" s="13">
        <f t="shared" si="37"/>
        <v>8.8541957996533291</v>
      </c>
      <c r="BG19" s="20">
        <f t="shared" si="7"/>
        <v>64.812901130910859</v>
      </c>
      <c r="BH19" s="59">
        <f t="shared" si="8"/>
        <v>358.14623446424417</v>
      </c>
      <c r="BI19" s="59">
        <f ca="1">AVERAGE(OFFSET($BH$3,0,0,'Données projet'!$E$11+1,1))-AVERAGE(OFFSET($H$3,0,0,'Données projet'!$E$11+1,1))</f>
        <v>209.93608079129638</v>
      </c>
      <c r="BJ19" s="59">
        <f t="shared" si="38"/>
        <v>240.15652428700969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215.23235148064941</v>
      </c>
      <c r="CE19" s="59">
        <f t="shared" si="40"/>
        <v>184.07239726900434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20.166818389681932</v>
      </c>
      <c r="CV19" s="13">
        <f t="shared" si="41"/>
        <v>6.5513327797938032</v>
      </c>
      <c r="CW19" s="20">
        <f t="shared" si="13"/>
        <v>46.534113286836906</v>
      </c>
      <c r="CX19" s="59">
        <f t="shared" si="14"/>
        <v>339.8674466201702</v>
      </c>
      <c r="CY19" s="59">
        <f ca="1">AVERAGE(OFFSET($CX$3,0,0,'Données projet'!$E$13+1,1))-AVERAGE(OFFSET($H$3,0,0,'Données projet'!$E$13+1,1))</f>
        <v>279.20364724206644</v>
      </c>
      <c r="CZ19" s="59">
        <f t="shared" si="42"/>
        <v>173.99850582760712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20.787335878595226</v>
      </c>
      <c r="DQ19" s="13">
        <f t="shared" si="43"/>
        <v>6.7291330295225098</v>
      </c>
      <c r="DR19" s="20">
        <f t="shared" si="16"/>
        <v>47.924516681638387</v>
      </c>
      <c r="DS19" s="59">
        <f t="shared" si="17"/>
        <v>341.25785001497172</v>
      </c>
      <c r="DT19" s="59">
        <f ca="1">AVERAGE(OFFSET($DS$3,0,0,'Données projet'!$E$14+1,1))-AVERAGE(OFFSET($H$3,0,0,'Données projet'!$E$14+1,1))</f>
        <v>291.18074901939718</v>
      </c>
      <c r="DU19" s="59">
        <f t="shared" si="44"/>
        <v>181.05123751753774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>
        <f>VLOOKUP(A19,'Données projet'!$A$191:$I$211,2,0)</f>
        <v>81</v>
      </c>
      <c r="EH19" s="12">
        <f>VLOOKUP(A19,'Données projet'!$A$191:$I$211,9,0)</f>
        <v>11.25</v>
      </c>
      <c r="EI19" s="12">
        <f t="array" ref="EI19">INDEX(EH:EH,MIN(IF(ISNUMBER(EH19:EH215),ROW(EH19:EH215),"")))</f>
        <v>11.25</v>
      </c>
      <c r="EJ19" s="12">
        <f>IF('Données projet'!$A$192&gt;35,EJ18+EI19-ER18,IF(A19&lt;'Données projet'!$A$192,$EG$205^A19,IF(A19='Données projet'!$A$192,'Données projet'!$B$192,EJ18+EI19-ER18)))</f>
        <v>81</v>
      </c>
      <c r="EK19" s="17">
        <f>EJ19*VLOOKUP('Données projet'!$B$15,Paramètres!$A$1:$I$89,3,0)*VLOOKUP('Données projet'!$B$15,Paramètres!$A$1:$I$89,5,0)</f>
        <v>48.438000000000009</v>
      </c>
      <c r="EL19" s="13">
        <f t="shared" si="45"/>
        <v>14.209624244846971</v>
      </c>
      <c r="EM19" s="20">
        <f t="shared" si="19"/>
        <v>109.11127889310849</v>
      </c>
      <c r="EN19" s="59">
        <f t="shared" si="20"/>
        <v>402.44461222644179</v>
      </c>
      <c r="EO19" s="59">
        <f ca="1">AVERAGE(OFFSET($EN$3,0,0,'Données projet'!$E$15+1,1))-AVERAGE(OFFSET($H$3,0,0,'Données projet'!$E$15+1,1))</f>
        <v>168.08890945052406</v>
      </c>
      <c r="EP19" s="59">
        <f t="shared" si="46"/>
        <v>182.52462557642343</v>
      </c>
      <c r="EQ19" s="15">
        <f>IF(ISNA(VLOOKUP(A19,'Données projet'!$A$191:$I$211,3,0)),0,VLOOKUP(A19,'Données projet'!$A$191:$I$211,3,0))</f>
        <v>1</v>
      </c>
      <c r="ER19" s="15">
        <f>IF(ISNA(VLOOKUP(A19,'Données projet'!$A$191:$I$211,4,0)),0,VLOOKUP(A19,'Données projet'!$A$191:$I$211,4,0))</f>
        <v>15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0.22500000000000001</v>
      </c>
      <c r="EU19" s="16">
        <f>IF(ISNA(VLOOKUP(A19,'Données projet'!$A$191:$I$211,7,0)),0%,VLOOKUP(A19,'Données projet'!$A$191:$I$211,7,0))</f>
        <v>0.5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2.6667970095349296</v>
      </c>
      <c r="EX19" s="21">
        <f>EXP(-LN(2)/2)*EX18+(1-EXP(-LN(2)/2))/(LN(2)/2)*ER19*EU19*VLOOKUP('Données projet'!$B$15,Paramètres!$A$1:$I$89,3,0)*0.475*44/12</f>
        <v>5.0780618544061999</v>
      </c>
      <c r="EY19" s="22">
        <f t="shared" si="21"/>
        <v>7.7448588639411291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4.75</v>
      </c>
      <c r="FE19" s="12">
        <f>IF('Données projet'!$A$218&gt;35,FE18+FD19-FM18,IF(A19&lt;'Données projet'!$A$218,$FB$205^A19,IF(A19='Données projet'!$A$218,'Données projet'!$B$218,FE18+FD19-FM18)))</f>
        <v>38.21016246244956</v>
      </c>
      <c r="FF19" s="17">
        <f>FE19*VLOOKUP('Données projet'!$B$16,Paramètres!$A$1:$I$89,3,0)*VLOOKUP('Données projet'!$B$16,Paramètres!$A$1:$I$89,5,0)</f>
        <v>25.631376979811165</v>
      </c>
      <c r="FG19" s="13">
        <f t="shared" si="47"/>
        <v>8.0973507047371776</v>
      </c>
      <c r="FH19" s="20">
        <f t="shared" si="22"/>
        <v>58.744200717255033</v>
      </c>
      <c r="FI19" s="59">
        <f t="shared" si="23"/>
        <v>352.07753405058833</v>
      </c>
      <c r="FJ19" s="59">
        <f ca="1">AVERAGE(OFFSET($FI$3,0,0,'Données projet'!$E$16+1,1))-AVERAGE(OFFSET($H$3,0,0,'Données projet'!$E$16+1,1))</f>
        <v>156.63226020379989</v>
      </c>
      <c r="FK19" s="59">
        <f t="shared" si="48"/>
        <v>196.0481096619543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4.55</v>
      </c>
      <c r="FZ19" s="12">
        <f>IF('Données projet'!$A$244&gt;35,FZ18+FY19-GH18,IF(A19&lt;'Données projet'!$A$244,$FW$205^A19,IF(A19='Données projet'!$A$244,'Données projet'!$B$244,FZ18+FY19-GH18)))</f>
        <v>36.917570580704506</v>
      </c>
      <c r="GA19" s="17">
        <f>FZ19*VLOOKUP('Données projet'!$B$17,Paramètres!$A$1:$I$89,3,0)*VLOOKUP('Données projet'!$B$17,Paramètres!$A$1:$I$89,5,0)</f>
        <v>22.076707207261297</v>
      </c>
      <c r="GB19" s="13">
        <f t="shared" si="49"/>
        <v>7.0966340462853541</v>
      </c>
      <c r="GC19" s="20">
        <f t="shared" si="25"/>
        <v>50.810236016593741</v>
      </c>
      <c r="GD19" s="59">
        <f t="shared" si="26"/>
        <v>344.14356934992708</v>
      </c>
      <c r="GE19" s="59">
        <f ca="1">AVERAGE(OFFSET($GD$3,0,0,'Données projet'!$E$17+1,1))-AVERAGE(OFFSET($H$3,0,0,'Données projet'!$E$17+1,1))</f>
        <v>216.94426559495264</v>
      </c>
      <c r="GF19" s="59">
        <f t="shared" si="50"/>
        <v>225.33715877618704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2.1</v>
      </c>
      <c r="GU19" s="12">
        <f>IF('Données projet'!$A$270&gt;35,GU18+GT19-HC18,IF(A19&lt;'Données projet'!$A$270,$GR$205^A19,IF(A19='Données projet'!$A$270,'Données projet'!$B$270,GU18+GT19-HC18)))</f>
        <v>19.888381054913147</v>
      </c>
      <c r="GV19" s="17">
        <f>GU19*VLOOKUP('Données projet'!$B$18,Paramètres!$A$1:$I$89,3,0)*VLOOKUP('Données projet'!$B$18,Paramètres!$A$1:$I$89,5,0)</f>
        <v>19.236042156311996</v>
      </c>
      <c r="GW19" s="13">
        <f t="shared" si="51"/>
        <v>6.2834290449348904</v>
      </c>
      <c r="GX19" s="20">
        <f t="shared" si="28"/>
        <v>44.446412342171662</v>
      </c>
      <c r="GY19" s="59">
        <f t="shared" si="29"/>
        <v>337.77974567550496</v>
      </c>
      <c r="GZ19" s="59">
        <f ca="1">AVERAGE(OFFSET($GY$3,0,0,'Données projet'!$E$18+1,1))-AVERAGE(OFFSET($H$3,0,0,'Données projet'!$E$18+1,1))</f>
        <v>261.22357949323879</v>
      </c>
      <c r="HA19" s="59">
        <f t="shared" si="52"/>
        <v>163.41029152029387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237.22177246688199</v>
      </c>
      <c r="T20" s="59">
        <f t="shared" si="34"/>
        <v>149.27472147904302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9.6</v>
      </c>
      <c r="AI20" s="13">
        <f>IF('Données projet'!$A$62&gt;35,AI19+AH20-AQ19,IF(A20&lt;'Données projet'!$A$62,$AF$205^A20,IF(A20='Données projet'!$A$62,'Données projet'!$B$62,AI19+AH20-AQ19)))</f>
        <v>79.199999999999989</v>
      </c>
      <c r="AJ20" s="13">
        <f>AI20*VLOOKUP('Données projet'!$B$10,Paramètres!$A$1:$I$89,3,0)*VLOOKUP('Données projet'!$B$10,Paramètres!$A$1:$I$89,5,0)</f>
        <v>69.189120000000003</v>
      </c>
      <c r="AK20" s="13">
        <f t="shared" si="35"/>
        <v>19.471951138068807</v>
      </c>
      <c r="AL20" s="20">
        <f t="shared" si="4"/>
        <v>154.41803223213648</v>
      </c>
      <c r="AM20" s="59">
        <f t="shared" si="5"/>
        <v>447.75136556546977</v>
      </c>
      <c r="AN20" s="59">
        <f ca="1">AVERAGE(OFFSET($AM$3,0,0,'Données projet'!$E$10+1,1))-AVERAGE(OFFSET($H$3,0,0,'Données projet'!$E$10+1,1))</f>
        <v>210.07838338464626</v>
      </c>
      <c r="AO20" s="59">
        <f t="shared" si="36"/>
        <v>241.76003724236273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5.9</v>
      </c>
      <c r="BD20" s="12">
        <f>IF('Données projet'!$A$88&gt;35,BD19+BC20-BL19,IF(A20&lt;'Données projet'!$A$88,$BA$205^A20,IF(A20='Données projet'!$A$88,'Données projet'!$B$88,BD19+BC20-BL19)))</f>
        <v>57.68988938108977</v>
      </c>
      <c r="BE20" s="13">
        <f>BD20*VLOOKUP('Données projet'!$B$11,Paramètres!$A$1:$I$89,3,0)*VLOOKUP('Données projet'!$B$11,Paramètres!$A$1:$I$89,5,0)</f>
        <v>35.998490973800017</v>
      </c>
      <c r="BF20" s="13">
        <f t="shared" si="37"/>
        <v>10.931628613122477</v>
      </c>
      <c r="BG20" s="20">
        <f t="shared" si="7"/>
        <v>81.736624947223348</v>
      </c>
      <c r="BH20" s="59">
        <f t="shared" si="8"/>
        <v>375.06995828055665</v>
      </c>
      <c r="BI20" s="59">
        <f ca="1">AVERAGE(OFFSET($BH$3,0,0,'Données projet'!$E$11+1,1))-AVERAGE(OFFSET($H$3,0,0,'Données projet'!$E$11+1,1))</f>
        <v>209.93608079129638</v>
      </c>
      <c r="BJ20" s="59">
        <f t="shared" si="38"/>
        <v>240.15652428700969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215.23235148064941</v>
      </c>
      <c r="CE20" s="59">
        <f t="shared" si="40"/>
        <v>184.07239726900434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24.31083366209619</v>
      </c>
      <c r="CV20" s="13">
        <f t="shared" si="41"/>
        <v>7.7276032052466093</v>
      </c>
      <c r="CW20" s="20">
        <f t="shared" si="13"/>
        <v>55.800277543955367</v>
      </c>
      <c r="CX20" s="59">
        <f t="shared" si="14"/>
        <v>349.13361087728867</v>
      </c>
      <c r="CY20" s="59">
        <f ca="1">AVERAGE(OFFSET($CX$3,0,0,'Données projet'!$E$13+1,1))-AVERAGE(OFFSET($H$3,0,0,'Données projet'!$E$13+1,1))</f>
        <v>279.20364724206644</v>
      </c>
      <c r="CZ20" s="59">
        <f t="shared" si="42"/>
        <v>173.99850582760712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25.058859313237608</v>
      </c>
      <c r="DQ20" s="13">
        <f t="shared" si="43"/>
        <v>7.9373269097018113</v>
      </c>
      <c r="DR20" s="20">
        <f t="shared" si="16"/>
        <v>57.468357671619486</v>
      </c>
      <c r="DS20" s="59">
        <f t="shared" si="17"/>
        <v>350.80169100495277</v>
      </c>
      <c r="DT20" s="59">
        <f ca="1">AVERAGE(OFFSET($DS$3,0,0,'Données projet'!$E$14+1,1))-AVERAGE(OFFSET($H$3,0,0,'Données projet'!$E$14+1,1))</f>
        <v>291.18074901939718</v>
      </c>
      <c r="DU20" s="59">
        <f t="shared" si="44"/>
        <v>181.05123751753774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13.25</v>
      </c>
      <c r="EJ20" s="12">
        <f>IF('Données projet'!$A$192&gt;35,EJ19+EI20-ER19,IF(A20&lt;'Données projet'!$A$192,$EG$205^A20,IF(A20='Données projet'!$A$192,'Données projet'!$B$192,EJ19+EI20-ER19)))</f>
        <v>79.25</v>
      </c>
      <c r="EK20" s="17">
        <f>EJ20*VLOOKUP('Données projet'!$B$15,Paramètres!$A$1:$I$89,3,0)*VLOOKUP('Données projet'!$B$15,Paramètres!$A$1:$I$89,5,0)</f>
        <v>47.391500000000001</v>
      </c>
      <c r="EL20" s="13">
        <f t="shared" si="45"/>
        <v>13.938016900926096</v>
      </c>
      <c r="EM20" s="20">
        <f t="shared" si="19"/>
        <v>106.81557526911295</v>
      </c>
      <c r="EN20" s="59">
        <f t="shared" si="20"/>
        <v>400.14890860244628</v>
      </c>
      <c r="EO20" s="59">
        <f ca="1">AVERAGE(OFFSET($EN$3,0,0,'Données projet'!$E$15+1,1))-AVERAGE(OFFSET($H$3,0,0,'Données projet'!$E$15+1,1))</f>
        <v>168.08890945052406</v>
      </c>
      <c r="EP20" s="59">
        <f t="shared" si="46"/>
        <v>182.52462557642343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2.5938733050684371</v>
      </c>
      <c r="EX20" s="21">
        <f>EXP(-LN(2)/2)*EX19+(1-EXP(-LN(2)/2))/(LN(2)/2)*ER20*EU20*VLOOKUP('Données projet'!$B$15,Paramètres!$A$1:$I$89,3,0)*0.475*44/12</f>
        <v>3.5907319725353588</v>
      </c>
      <c r="EY20" s="22">
        <f t="shared" si="21"/>
        <v>6.1846052776037954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4.75</v>
      </c>
      <c r="FE20" s="12">
        <f>IF('Données projet'!$A$218&gt;35,FE19+FD20-FM19,IF(A20&lt;'Données projet'!$A$218,$FB$205^A20,IF(A20='Données projet'!$A$218,'Données projet'!$B$218,FE19+FD20-FM19)))</f>
        <v>47.980532602494719</v>
      </c>
      <c r="FF20" s="17">
        <f>FE20*VLOOKUP('Données projet'!$B$16,Paramètres!$A$1:$I$89,3,0)*VLOOKUP('Données projet'!$B$16,Paramètres!$A$1:$I$89,5,0)</f>
        <v>32.185341269753458</v>
      </c>
      <c r="FG20" s="13">
        <f t="shared" si="47"/>
        <v>9.901905523692653</v>
      </c>
      <c r="FH20" s="20">
        <f t="shared" si="22"/>
        <v>73.30195483191865</v>
      </c>
      <c r="FI20" s="59">
        <f t="shared" si="23"/>
        <v>366.63528816525195</v>
      </c>
      <c r="FJ20" s="59">
        <f ca="1">AVERAGE(OFFSET($FI$3,0,0,'Données projet'!$E$16+1,1))-AVERAGE(OFFSET($H$3,0,0,'Données projet'!$E$16+1,1))</f>
        <v>156.63226020379989</v>
      </c>
      <c r="FK20" s="59">
        <f t="shared" si="48"/>
        <v>196.0481096619543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4.55</v>
      </c>
      <c r="FZ20" s="12">
        <f>IF('Données projet'!$A$244&gt;35,FZ19+FY20-GH19,IF(A20&lt;'Données projet'!$A$244,$FW$205^A20,IF(A20='Données projet'!$A$244,'Données projet'!$B$244,FZ19+FY20-GH19)))</f>
        <v>46.257822303288052</v>
      </c>
      <c r="GA20" s="17">
        <f>FZ20*VLOOKUP('Données projet'!$B$17,Paramètres!$A$1:$I$89,3,0)*VLOOKUP('Données projet'!$B$17,Paramètres!$A$1:$I$89,5,0)</f>
        <v>27.66217773736626</v>
      </c>
      <c r="GB20" s="13">
        <f t="shared" si="49"/>
        <v>8.6616944434151719</v>
      </c>
      <c r="GC20" s="20">
        <f t="shared" si="25"/>
        <v>63.264077381527663</v>
      </c>
      <c r="GD20" s="59">
        <f t="shared" si="26"/>
        <v>356.59741071486098</v>
      </c>
      <c r="GE20" s="59">
        <f ca="1">AVERAGE(OFFSET($GD$3,0,0,'Données projet'!$E$17+1,1))-AVERAGE(OFFSET($H$3,0,0,'Données projet'!$E$17+1,1))</f>
        <v>216.94426559495264</v>
      </c>
      <c r="GF20" s="59">
        <f t="shared" si="50"/>
        <v>225.33715877618704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2.1</v>
      </c>
      <c r="GU20" s="12">
        <f>IF('Données projet'!$A$270&gt;35,GU19+GT20-HC19,IF(A20&lt;'Données projet'!$A$270,$GR$205^A20,IF(A20='Données projet'!$A$270,'Données projet'!$B$270,GU19+GT20-HC19)))</f>
        <v>23.975181126327602</v>
      </c>
      <c r="GV20" s="17">
        <f>GU20*VLOOKUP('Données projet'!$B$18,Paramètres!$A$1:$I$89,3,0)*VLOOKUP('Données projet'!$B$18,Paramètres!$A$1:$I$89,5,0)</f>
        <v>23.188795185384055</v>
      </c>
      <c r="GW20" s="13">
        <f t="shared" si="51"/>
        <v>7.4115982288884323</v>
      </c>
      <c r="GX20" s="20">
        <f t="shared" si="28"/>
        <v>53.29568519652458</v>
      </c>
      <c r="GY20" s="59">
        <f t="shared" si="29"/>
        <v>346.62901852985789</v>
      </c>
      <c r="GZ20" s="59">
        <f ca="1">AVERAGE(OFFSET($GY$3,0,0,'Données projet'!$E$18+1,1))-AVERAGE(OFFSET($H$3,0,0,'Données projet'!$E$18+1,1))</f>
        <v>261.22357949323879</v>
      </c>
      <c r="HA20" s="59">
        <f t="shared" si="52"/>
        <v>163.41029152029387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237.22177246688199</v>
      </c>
      <c r="T21" s="59">
        <f t="shared" si="34"/>
        <v>149.27472147904302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9.6</v>
      </c>
      <c r="AI21" s="13">
        <f>IF('Données projet'!$A$62&gt;35,AI20+AH21-AQ20,IF(A21&lt;'Données projet'!$A$62,$AF$205^A21,IF(A21='Données projet'!$A$62,'Données projet'!$B$62,AI20+AH21-AQ20)))</f>
        <v>88.799999999999983</v>
      </c>
      <c r="AJ21" s="13">
        <f>AI21*VLOOKUP('Données projet'!$B$10,Paramètres!$A$1:$I$89,3,0)*VLOOKUP('Données projet'!$B$10,Paramètres!$A$1:$I$89,5,0)</f>
        <v>77.575679999999991</v>
      </c>
      <c r="AK21" s="13">
        <f t="shared" si="35"/>
        <v>21.543367858551072</v>
      </c>
      <c r="AL21" s="20">
        <f t="shared" si="4"/>
        <v>172.63234168697639</v>
      </c>
      <c r="AM21" s="59">
        <f t="shared" si="5"/>
        <v>465.96567502030973</v>
      </c>
      <c r="AN21" s="59">
        <f ca="1">AVERAGE(OFFSET($AM$3,0,0,'Données projet'!$E$10+1,1))-AVERAGE(OFFSET($H$3,0,0,'Données projet'!$E$10+1,1))</f>
        <v>210.07838338464626</v>
      </c>
      <c r="AO21" s="59">
        <f t="shared" si="36"/>
        <v>241.76003724236273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5.9</v>
      </c>
      <c r="BD21" s="12">
        <f>IF('Données projet'!$A$88&gt;35,BD20+BC21-BL20,IF(A21&lt;'Données projet'!$A$88,$BA$205^A21,IF(A21='Données projet'!$A$88,'Données projet'!$B$88,BD20+BC21-BL20)))</f>
        <v>73.23080472494604</v>
      </c>
      <c r="BE21" s="13">
        <f>BD21*VLOOKUP('Données projet'!$B$11,Paramètres!$A$1:$I$89,3,0)*VLOOKUP('Données projet'!$B$11,Paramètres!$A$1:$I$89,5,0)</f>
        <v>45.696022148366332</v>
      </c>
      <c r="BF21" s="13">
        <f t="shared" si="37"/>
        <v>13.496483118197693</v>
      </c>
      <c r="BG21" s="20">
        <f t="shared" si="7"/>
        <v>103.09361333926567</v>
      </c>
      <c r="BH21" s="59">
        <f t="shared" si="8"/>
        <v>396.426946672599</v>
      </c>
      <c r="BI21" s="59">
        <f ca="1">AVERAGE(OFFSET($BH$3,0,0,'Données projet'!$E$11+1,1))-AVERAGE(OFFSET($H$3,0,0,'Données projet'!$E$11+1,1))</f>
        <v>209.93608079129638</v>
      </c>
      <c r="BJ21" s="59">
        <f t="shared" si="38"/>
        <v>240.15652428700969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215.23235148064941</v>
      </c>
      <c r="CE21" s="59">
        <f t="shared" si="40"/>
        <v>184.07239726900434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29.306389432677911</v>
      </c>
      <c r="CV21" s="13">
        <f t="shared" si="41"/>
        <v>9.1150691477493808</v>
      </c>
      <c r="CW21" s="20">
        <f t="shared" si="13"/>
        <v>66.917373694244205</v>
      </c>
      <c r="CX21" s="59">
        <f t="shared" si="14"/>
        <v>360.2507070275775</v>
      </c>
      <c r="CY21" s="59">
        <f ca="1">AVERAGE(OFFSET($CX$3,0,0,'Données projet'!$E$13+1,1))-AVERAGE(OFFSET($H$3,0,0,'Données projet'!$E$13+1,1))</f>
        <v>279.20364724206644</v>
      </c>
      <c r="CZ21" s="59">
        <f t="shared" si="42"/>
        <v>173.99850582760712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30.208124492144925</v>
      </c>
      <c r="DQ21" s="13">
        <f t="shared" si="43"/>
        <v>9.3624480590699601</v>
      </c>
      <c r="DR21" s="20">
        <f t="shared" si="16"/>
        <v>68.918747193365917</v>
      </c>
      <c r="DS21" s="59">
        <f t="shared" si="17"/>
        <v>362.25208052669922</v>
      </c>
      <c r="DT21" s="59">
        <f ca="1">AVERAGE(OFFSET($DS$3,0,0,'Données projet'!$E$14+1,1))-AVERAGE(OFFSET($H$3,0,0,'Données projet'!$E$14+1,1))</f>
        <v>291.18074901939718</v>
      </c>
      <c r="DU21" s="59">
        <f t="shared" si="44"/>
        <v>181.05123751753774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13.25</v>
      </c>
      <c r="EJ21" s="12">
        <f>IF('Données projet'!$A$192&gt;35,EJ20+EI21-ER20,IF(A21&lt;'Données projet'!$A$192,$EG$205^A21,IF(A21='Données projet'!$A$192,'Données projet'!$B$192,EJ20+EI21-ER20)))</f>
        <v>92.5</v>
      </c>
      <c r="EK21" s="17">
        <f>EJ21*VLOOKUP('Données projet'!$B$15,Paramètres!$A$1:$I$89,3,0)*VLOOKUP('Données projet'!$B$15,Paramètres!$A$1:$I$89,5,0)</f>
        <v>55.315000000000005</v>
      </c>
      <c r="EL21" s="13">
        <f t="shared" si="45"/>
        <v>15.978207841877614</v>
      </c>
      <c r="EM21" s="20">
        <f t="shared" si="19"/>
        <v>124.16900365793684</v>
      </c>
      <c r="EN21" s="59">
        <f t="shared" si="20"/>
        <v>417.50233699127017</v>
      </c>
      <c r="EO21" s="59">
        <f ca="1">AVERAGE(OFFSET($EN$3,0,0,'Données projet'!$E$15+1,1))-AVERAGE(OFFSET($H$3,0,0,'Données projet'!$E$15+1,1))</f>
        <v>168.08890945052406</v>
      </c>
      <c r="EP21" s="59">
        <f t="shared" si="46"/>
        <v>182.52462557642343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2.5229437031354718</v>
      </c>
      <c r="EX21" s="21">
        <f>EXP(-LN(2)/2)*EX20+(1-EXP(-LN(2)/2))/(LN(2)/2)*ER21*EU21*VLOOKUP('Données projet'!$B$15,Paramètres!$A$1:$I$89,3,0)*0.475*44/12</f>
        <v>2.5390309272031004</v>
      </c>
      <c r="EY21" s="22">
        <f t="shared" si="21"/>
        <v>5.0619746303385718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4.75</v>
      </c>
      <c r="FE21" s="12">
        <f>IF('Données projet'!$A$218&gt;35,FE20+FD21-FM20,IF(A21&lt;'Données projet'!$A$218,$FB$205^A21,IF(A21='Données projet'!$A$218,'Données projet'!$B$218,FE20+FD21-FM20)))</f>
        <v>60.249194467085609</v>
      </c>
      <c r="FF21" s="17">
        <f>FE21*VLOOKUP('Données projet'!$B$16,Paramètres!$A$1:$I$89,3,0)*VLOOKUP('Données projet'!$B$16,Paramètres!$A$1:$I$89,5,0)</f>
        <v>40.415159648521026</v>
      </c>
      <c r="FG21" s="13">
        <f t="shared" si="47"/>
        <v>12.108618803280235</v>
      </c>
      <c r="FH21" s="20">
        <f t="shared" si="22"/>
        <v>91.478914136887184</v>
      </c>
      <c r="FI21" s="59">
        <f t="shared" si="23"/>
        <v>384.81224747022048</v>
      </c>
      <c r="FJ21" s="59">
        <f ca="1">AVERAGE(OFFSET($FI$3,0,0,'Données projet'!$E$16+1,1))-AVERAGE(OFFSET($H$3,0,0,'Données projet'!$E$16+1,1))</f>
        <v>156.63226020379989</v>
      </c>
      <c r="FK21" s="59">
        <f t="shared" si="48"/>
        <v>196.0481096619543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4.55</v>
      </c>
      <c r="FZ21" s="12">
        <f>IF('Données projet'!$A$244&gt;35,FZ20+FY21-GH20,IF(A21&lt;'Données projet'!$A$244,$FW$205^A21,IF(A21='Données projet'!$A$244,'Données projet'!$B$244,FZ20+FY21-GH20)))</f>
        <v>57.961184622505009</v>
      </c>
      <c r="GA21" s="17">
        <f>FZ21*VLOOKUP('Données projet'!$B$17,Paramètres!$A$1:$I$89,3,0)*VLOOKUP('Données projet'!$B$17,Paramètres!$A$1:$I$89,5,0)</f>
        <v>34.660788404258</v>
      </c>
      <c r="GB21" s="13">
        <f t="shared" si="49"/>
        <v>10.571906363180744</v>
      </c>
      <c r="GC21" s="20">
        <f t="shared" si="25"/>
        <v>78.780276719955808</v>
      </c>
      <c r="GD21" s="59">
        <f t="shared" si="26"/>
        <v>372.11361005328911</v>
      </c>
      <c r="GE21" s="59">
        <f ca="1">AVERAGE(OFFSET($GD$3,0,0,'Données projet'!$E$17+1,1))-AVERAGE(OFFSET($H$3,0,0,'Données projet'!$E$17+1,1))</f>
        <v>216.94426559495264</v>
      </c>
      <c r="GF21" s="59">
        <f t="shared" si="50"/>
        <v>225.33715877618704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2.1</v>
      </c>
      <c r="GU21" s="12">
        <f>IF('Données projet'!$A$270&gt;35,GU20+GT21-HC20,IF(A21&lt;'Données projet'!$A$270,$GR$205^A21,IF(A21='Données projet'!$A$270,'Données projet'!$B$270,GU20+GT21-HC20)))</f>
        <v>28.901764726506816</v>
      </c>
      <c r="GV21" s="17">
        <f>GU21*VLOOKUP('Données projet'!$B$18,Paramètres!$A$1:$I$89,3,0)*VLOOKUP('Données projet'!$B$18,Paramètres!$A$1:$I$89,5,0)</f>
        <v>27.953786843477392</v>
      </c>
      <c r="GW21" s="13">
        <f t="shared" si="51"/>
        <v>8.7423265089215931</v>
      </c>
      <c r="GX21" s="20">
        <f t="shared" si="28"/>
        <v>63.912397422094891</v>
      </c>
      <c r="GY21" s="59">
        <f t="shared" si="29"/>
        <v>357.24573075542821</v>
      </c>
      <c r="GZ21" s="59">
        <f ca="1">AVERAGE(OFFSET($GY$3,0,0,'Données projet'!$E$18+1,1))-AVERAGE(OFFSET($H$3,0,0,'Données projet'!$E$18+1,1))</f>
        <v>261.22357949323879</v>
      </c>
      <c r="HA21" s="59">
        <f t="shared" si="52"/>
        <v>163.41029152029387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237.22177246688199</v>
      </c>
      <c r="T22" s="59">
        <f t="shared" si="34"/>
        <v>149.27472147904302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9.6</v>
      </c>
      <c r="AI22" s="13">
        <f>IF('Données projet'!$A$62&gt;35,AI21+AH22-AQ21,IF(A22&lt;'Données projet'!$A$62,$AF$205^A22,IF(A22='Données projet'!$A$62,'Données projet'!$B$62,AI21+AH22-AQ21)))</f>
        <v>98.399999999999977</v>
      </c>
      <c r="AJ22" s="13">
        <f>AI22*VLOOKUP('Données projet'!$B$10,Paramètres!$A$1:$I$89,3,0)*VLOOKUP('Données projet'!$B$10,Paramètres!$A$1:$I$89,5,0)</f>
        <v>85.962239999999994</v>
      </c>
      <c r="AK22" s="13">
        <f t="shared" si="35"/>
        <v>23.588828321049387</v>
      </c>
      <c r="AL22" s="20">
        <f t="shared" si="4"/>
        <v>190.80144399249434</v>
      </c>
      <c r="AM22" s="59">
        <f t="shared" si="5"/>
        <v>484.13477732582766</v>
      </c>
      <c r="AN22" s="59">
        <f ca="1">AVERAGE(OFFSET($AM$3,0,0,'Données projet'!$E$10+1,1))-AVERAGE(OFFSET($H$3,0,0,'Données projet'!$E$10+1,1))</f>
        <v>210.07838338464626</v>
      </c>
      <c r="AO22" s="59">
        <f t="shared" si="36"/>
        <v>241.76003724236273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5.9</v>
      </c>
      <c r="BD22" s="12">
        <f>IF('Données projet'!$A$88&gt;35,BD21+BC22-BL21,IF(A22&lt;'Données projet'!$A$88,$BA$205^A22,IF(A22='Données projet'!$A$88,'Données projet'!$B$88,BD21+BC22-BL21)))</f>
        <v>92.958243085503995</v>
      </c>
      <c r="BE22" s="13">
        <f>BD22*VLOOKUP('Données projet'!$B$11,Paramètres!$A$1:$I$89,3,0)*VLOOKUP('Données projet'!$B$11,Paramètres!$A$1:$I$89,5,0)</f>
        <v>58.005943685354488</v>
      </c>
      <c r="BF22" s="13">
        <f t="shared" si="37"/>
        <v>16.663121571943435</v>
      </c>
      <c r="BG22" s="20">
        <f t="shared" si="7"/>
        <v>130.04862198979387</v>
      </c>
      <c r="BH22" s="59">
        <f t="shared" si="8"/>
        <v>423.38195532312716</v>
      </c>
      <c r="BI22" s="59">
        <f ca="1">AVERAGE(OFFSET($BH$3,0,0,'Données projet'!$E$11+1,1))-AVERAGE(OFFSET($H$3,0,0,'Données projet'!$E$11+1,1))</f>
        <v>209.93608079129638</v>
      </c>
      <c r="BJ22" s="59">
        <f t="shared" si="38"/>
        <v>240.15652428700969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215.23235148064941</v>
      </c>
      <c r="CE22" s="59">
        <f t="shared" si="40"/>
        <v>184.07239726900434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35.328466045936516</v>
      </c>
      <c r="CV22" s="13">
        <f t="shared" si="41"/>
        <v>10.751650073316766</v>
      </c>
      <c r="CW22" s="20">
        <f t="shared" si="13"/>
        <v>80.256202241032796</v>
      </c>
      <c r="CX22" s="59">
        <f t="shared" si="14"/>
        <v>373.5895355743661</v>
      </c>
      <c r="CY22" s="59">
        <f ca="1">AVERAGE(OFFSET($CX$3,0,0,'Données projet'!$E$13+1,1))-AVERAGE(OFFSET($H$3,0,0,'Données projet'!$E$13+1,1))</f>
        <v>279.20364724206644</v>
      </c>
      <c r="CZ22" s="59">
        <f t="shared" si="42"/>
        <v>173.99850582760712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36.415495770426872</v>
      </c>
      <c r="DQ22" s="13">
        <f t="shared" si="43"/>
        <v>11.043445061037035</v>
      </c>
      <c r="DR22" s="20">
        <f t="shared" si="16"/>
        <v>82.65765528146629</v>
      </c>
      <c r="DS22" s="59">
        <f t="shared" si="17"/>
        <v>375.99098861479962</v>
      </c>
      <c r="DT22" s="59">
        <f ca="1">AVERAGE(OFFSET($DS$3,0,0,'Données projet'!$E$14+1,1))-AVERAGE(OFFSET($H$3,0,0,'Données projet'!$E$14+1,1))</f>
        <v>291.18074901939718</v>
      </c>
      <c r="DU22" s="59">
        <f t="shared" si="44"/>
        <v>181.05123751753774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13.25</v>
      </c>
      <c r="EJ22" s="12">
        <f>IF('Données projet'!$A$192&gt;35,EJ21+EI22-ER21,IF(A22&lt;'Données projet'!$A$192,$EG$205^A22,IF(A22='Données projet'!$A$192,'Données projet'!$B$192,EJ21+EI22-ER21)))</f>
        <v>105.75</v>
      </c>
      <c r="EK22" s="17">
        <f>EJ22*VLOOKUP('Données projet'!$B$15,Paramètres!$A$1:$I$89,3,0)*VLOOKUP('Données projet'!$B$15,Paramètres!$A$1:$I$89,5,0)</f>
        <v>63.238500000000009</v>
      </c>
      <c r="EL22" s="13">
        <f t="shared" si="45"/>
        <v>17.984541540394584</v>
      </c>
      <c r="EM22" s="20">
        <f t="shared" si="19"/>
        <v>141.46346401618726</v>
      </c>
      <c r="EN22" s="59">
        <f t="shared" si="20"/>
        <v>434.7967973495206</v>
      </c>
      <c r="EO22" s="59">
        <f ca="1">AVERAGE(OFFSET($EN$3,0,0,'Données projet'!$E$15+1,1))-AVERAGE(OFFSET($H$3,0,0,'Données projet'!$E$15+1,1))</f>
        <v>168.08890945052406</v>
      </c>
      <c r="EP22" s="59">
        <f t="shared" si="46"/>
        <v>182.52462557642343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2.4539536748973894</v>
      </c>
      <c r="EX22" s="21">
        <f>EXP(-LN(2)/2)*EX21+(1-EXP(-LN(2)/2))/(LN(2)/2)*ER22*EU22*VLOOKUP('Données projet'!$B$15,Paramètres!$A$1:$I$89,3,0)*0.475*44/12</f>
        <v>1.7953659862676796</v>
      </c>
      <c r="EY22" s="22">
        <f t="shared" si="21"/>
        <v>4.2493196611650692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4.75</v>
      </c>
      <c r="FE22" s="12">
        <f>IF('Données projet'!$A$218&gt;35,FE21+FD22-FM21,IF(A22&lt;'Données projet'!$A$218,$FB$205^A22,IF(A22='Données projet'!$A$218,'Données projet'!$B$218,FE21+FD22-FM21)))</f>
        <v>75.65496331618381</v>
      </c>
      <c r="FF22" s="17">
        <f>FE22*VLOOKUP('Données projet'!$B$16,Paramètres!$A$1:$I$89,3,0)*VLOOKUP('Données projet'!$B$16,Paramètres!$A$1:$I$89,5,0)</f>
        <v>50.7493493924961</v>
      </c>
      <c r="FG22" s="13">
        <f t="shared" si="47"/>
        <v>14.807114547026517</v>
      </c>
      <c r="FH22" s="20">
        <f t="shared" si="22"/>
        <v>114.17750802800187</v>
      </c>
      <c r="FI22" s="59">
        <f t="shared" si="23"/>
        <v>407.51084136133517</v>
      </c>
      <c r="FJ22" s="59">
        <f ca="1">AVERAGE(OFFSET($FI$3,0,0,'Données projet'!$E$16+1,1))-AVERAGE(OFFSET($H$3,0,0,'Données projet'!$E$16+1,1))</f>
        <v>156.63226020379989</v>
      </c>
      <c r="FK22" s="59">
        <f t="shared" si="48"/>
        <v>196.0481096619543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4.55</v>
      </c>
      <c r="FZ22" s="12">
        <f>IF('Données projet'!$A$244&gt;35,FZ21+FY22-GH21,IF(A22&lt;'Données projet'!$A$244,$FW$205^A22,IF(A22='Données projet'!$A$244,'Données projet'!$B$244,FZ21+FY22-GH21)))</f>
        <v>72.625531327818578</v>
      </c>
      <c r="GA22" s="17">
        <f>FZ22*VLOOKUP('Données projet'!$B$17,Paramètres!$A$1:$I$89,3,0)*VLOOKUP('Données projet'!$B$17,Paramètres!$A$1:$I$89,5,0)</f>
        <v>43.430067734035511</v>
      </c>
      <c r="GB22" s="13">
        <f t="shared" si="49"/>
        <v>12.903388001273598</v>
      </c>
      <c r="GC22" s="20">
        <f t="shared" si="25"/>
        <v>98.114102072330027</v>
      </c>
      <c r="GD22" s="59">
        <f t="shared" si="26"/>
        <v>391.44743540566333</v>
      </c>
      <c r="GE22" s="59">
        <f ca="1">AVERAGE(OFFSET($GD$3,0,0,'Données projet'!$E$17+1,1))-AVERAGE(OFFSET($H$3,0,0,'Données projet'!$E$17+1,1))</f>
        <v>216.94426559495264</v>
      </c>
      <c r="GF22" s="59">
        <f t="shared" si="50"/>
        <v>225.33715877618704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2.1</v>
      </c>
      <c r="GU22" s="12">
        <f>IF('Données projet'!$A$270&gt;35,GU21+GT22-HC21,IF(A22&lt;'Données projet'!$A$270,$GR$205^A22,IF(A22='Données projet'!$A$270,'Données projet'!$B$270,GU21+GT22-HC21)))</f>
        <v>34.840696297767764</v>
      </c>
      <c r="GV22" s="17">
        <f>GU22*VLOOKUP('Données projet'!$B$18,Paramètres!$A$1:$I$89,3,0)*VLOOKUP('Données projet'!$B$18,Paramètres!$A$1:$I$89,5,0)</f>
        <v>33.697921459200977</v>
      </c>
      <c r="GW22" s="13">
        <f t="shared" si="51"/>
        <v>10.31198270984201</v>
      </c>
      <c r="GX22" s="20">
        <f t="shared" si="28"/>
        <v>76.650583094416518</v>
      </c>
      <c r="GY22" s="59">
        <f t="shared" si="29"/>
        <v>369.98391642774982</v>
      </c>
      <c r="GZ22" s="59">
        <f ca="1">AVERAGE(OFFSET($GY$3,0,0,'Données projet'!$E$18+1,1))-AVERAGE(OFFSET($H$3,0,0,'Données projet'!$E$18+1,1))</f>
        <v>261.22357949323879</v>
      </c>
      <c r="HA22" s="59">
        <f t="shared" si="52"/>
        <v>163.41029152029387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237.22177246688199</v>
      </c>
      <c r="T23" s="59">
        <f t="shared" si="34"/>
        <v>149.27472147904302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108</v>
      </c>
      <c r="AG23" s="12">
        <f>VLOOKUP(A23,'Données projet'!$A$61:$I$81,9,0)</f>
        <v>9.6</v>
      </c>
      <c r="AH23" s="12">
        <f t="array" ref="AH23">INDEX(AG:AG,MIN(IF(ISNUMBER(AG23:AG219),ROW(AG23:AG219),"")))</f>
        <v>9.6</v>
      </c>
      <c r="AI23" s="13">
        <f>IF('Données projet'!$A$62&gt;35,AI22+AH23-AQ22,IF(A23&lt;'Données projet'!$A$62,$AF$205^A23,IF(A23='Données projet'!$A$62,'Données projet'!$B$62,AI22+AH23-AQ22)))</f>
        <v>107.99999999999997</v>
      </c>
      <c r="AJ23" s="13">
        <f>AI23*VLOOKUP('Données projet'!$B$10,Paramètres!$A$1:$I$89,3,0)*VLOOKUP('Données projet'!$B$10,Paramètres!$A$1:$I$89,5,0)</f>
        <v>94.348799999999983</v>
      </c>
      <c r="AK23" s="13">
        <f t="shared" si="35"/>
        <v>25.611153022386461</v>
      </c>
      <c r="AL23" s="20">
        <f t="shared" si="4"/>
        <v>208.9302515139897</v>
      </c>
      <c r="AM23" s="59">
        <f t="shared" si="5"/>
        <v>502.26358484732305</v>
      </c>
      <c r="AN23" s="59">
        <f ca="1">AVERAGE(OFFSET($AM$3,0,0,'Données projet'!$E$10+1,1))-AVERAGE(OFFSET($H$3,0,0,'Données projet'!$E$10+1,1))</f>
        <v>210.07838338464626</v>
      </c>
      <c r="AO23" s="59">
        <f t="shared" si="36"/>
        <v>241.76003724236273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41</v>
      </c>
      <c r="AR23" s="16">
        <f>IF(ISNA(VLOOKUP(A23,'Données projet'!$A$61:$I$81,5,0)),0%,VLOOKUP(A23,'Données projet'!$A$61:$I$81,5,0)*VLOOKUP('Données projet'!$B$10,Paramètres!$A$1:$I$89,7,0))</f>
        <v>4.3000000000000003E-2</v>
      </c>
      <c r="AS23" s="16">
        <f>IF(ISNA(VLOOKUP(A23,'Données projet'!$A$61:$I$81,6,0)),0%,VLOOKUP(A23,'Données projet'!$A$61:$I$81,6,0)*VLOOKUP('Données projet'!$B$10,Paramètres!$A$1:$I$89,7,0))</f>
        <v>0.19350000000000001</v>
      </c>
      <c r="AT23" s="16">
        <f>IF(ISNA(VLOOKUP(A23,'Données projet'!$A$61:$I$81,7,0)),0%,VLOOKUP(A23,'Données projet'!$A$61:$I$81,7,0))</f>
        <v>0.45</v>
      </c>
      <c r="AU23" s="21">
        <f>EXP(-LN(2)/35)*AU22+(1-EXP(-LN(2)/35))/(LN(2)/35)*AQ23*AR23*VLOOKUP('Données projet'!$B$10,Paramètres!$A$1:$I$89,3,0)*0.475*44/12</f>
        <v>1.7025977222362545</v>
      </c>
      <c r="AV23" s="21">
        <f>EXP(-LN(2)/25)*AV22+(1-EXP(-LN(2)/25))/(LN(2)/25)*Calculateur!AQ23*Calculateur!AS23*VLOOKUP('Données projet'!$B$10,Paramètres!$A$1:$I$89,3,0)*0.475*44/12</f>
        <v>7.63152275818448</v>
      </c>
      <c r="AW23" s="21">
        <f>EXP(-LN(2)/2)*AW22+(1-EXP(-LN(2)/2))/(LN(2)/2)*AQ23*AT23*VLOOKUP('Données projet'!$B$10,Paramètres!$A$1:$I$89,3,0)*0.475*44/12</f>
        <v>15.20769132745648</v>
      </c>
      <c r="AX23" s="21">
        <f t="shared" si="6"/>
        <v>24.541811807877217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118</v>
      </c>
      <c r="BB23" s="12">
        <f>VLOOKUP(A23,'Données projet'!$A$87:$I$107,9,0)</f>
        <v>5.9</v>
      </c>
      <c r="BC23" s="12">
        <f t="array" ref="BC23">INDEX(BB:BB,MIN(IF(ISNUMBER(BB23:BB219),ROW(BB23:BB219),"")))</f>
        <v>5.9</v>
      </c>
      <c r="BD23" s="12">
        <f>IF('Données projet'!$A$88&gt;35,BD22+BC23-BL22,IF(A23&lt;'Données projet'!$A$88,$BA$205^A23,IF(A23='Données projet'!$A$88,'Données projet'!$B$88,BD22+BC23-BL22)))</f>
        <v>118</v>
      </c>
      <c r="BE23" s="13">
        <f>BD23*VLOOKUP('Données projet'!$B$11,Paramètres!$A$1:$I$89,3,0)*VLOOKUP('Données projet'!$B$11,Paramètres!$A$1:$I$89,5,0)</f>
        <v>73.632000000000005</v>
      </c>
      <c r="BF23" s="13">
        <f t="shared" si="37"/>
        <v>20.572738697163981</v>
      </c>
      <c r="BG23" s="20">
        <f t="shared" si="7"/>
        <v>164.07325323089393</v>
      </c>
      <c r="BH23" s="59">
        <f t="shared" si="8"/>
        <v>457.40658656422727</v>
      </c>
      <c r="BI23" s="59">
        <f ca="1">AVERAGE(OFFSET($BH$3,0,0,'Données projet'!$E$11+1,1))-AVERAGE(OFFSET($H$3,0,0,'Données projet'!$E$11+1,1))</f>
        <v>209.93608079129638</v>
      </c>
      <c r="BJ23" s="59">
        <f t="shared" si="38"/>
        <v>240.15652428700969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9.1521381428676971</v>
      </c>
      <c r="BR23" s="21">
        <f>EXP(-LN(2)/2)*BR22+(1-EXP(-LN(2)/2))/(LN(2)/2)*BL23*BO23*VLOOKUP('Données projet'!$B$11,Paramètres!$A$1:$I$89,3,0)*0.475*44/12</f>
        <v>13.070489642645519</v>
      </c>
      <c r="BS23" s="22">
        <f t="shared" si="9"/>
        <v>22.222627785513218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215.23235148064941</v>
      </c>
      <c r="CE23" s="59">
        <f t="shared" si="40"/>
        <v>184.07239726900434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12.5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2.1257077612234943</v>
      </c>
      <c r="CM23" s="21">
        <f>EXP(-LN(2)/2)*CM22+(1-EXP(-LN(2)/2))/(LN(2)/2)*CG23*CJ23*VLOOKUP('Données projet'!$B$12,Paramètres!$A$1:$I$89,3,0)*0.475*44/12</f>
        <v>3.3117794702649124</v>
      </c>
      <c r="CN23" s="22">
        <f t="shared" si="12"/>
        <v>5.4374872314884062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42.588000000000001</v>
      </c>
      <c r="CV23" s="13">
        <f t="shared" si="41"/>
        <v>12.682073764365764</v>
      </c>
      <c r="CW23" s="20">
        <f t="shared" si="13"/>
        <v>96.262045139603686</v>
      </c>
      <c r="CX23" s="59">
        <f t="shared" si="14"/>
        <v>389.595378472937</v>
      </c>
      <c r="CY23" s="59">
        <f ca="1">AVERAGE(OFFSET($CX$3,0,0,'Données projet'!$E$13+1,1))-AVERAGE(OFFSET($H$3,0,0,'Données projet'!$E$13+1,1))</f>
        <v>279.20364724206644</v>
      </c>
      <c r="CZ23" s="59">
        <f t="shared" si="42"/>
        <v>173.99850582760712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43.898400000000002</v>
      </c>
      <c r="DQ23" s="13">
        <f t="shared" si="43"/>
        <v>13.026259590086106</v>
      </c>
      <c r="DR23" s="20">
        <f t="shared" si="16"/>
        <v>99.143782119399972</v>
      </c>
      <c r="DS23" s="59">
        <f t="shared" si="17"/>
        <v>392.4771154527333</v>
      </c>
      <c r="DT23" s="59">
        <f ca="1">AVERAGE(OFFSET($DS$3,0,0,'Données projet'!$E$14+1,1))-AVERAGE(OFFSET($H$3,0,0,'Données projet'!$E$14+1,1))</f>
        <v>291.18074901939718</v>
      </c>
      <c r="DU23" s="59">
        <f t="shared" si="44"/>
        <v>181.05123751753774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119</v>
      </c>
      <c r="EH23" s="12">
        <f>VLOOKUP(A23,'Données projet'!$A$191:$I$211,9,0)</f>
        <v>13.25</v>
      </c>
      <c r="EI23" s="12">
        <f t="array" ref="EI23">INDEX(EH:EH,MIN(IF(ISNUMBER(EH23:EH219),ROW(EH23:EH219),"")))</f>
        <v>13.25</v>
      </c>
      <c r="EJ23" s="12">
        <f>IF('Données projet'!$A$192&gt;35,EJ22+EI23-ER22,IF(A23&lt;'Données projet'!$A$192,$EG$205^A23,IF(A23='Données projet'!$A$192,'Données projet'!$B$192,EJ22+EI23-ER22)))</f>
        <v>119</v>
      </c>
      <c r="EK23" s="17">
        <f>EJ23*VLOOKUP('Données projet'!$B$15,Paramètres!$A$1:$I$89,3,0)*VLOOKUP('Données projet'!$B$15,Paramètres!$A$1:$I$89,5,0)</f>
        <v>71.162000000000006</v>
      </c>
      <c r="EL23" s="13">
        <f t="shared" si="45"/>
        <v>19.961746043676346</v>
      </c>
      <c r="EM23" s="20">
        <f t="shared" si="19"/>
        <v>158.70719102606964</v>
      </c>
      <c r="EN23" s="59">
        <f t="shared" si="20"/>
        <v>452.04052435940298</v>
      </c>
      <c r="EO23" s="59">
        <f ca="1">AVERAGE(OFFSET($EN$3,0,0,'Données projet'!$E$15+1,1))-AVERAGE(OFFSET($H$3,0,0,'Données projet'!$E$15+1,1))</f>
        <v>168.08890945052406</v>
      </c>
      <c r="EP23" s="59">
        <f t="shared" si="46"/>
        <v>182.52462557642343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22</v>
      </c>
      <c r="ES23" s="16">
        <f>IF(ISNA(VLOOKUP(A23,'Données projet'!$A$191:$I$211,5,0)),0%,VLOOKUP(A23,'Données projet'!$A$191:$I$211,5,0)*VLOOKUP('Données projet'!$B$15,Paramètres!$A$1:$I$89,7,0))</f>
        <v>4.5000000000000005E-2</v>
      </c>
      <c r="ET23" s="16">
        <f>IF(ISNA(VLOOKUP(A23,'Données projet'!$A$191:$I$211,6,0)),0%,VLOOKUP(A23,'Données projet'!$A$191:$I$211,6,0)*VLOOKUP('Données projet'!$B$15,Paramètres!$A$1:$I$89,7,0))</f>
        <v>0.20250000000000001</v>
      </c>
      <c r="EU23" s="16">
        <f>IF(ISNA(VLOOKUP(A23,'Données projet'!$A$191:$I$211,7,0)),0%,VLOOKUP(A23,'Données projet'!$A$191:$I$211,7,0))</f>
        <v>0.45</v>
      </c>
      <c r="EV23" s="21">
        <f>EXP(-LN(2)/35)*EV22+(1-EXP(-LN(2)/35))/(LN(2)/35)*ER23*ES23*VLOOKUP('Données projet'!$B$15,Paramètres!$A$1:$I$89,3,0)*0.475*44/12</f>
        <v>0.78535268890931675</v>
      </c>
      <c r="EW23" s="21">
        <f>EXP(-LN(2)/25)*EW22+(1-EXP(-LN(2)/25))/(LN(2)/25)*Calculateur!ER23*Calculateur!ET23*VLOOKUP('Données projet'!$B$15,Paramètres!$A$1:$I$89,3,0)*0.475*44/12</f>
        <v>5.9070222351956119</v>
      </c>
      <c r="EX23" s="21">
        <f>EXP(-LN(2)/2)*EX22+(1-EXP(-LN(2)/2))/(LN(2)/2)*ER23*EU23*VLOOKUP('Données projet'!$B$15,Paramètres!$A$1:$I$89,3,0)*0.475*44/12</f>
        <v>7.9725571114177329</v>
      </c>
      <c r="EY23" s="22">
        <f t="shared" si="21"/>
        <v>14.664932035522661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95</v>
      </c>
      <c r="FC23" s="12">
        <f>VLOOKUP(A23,'Données projet'!$A$217:$I$237,9,0)</f>
        <v>4.75</v>
      </c>
      <c r="FD23" s="12">
        <f t="array" ref="FD23">INDEX(FC:FC,MIN(IF(ISNUMBER(FC23:FC219),ROW(FC23:FC219),"")))</f>
        <v>4.75</v>
      </c>
      <c r="FE23" s="12">
        <f>IF('Données projet'!$A$218&gt;35,FE22+FD23-FM22,IF(A23&lt;'Données projet'!$A$218,$FB$205^A23,IF(A23='Données projet'!$A$218,'Données projet'!$B$218,FE22+FD23-FM22)))</f>
        <v>95</v>
      </c>
      <c r="FF23" s="17">
        <f>FE23*VLOOKUP('Données projet'!$B$16,Paramètres!$A$1:$I$89,3,0)*VLOOKUP('Données projet'!$B$16,Paramètres!$A$1:$I$89,5,0)</f>
        <v>63.726000000000006</v>
      </c>
      <c r="FG23" s="13">
        <f t="shared" si="47"/>
        <v>18.10699013411584</v>
      </c>
      <c r="FH23" s="20">
        <f t="shared" si="22"/>
        <v>142.52579115025176</v>
      </c>
      <c r="FI23" s="59">
        <f t="shared" si="23"/>
        <v>435.85912448358511</v>
      </c>
      <c r="FJ23" s="59">
        <f ca="1">AVERAGE(OFFSET($FI$3,0,0,'Données projet'!$E$16+1,1))-AVERAGE(OFFSET($H$3,0,0,'Données projet'!$E$16+1,1))</f>
        <v>156.63226020379989</v>
      </c>
      <c r="FK23" s="59">
        <f t="shared" si="48"/>
        <v>196.0481096619543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43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0.13250000000000001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4.2083431005377525</v>
      </c>
      <c r="FS23" s="21">
        <f>EXP(-LN(2)/2)*FS22+(1-EXP(-LN(2)/2))/(LN(2)/2)*FM23*FP23*VLOOKUP('Données projet'!$B$16,Paramètres!$A$1:$I$89,3,0)*0.475*44/12</f>
        <v>6.8038669339109141</v>
      </c>
      <c r="FT23" s="22">
        <f t="shared" si="24"/>
        <v>11.012210034448668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91</v>
      </c>
      <c r="FX23" s="12">
        <f>VLOOKUP(A23,'Données projet'!$A$243:$I$263,9,0)</f>
        <v>4.55</v>
      </c>
      <c r="FY23" s="12">
        <f t="array" ref="FY23">INDEX(FX:FX,MIN(IF(ISNUMBER(FX23:FX219),ROW(FX23:FX219),"")))</f>
        <v>4.55</v>
      </c>
      <c r="FZ23" s="12">
        <f>IF('Données projet'!$A$244&gt;35,FZ22+FY23-GH22,IF(A23&lt;'Données projet'!$A$244,$FW$205^A23,IF(A23='Données projet'!$A$244,'Données projet'!$B$244,FZ22+FY23-GH22)))</f>
        <v>91</v>
      </c>
      <c r="GA23" s="17">
        <f>FZ23*VLOOKUP('Données projet'!$B$17,Paramètres!$A$1:$I$89,3,0)*VLOOKUP('Données projet'!$B$17,Paramètres!$A$1:$I$89,5,0)</f>
        <v>54.417999999999999</v>
      </c>
      <c r="GB23" s="13">
        <f t="shared" si="49"/>
        <v>15.749044324804036</v>
      </c>
      <c r="GC23" s="20">
        <f t="shared" si="25"/>
        <v>122.20760219903367</v>
      </c>
      <c r="GD23" s="59">
        <f t="shared" si="26"/>
        <v>415.54093553236697</v>
      </c>
      <c r="GE23" s="59">
        <f ca="1">AVERAGE(OFFSET($GD$3,0,0,'Données projet'!$E$17+1,1))-AVERAGE(OFFSET($H$3,0,0,'Données projet'!$E$17+1,1))</f>
        <v>216.94426559495264</v>
      </c>
      <c r="GF23" s="59">
        <f t="shared" si="50"/>
        <v>225.33715877618704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0.22500000000000001</v>
      </c>
      <c r="GK23" s="16">
        <f>IF(ISNA(VLOOKUP(A23,'Données projet'!$A$243:$I$263,7,0)),0%,VLOOKUP(A23,'Données projet'!$A$243:$I$263,7,0))</f>
        <v>0.5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0.53335940190698583</v>
      </c>
      <c r="GN23" s="21">
        <f>EXP(-LN(2)/2)*GN22+(1-EXP(-LN(2)/2))/(LN(2)/2)*GH23*GK23*VLOOKUP('Données projet'!$B$17,Paramètres!$A$1:$I$89,3,0)*0.475*44/12</f>
        <v>1.0156123708812399</v>
      </c>
      <c r="GO23" s="21">
        <f t="shared" si="27"/>
        <v>1.5489717727882257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42</v>
      </c>
      <c r="GS23" s="12">
        <f>VLOOKUP(A23,'Données projet'!$A$269:$I$289,9,0)</f>
        <v>2.1</v>
      </c>
      <c r="GT23" s="12">
        <f t="array" ref="GT23">INDEX(GS:GS,MIN(IF(ISNUMBER(GS23:GS219),ROW(GS23:GS219),"")))</f>
        <v>2.1</v>
      </c>
      <c r="GU23" s="12">
        <f>IF('Données projet'!$A$270&gt;35,GU22+GT23-HC22,IF(A23&lt;'Données projet'!$A$270,$GR$205^A23,IF(A23='Données projet'!$A$270,'Données projet'!$B$270,GU22+GT23-HC22)))</f>
        <v>42</v>
      </c>
      <c r="GV23" s="17">
        <f>GU23*VLOOKUP('Données projet'!$B$18,Paramètres!$A$1:$I$89,3,0)*VLOOKUP('Données projet'!$B$18,Paramètres!$A$1:$I$89,5,0)</f>
        <v>40.622399999999999</v>
      </c>
      <c r="GW23" s="13">
        <f t="shared" si="51"/>
        <v>12.163465560290264</v>
      </c>
      <c r="GX23" s="20">
        <f t="shared" si="28"/>
        <v>91.935382517505545</v>
      </c>
      <c r="GY23" s="59">
        <f t="shared" si="29"/>
        <v>385.26871585083887</v>
      </c>
      <c r="GZ23" s="59">
        <f ca="1">AVERAGE(OFFSET($GY$3,0,0,'Données projet'!$E$18+1,1))-AVERAGE(OFFSET($H$3,0,0,'Données projet'!$E$18+1,1))</f>
        <v>261.22357949323879</v>
      </c>
      <c r="HA23" s="59">
        <f t="shared" si="52"/>
        <v>163.41029152029387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392.04498917816954</v>
      </c>
      <c r="S24" s="59">
        <f ca="1">AVERAGE(OFFSET($R$3,0,0,'Données projet'!$E$9+1,1))-AVERAGE(OFFSET($H$3,0,0,'Données projet'!$E$9+1,1))</f>
        <v>237.22177246688199</v>
      </c>
      <c r="T24" s="59">
        <f t="shared" si="34"/>
        <v>149.27472147904302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</v>
      </c>
      <c r="AI24" s="13">
        <f>IF('Données projet'!$A$62&gt;35,AI23+AH24-AQ23,IF(A24&lt;'Données projet'!$A$62,$AF$205^A24,IF(A24='Données projet'!$A$62,'Données projet'!$B$62,AI23+AH24-AQ23)))</f>
        <v>76.099999999999966</v>
      </c>
      <c r="AJ24" s="13">
        <f>AI24*VLOOKUP('Données projet'!$B$10,Paramètres!$A$1:$I$89,3,0)*VLOOKUP('Données projet'!$B$10,Paramètres!$A$1:$I$89,5,0)</f>
        <v>66.480959999999982</v>
      </c>
      <c r="AK24" s="13">
        <f t="shared" si="35"/>
        <v>18.79694987718403</v>
      </c>
      <c r="AL24" s="20">
        <f t="shared" si="4"/>
        <v>148.52569303609548</v>
      </c>
      <c r="AM24" s="59">
        <f t="shared" si="5"/>
        <v>441.85902636942876</v>
      </c>
      <c r="AN24" s="59">
        <f ca="1">AVERAGE(OFFSET($AM$3,0,0,'Données projet'!$E$10+1,1))-AVERAGE(OFFSET($H$3,0,0,'Données projet'!$E$10+1,1))</f>
        <v>210.07838338464626</v>
      </c>
      <c r="AO24" s="59">
        <f t="shared" si="36"/>
        <v>241.76003724236273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1.6692108193852706</v>
      </c>
      <c r="AV24" s="21">
        <f>EXP(-LN(2)/25)*AV23+(1-EXP(-LN(2)/25))/(LN(2)/25)*Calculateur!AQ24*Calculateur!AS24*VLOOKUP('Données projet'!$B$10,Paramètres!$A$1:$I$89,3,0)*0.475*44/12</f>
        <v>7.4228383670375857</v>
      </c>
      <c r="AW24" s="21">
        <f>EXP(-LN(2)/2)*AW23+(1-EXP(-LN(2)/2))/(LN(2)/2)*AQ24*AT24*VLOOKUP('Données projet'!$B$10,Paramètres!$A$1:$I$89,3,0)*0.475*44/12</f>
        <v>10.753461663836326</v>
      </c>
      <c r="AX24" s="21">
        <f t="shared" si="6"/>
        <v>19.845510850259181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13.9</v>
      </c>
      <c r="BD24" s="12">
        <f>IF('Données projet'!$A$88&gt;35,BD23+BC24-BL23,IF(A24&lt;'Données projet'!$A$88,$BA$205^A24,IF(A24='Données projet'!$A$88,'Données projet'!$B$88,BD23+BC24-BL23)))</f>
        <v>94.9</v>
      </c>
      <c r="BE24" s="13">
        <f>BD24*VLOOKUP('Données projet'!$B$11,Paramètres!$A$1:$I$89,3,0)*VLOOKUP('Données projet'!$B$11,Paramètres!$A$1:$I$89,5,0)</f>
        <v>59.217600000000004</v>
      </c>
      <c r="BF24" s="13">
        <f t="shared" si="37"/>
        <v>16.970302883579741</v>
      </c>
      <c r="BG24" s="20">
        <f t="shared" si="7"/>
        <v>132.69393085556803</v>
      </c>
      <c r="BH24" s="59">
        <f t="shared" si="8"/>
        <v>426.02726418890131</v>
      </c>
      <c r="BI24" s="59">
        <f ca="1">AVERAGE(OFFSET($BH$3,0,0,'Données projet'!$E$11+1,1))-AVERAGE(OFFSET($H$3,0,0,'Données projet'!$E$11+1,1))</f>
        <v>209.93608079129638</v>
      </c>
      <c r="BJ24" s="59">
        <f t="shared" si="38"/>
        <v>240.15652428700969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8.9018724440609525</v>
      </c>
      <c r="BR24" s="21">
        <f>EXP(-LN(2)/2)*BR23+(1-EXP(-LN(2)/2))/(LN(2)/2)*BL24*BO24*VLOOKUP('Données projet'!$B$11,Paramètres!$A$1:$I$89,3,0)*0.475*44/12</f>
        <v>9.2422318597431818</v>
      </c>
      <c r="BS24" s="22">
        <f t="shared" si="9"/>
        <v>18.144104303804134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154.69999999999999</v>
      </c>
      <c r="BZ24" s="13">
        <f>BY24*VLOOKUP('Données projet'!$B$12,Paramètres!$A$1:$I$89,3,0)*VLOOKUP('Données projet'!$B$12,Paramètres!$A$1:$I$89,5,0)</f>
        <v>72.399599999999992</v>
      </c>
      <c r="CA24" s="13">
        <f t="shared" si="39"/>
        <v>20.268188832715463</v>
      </c>
      <c r="CB24" s="20">
        <f t="shared" si="10"/>
        <v>161.3963988836461</v>
      </c>
      <c r="CC24" s="59">
        <f t="shared" si="11"/>
        <v>454.72973221697941</v>
      </c>
      <c r="CD24" s="59">
        <f ca="1">AVERAGE(OFFSET($CC$3,0,0,'Données projet'!$E$12+1,1))-AVERAGE(OFFSET($H$3,0,0,'Données projet'!$E$12+1,1))</f>
        <v>215.23235148064941</v>
      </c>
      <c r="CE24" s="59">
        <f t="shared" si="40"/>
        <v>184.07239726900434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2.0675801707067252</v>
      </c>
      <c r="CM24" s="21">
        <f>EXP(-LN(2)/2)*CM23+(1-EXP(-LN(2)/2))/(LN(2)/2)*CG24*CJ24*VLOOKUP('Données projet'!$B$12,Paramètres!$A$1:$I$89,3,0)*0.475*44/12</f>
        <v>2.341781721218712</v>
      </c>
      <c r="CN24" s="22">
        <f t="shared" si="12"/>
        <v>4.4093618919254371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</v>
      </c>
      <c r="CT24" s="12">
        <f>IF('Données projet'!$A$140&gt;35,CT23+CS24-DB23,IF(A24&lt;'Données projet'!$A$140,$CQ$205^A24,IF(A24='Données projet'!$A$140,'Données projet'!$B$140,CT23+CS24-DB23)))</f>
        <v>48.3</v>
      </c>
      <c r="CU24" s="17">
        <f>CT24*VLOOKUP('Données projet'!$B$13,Paramètres!$A$1:$I$89,3,0)*VLOOKUP('Données projet'!$B$13,Paramètres!$A$1:$I$89,5,0)</f>
        <v>48.976199999999999</v>
      </c>
      <c r="CV24" s="13">
        <f t="shared" si="41"/>
        <v>14.349041334347479</v>
      </c>
      <c r="CW24" s="20">
        <f t="shared" si="13"/>
        <v>110.29146199065519</v>
      </c>
      <c r="CX24" s="59">
        <f t="shared" si="14"/>
        <v>403.62479532398851</v>
      </c>
      <c r="CY24" s="59">
        <f ca="1">AVERAGE(OFFSET($CX$3,0,0,'Données projet'!$E$13+1,1))-AVERAGE(OFFSET($H$3,0,0,'Données projet'!$E$13+1,1))</f>
        <v>279.20364724206644</v>
      </c>
      <c r="CZ24" s="59">
        <f t="shared" si="42"/>
        <v>173.99850582760712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6.3</v>
      </c>
      <c r="DO24" s="12">
        <f>IF('Données projet'!$A$166&gt;35,DO23+DN24-DW23,IF(A24&lt;'Données projet'!$A$166,$DL$205^A24,IF(A24='Données projet'!$A$166,'Données projet'!$B$166,DO23+DN24-DW23)))</f>
        <v>48.3</v>
      </c>
      <c r="DP24" s="17">
        <f>DO24*VLOOKUP('Données projet'!$B$14,Paramètres!$A$1:$I$89,3,0)*VLOOKUP('Données projet'!$B$14,Paramètres!$A$1:$I$89,5,0)</f>
        <v>50.483159999999998</v>
      </c>
      <c r="DQ24" s="13">
        <f t="shared" si="43"/>
        <v>14.738467916444376</v>
      </c>
      <c r="DR24" s="20">
        <f t="shared" si="16"/>
        <v>113.59433528780728</v>
      </c>
      <c r="DS24" s="59">
        <f t="shared" si="17"/>
        <v>406.92766862114058</v>
      </c>
      <c r="DT24" s="59">
        <f ca="1">AVERAGE(OFFSET($DS$3,0,0,'Données projet'!$E$14+1,1))-AVERAGE(OFFSET($H$3,0,0,'Données projet'!$E$14+1,1))</f>
        <v>291.18074901939718</v>
      </c>
      <c r="DU24" s="59">
        <f t="shared" si="44"/>
        <v>181.05123751753774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</v>
      </c>
      <c r="EJ24" s="12">
        <f>IF('Données projet'!$A$192&gt;35,EJ23+EI24-ER23,IF(A24&lt;'Données projet'!$A$192,$EG$205^A24,IF(A24='Données projet'!$A$192,'Données projet'!$B$192,EJ23+EI24-ER23)))</f>
        <v>112</v>
      </c>
      <c r="EK24" s="17">
        <f>EJ24*VLOOKUP('Données projet'!$B$15,Paramètres!$A$1:$I$89,3,0)*VLOOKUP('Données projet'!$B$15,Paramètres!$A$1:$I$89,5,0)</f>
        <v>66.976000000000013</v>
      </c>
      <c r="EL24" s="13">
        <f t="shared" si="45"/>
        <v>18.920572617446965</v>
      </c>
      <c r="EM24" s="20">
        <f t="shared" si="19"/>
        <v>149.60319730872013</v>
      </c>
      <c r="EN24" s="59">
        <f t="shared" si="20"/>
        <v>442.93653064205341</v>
      </c>
      <c r="EO24" s="59">
        <f ca="1">AVERAGE(OFFSET($EN$3,0,0,'Données projet'!$E$15+1,1))-AVERAGE(OFFSET($H$3,0,0,'Données projet'!$E$15+1,1))</f>
        <v>168.08890945052406</v>
      </c>
      <c r="EP24" s="59">
        <f t="shared" si="46"/>
        <v>182.52462557642343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0.76995240169764623</v>
      </c>
      <c r="EW24" s="21">
        <f>EXP(-LN(2)/25)*EW23+(1-EXP(-LN(2)/25))/(LN(2)/25)*Calculateur!ER24*Calculateur!ET24*VLOOKUP('Données projet'!$B$15,Paramètres!$A$1:$I$89,3,0)*0.475*44/12</f>
        <v>5.745494401537389</v>
      </c>
      <c r="EX24" s="21">
        <f>EXP(-LN(2)/2)*EX23+(1-EXP(-LN(2)/2))/(LN(2)/2)*ER24*EU24*VLOOKUP('Données projet'!$B$15,Paramètres!$A$1:$I$89,3,0)*0.475*44/12</f>
        <v>5.6374491968805129</v>
      </c>
      <c r="EY24" s="22">
        <f t="shared" si="21"/>
        <v>12.152896000115547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12.2</v>
      </c>
      <c r="FE24" s="12">
        <f>IF('Données projet'!$A$218&gt;35,FE23+FD24-FM23,IF(A24&lt;'Données projet'!$A$218,$FB$205^A24,IF(A24='Données projet'!$A$218,'Données projet'!$B$218,FE23+FD24-FM23)))</f>
        <v>64.2</v>
      </c>
      <c r="FF24" s="17">
        <f>FE24*VLOOKUP('Données projet'!$B$16,Paramètres!$A$1:$I$89,3,0)*VLOOKUP('Données projet'!$B$16,Paramètres!$A$1:$I$89,5,0)</f>
        <v>43.065360000000005</v>
      </c>
      <c r="FG24" s="13">
        <f t="shared" si="47"/>
        <v>12.807596539380496</v>
      </c>
      <c r="FH24" s="20">
        <f t="shared" si="22"/>
        <v>97.312065972754382</v>
      </c>
      <c r="FI24" s="59">
        <f t="shared" si="23"/>
        <v>390.64539930608771</v>
      </c>
      <c r="FJ24" s="59">
        <f ca="1">AVERAGE(OFFSET($FI$3,0,0,'Données projet'!$E$16+1,1))-AVERAGE(OFFSET($H$3,0,0,'Données projet'!$E$16+1,1))</f>
        <v>156.63226020379989</v>
      </c>
      <c r="FK24" s="59">
        <f t="shared" si="48"/>
        <v>196.0481096619543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4.0932657371464023</v>
      </c>
      <c r="FS24" s="21">
        <f>EXP(-LN(2)/2)*FS23+(1-EXP(-LN(2)/2))/(LN(2)/2)*FM24*FP24*VLOOKUP('Données projet'!$B$16,Paramètres!$A$1:$I$89,3,0)*0.475*44/12</f>
        <v>4.8110604472593312</v>
      </c>
      <c r="FT24" s="22">
        <f t="shared" si="24"/>
        <v>8.9043261844057326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13</v>
      </c>
      <c r="FZ24" s="12">
        <f>IF('Données projet'!$A$244&gt;35,FZ23+FY24-GH23,IF(A24&lt;'Données projet'!$A$244,$FW$205^A24,IF(A24='Données projet'!$A$244,'Données projet'!$B$244,FZ23+FY24-GH23)))</f>
        <v>101</v>
      </c>
      <c r="GA24" s="17">
        <f>FZ24*VLOOKUP('Données projet'!$B$17,Paramètres!$A$1:$I$89,3,0)*VLOOKUP('Données projet'!$B$17,Paramètres!$A$1:$I$89,5,0)</f>
        <v>60.398000000000003</v>
      </c>
      <c r="GB24" s="13">
        <f t="shared" si="49"/>
        <v>17.26885714728807</v>
      </c>
      <c r="GC24" s="20">
        <f t="shared" si="25"/>
        <v>135.26977619819337</v>
      </c>
      <c r="GD24" s="59">
        <f t="shared" si="26"/>
        <v>428.60310953152668</v>
      </c>
      <c r="GE24" s="59">
        <f ca="1">AVERAGE(OFFSET($GD$3,0,0,'Données projet'!$E$17+1,1))-AVERAGE(OFFSET($H$3,0,0,'Données projet'!$E$17+1,1))</f>
        <v>216.94426559495264</v>
      </c>
      <c r="GF24" s="59">
        <f t="shared" si="50"/>
        <v>225.33715877618704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0.51877466101368741</v>
      </c>
      <c r="GN24" s="21">
        <f>EXP(-LN(2)/2)*GN23+(1-EXP(-LN(2)/2))/(LN(2)/2)*GH24*GK24*VLOOKUP('Données projet'!$B$17,Paramètres!$A$1:$I$89,3,0)*0.475*44/12</f>
        <v>0.71814639450707174</v>
      </c>
      <c r="GO24" s="21">
        <f t="shared" si="27"/>
        <v>1.2369210555207593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6.3</v>
      </c>
      <c r="GU24" s="12">
        <f>IF('Données projet'!$A$270&gt;35,GU23+GT24-HC23,IF(A24&lt;'Données projet'!$A$270,$GR$205^A24,IF(A24='Données projet'!$A$270,'Données projet'!$B$270,GU23+GT24-HC23)))</f>
        <v>48.3</v>
      </c>
      <c r="GV24" s="17">
        <f>GU24*VLOOKUP('Données projet'!$B$18,Paramètres!$A$1:$I$89,3,0)*VLOOKUP('Données projet'!$B$18,Paramètres!$A$1:$I$89,5,0)</f>
        <v>46.715759999999996</v>
      </c>
      <c r="GW24" s="13">
        <f t="shared" si="51"/>
        <v>13.762265804187708</v>
      </c>
      <c r="GX24" s="20">
        <f t="shared" si="28"/>
        <v>105.33256160896025</v>
      </c>
      <c r="GY24" s="59">
        <f t="shared" si="29"/>
        <v>398.66589494229356</v>
      </c>
      <c r="GZ24" s="59">
        <f ca="1">AVERAGE(OFFSET($GY$3,0,0,'Données projet'!$E$18+1,1))-AVERAGE(OFFSET($H$3,0,0,'Données projet'!$E$18+1,1))</f>
        <v>261.22357949323879</v>
      </c>
      <c r="HA24" s="59">
        <f t="shared" si="52"/>
        <v>163.41029152029387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404.55845916131165</v>
      </c>
      <c r="S25" s="59">
        <f ca="1">AVERAGE(OFFSET($R$3,0,0,'Données projet'!$E$9+1,1))-AVERAGE(OFFSET($H$3,0,0,'Données projet'!$E$9+1,1))</f>
        <v>237.22177246688199</v>
      </c>
      <c r="T25" s="59">
        <f t="shared" si="34"/>
        <v>149.27472147904302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</v>
      </c>
      <c r="AI25" s="13">
        <f>IF('Données projet'!$A$62&gt;35,AI24+AH25-AQ24,IF(A25&lt;'Données projet'!$A$62,$AF$205^A25,IF(A25='Données projet'!$A$62,'Données projet'!$B$62,AI24+AH25-AQ24)))</f>
        <v>85.19999999999996</v>
      </c>
      <c r="AJ25" s="13">
        <f>AI25*VLOOKUP('Données projet'!$B$10,Paramètres!$A$1:$I$89,3,0)*VLOOKUP('Données projet'!$B$10,Paramètres!$A$1:$I$89,5,0)</f>
        <v>74.43071999999998</v>
      </c>
      <c r="AK25" s="13">
        <f t="shared" si="35"/>
        <v>20.76980057385482</v>
      </c>
      <c r="AL25" s="20">
        <f t="shared" si="4"/>
        <v>165.80757333279709</v>
      </c>
      <c r="AM25" s="59">
        <f t="shared" si="5"/>
        <v>459.14090666613038</v>
      </c>
      <c r="AN25" s="59">
        <f ca="1">AVERAGE(OFFSET($AM$3,0,0,'Données projet'!$E$10+1,1))-AVERAGE(OFFSET($H$3,0,0,'Données projet'!$E$10+1,1))</f>
        <v>210.07838338464626</v>
      </c>
      <c r="AO25" s="59">
        <f t="shared" si="36"/>
        <v>241.76003724236273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1.6364786133351945</v>
      </c>
      <c r="AV25" s="21">
        <f>EXP(-LN(2)/25)*AV24+(1-EXP(-LN(2)/25))/(LN(2)/25)*Calculateur!AQ25*Calculateur!AS25*VLOOKUP('Données projet'!$B$10,Paramètres!$A$1:$I$89,3,0)*0.475*44/12</f>
        <v>7.2198604615408382</v>
      </c>
      <c r="AW25" s="21">
        <f>EXP(-LN(2)/2)*AW24+(1-EXP(-LN(2)/2))/(LN(2)/2)*AQ25*AT25*VLOOKUP('Données projet'!$B$10,Paramètres!$A$1:$I$89,3,0)*0.475*44/12</f>
        <v>7.603845663728241</v>
      </c>
      <c r="AX25" s="21">
        <f t="shared" si="6"/>
        <v>16.460184738604273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13.9</v>
      </c>
      <c r="BD25" s="12">
        <f>IF('Données projet'!$A$88&gt;35,BD24+BC25-BL24,IF(A25&lt;'Données projet'!$A$88,$BA$205^A25,IF(A25='Données projet'!$A$88,'Données projet'!$B$88,BD24+BC25-BL24)))</f>
        <v>108.80000000000001</v>
      </c>
      <c r="BE25" s="13">
        <f>BD25*VLOOKUP('Données projet'!$B$11,Paramètres!$A$1:$I$89,3,0)*VLOOKUP('Données projet'!$B$11,Paramètres!$A$1:$I$89,5,0)</f>
        <v>67.891200000000012</v>
      </c>
      <c r="BF25" s="13">
        <f t="shared" si="37"/>
        <v>19.148839553800077</v>
      </c>
      <c r="BG25" s="20">
        <f t="shared" si="7"/>
        <v>151.59473555620181</v>
      </c>
      <c r="BH25" s="59">
        <f t="shared" si="8"/>
        <v>444.9280688895351</v>
      </c>
      <c r="BI25" s="59">
        <f ca="1">AVERAGE(OFFSET($BH$3,0,0,'Données projet'!$E$11+1,1))-AVERAGE(OFFSET($H$3,0,0,'Données projet'!$E$11+1,1))</f>
        <v>209.93608079129638</v>
      </c>
      <c r="BJ25" s="59">
        <f t="shared" si="38"/>
        <v>240.15652428700969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8.6584502739489793</v>
      </c>
      <c r="BR25" s="21">
        <f>EXP(-LN(2)/2)*BR24+(1-EXP(-LN(2)/2))/(LN(2)/2)*BL25*BO25*VLOOKUP('Données projet'!$B$11,Paramètres!$A$1:$I$89,3,0)*0.475*44/12</f>
        <v>6.5352448213227605</v>
      </c>
      <c r="BS25" s="22">
        <f t="shared" si="9"/>
        <v>15.193695095271739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163.89999999999998</v>
      </c>
      <c r="BZ25" s="13">
        <f>BY25*VLOOKUP('Données projet'!$B$12,Paramètres!$A$1:$I$89,3,0)*VLOOKUP('Données projet'!$B$12,Paramètres!$A$1:$I$89,5,0)</f>
        <v>76.705199999999991</v>
      </c>
      <c r="CA25" s="13">
        <f t="shared" si="39"/>
        <v>21.32962715676695</v>
      </c>
      <c r="CB25" s="20">
        <f t="shared" si="10"/>
        <v>170.74399063136909</v>
      </c>
      <c r="CC25" s="59">
        <f t="shared" si="11"/>
        <v>464.07732396470237</v>
      </c>
      <c r="CD25" s="59">
        <f ca="1">AVERAGE(OFFSET($CC$3,0,0,'Données projet'!$E$12+1,1))-AVERAGE(OFFSET($H$3,0,0,'Données projet'!$E$12+1,1))</f>
        <v>215.23235148064941</v>
      </c>
      <c r="CE25" s="59">
        <f t="shared" si="40"/>
        <v>184.07239726900434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2.0110420822094341</v>
      </c>
      <c r="CM25" s="21">
        <f>EXP(-LN(2)/2)*CM24+(1-EXP(-LN(2)/2))/(LN(2)/2)*CG25*CJ25*VLOOKUP('Données projet'!$B$12,Paramètres!$A$1:$I$89,3,0)*0.475*44/12</f>
        <v>1.6558897351324564</v>
      </c>
      <c r="CN25" s="22">
        <f t="shared" si="12"/>
        <v>3.6669318173418906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</v>
      </c>
      <c r="CT25" s="12">
        <f>IF('Données projet'!$A$140&gt;35,CT24+CS25-DB24,IF(A25&lt;'Données projet'!$A$140,$CQ$205^A25,IF(A25='Données projet'!$A$140,'Données projet'!$B$140,CT24+CS25-DB24)))</f>
        <v>54.599999999999994</v>
      </c>
      <c r="CU25" s="17">
        <f>CT25*VLOOKUP('Données projet'!$B$13,Paramètres!$A$1:$I$89,3,0)*VLOOKUP('Données projet'!$B$13,Paramètres!$A$1:$I$89,5,0)</f>
        <v>55.364399999999996</v>
      </c>
      <c r="CV25" s="13">
        <f t="shared" si="41"/>
        <v>15.990815813983085</v>
      </c>
      <c r="CW25" s="20">
        <f t="shared" si="13"/>
        <v>124.27700087602052</v>
      </c>
      <c r="CX25" s="59">
        <f t="shared" si="14"/>
        <v>417.61033420935382</v>
      </c>
      <c r="CY25" s="59">
        <f ca="1">AVERAGE(OFFSET($CX$3,0,0,'Données projet'!$E$13+1,1))-AVERAGE(OFFSET($H$3,0,0,'Données projet'!$E$13+1,1))</f>
        <v>279.20364724206644</v>
      </c>
      <c r="CZ25" s="59">
        <f t="shared" si="42"/>
        <v>173.99850582760712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6.3</v>
      </c>
      <c r="DO25" s="12">
        <f>IF('Données projet'!$A$166&gt;35,DO24+DN25-DW24,IF(A25&lt;'Données projet'!$A$166,$DL$205^A25,IF(A25='Données projet'!$A$166,'Données projet'!$B$166,DO24+DN25-DW24)))</f>
        <v>54.599999999999994</v>
      </c>
      <c r="DP25" s="17">
        <f>DO25*VLOOKUP('Données projet'!$B$14,Paramètres!$A$1:$I$89,3,0)*VLOOKUP('Données projet'!$B$14,Paramètres!$A$1:$I$89,5,0)</f>
        <v>57.067920000000001</v>
      </c>
      <c r="DQ25" s="13">
        <f t="shared" si="43"/>
        <v>16.424799423220737</v>
      </c>
      <c r="DR25" s="20">
        <f t="shared" si="16"/>
        <v>127.99981966210943</v>
      </c>
      <c r="DS25" s="59">
        <f t="shared" si="17"/>
        <v>421.33315299544273</v>
      </c>
      <c r="DT25" s="59">
        <f ca="1">AVERAGE(OFFSET($DS$3,0,0,'Données projet'!$E$14+1,1))-AVERAGE(OFFSET($H$3,0,0,'Données projet'!$E$14+1,1))</f>
        <v>291.18074901939718</v>
      </c>
      <c r="DU25" s="59">
        <f t="shared" si="44"/>
        <v>181.05123751753774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</v>
      </c>
      <c r="EJ25" s="12">
        <f>IF('Données projet'!$A$192&gt;35,EJ24+EI25-ER24,IF(A25&lt;'Données projet'!$A$192,$EG$205^A25,IF(A25='Données projet'!$A$192,'Données projet'!$B$192,EJ24+EI25-ER24)))</f>
        <v>127</v>
      </c>
      <c r="EK25" s="17">
        <f>EJ25*VLOOKUP('Données projet'!$B$15,Paramètres!$A$1:$I$89,3,0)*VLOOKUP('Données projet'!$B$15,Paramètres!$A$1:$I$89,5,0)</f>
        <v>75.945999999999998</v>
      </c>
      <c r="EL25" s="13">
        <f t="shared" si="45"/>
        <v>21.142979995226831</v>
      </c>
      <c r="EM25" s="20">
        <f t="shared" si="19"/>
        <v>169.09664015835338</v>
      </c>
      <c r="EN25" s="59">
        <f t="shared" si="20"/>
        <v>462.42997349168672</v>
      </c>
      <c r="EO25" s="59">
        <f ca="1">AVERAGE(OFFSET($EN$3,0,0,'Données projet'!$E$15+1,1))-AVERAGE(OFFSET($H$3,0,0,'Données projet'!$E$15+1,1))</f>
        <v>168.08890945052406</v>
      </c>
      <c r="EP25" s="59">
        <f t="shared" si="46"/>
        <v>182.52462557642343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0.75485410472494885</v>
      </c>
      <c r="EW25" s="21">
        <f>EXP(-LN(2)/25)*EW24+(1-EXP(-LN(2)/25))/(LN(2)/25)*Calculateur!ER25*Calculateur!ET25*VLOOKUP('Données projet'!$B$15,Paramètres!$A$1:$I$89,3,0)*0.475*44/12</f>
        <v>5.5883835549849303</v>
      </c>
      <c r="EX25" s="21">
        <f>EXP(-LN(2)/2)*EX24+(1-EXP(-LN(2)/2))/(LN(2)/2)*ER25*EU25*VLOOKUP('Données projet'!$B$15,Paramètres!$A$1:$I$89,3,0)*0.475*44/12</f>
        <v>3.9862785557088674</v>
      </c>
      <c r="EY25" s="22">
        <f t="shared" si="21"/>
        <v>10.329516215418746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12.2</v>
      </c>
      <c r="FE25" s="12">
        <f>IF('Données projet'!$A$218&gt;35,FE24+FD25-FM24,IF(A25&lt;'Données projet'!$A$218,$FB$205^A25,IF(A25='Données projet'!$A$218,'Données projet'!$B$218,FE24+FD25-FM24)))</f>
        <v>76.400000000000006</v>
      </c>
      <c r="FF25" s="17">
        <f>FE25*VLOOKUP('Données projet'!$B$16,Paramètres!$A$1:$I$89,3,0)*VLOOKUP('Données projet'!$B$16,Paramètres!$A$1:$I$89,5,0)</f>
        <v>51.249120000000005</v>
      </c>
      <c r="FG25" s="13">
        <f t="shared" si="47"/>
        <v>14.935885615366388</v>
      </c>
      <c r="FH25" s="20">
        <f t="shared" si="22"/>
        <v>115.27221811342979</v>
      </c>
      <c r="FI25" s="59">
        <f t="shared" si="23"/>
        <v>408.60555144676312</v>
      </c>
      <c r="FJ25" s="59">
        <f ca="1">AVERAGE(OFFSET($FI$3,0,0,'Données projet'!$E$16+1,1))-AVERAGE(OFFSET($H$3,0,0,'Données projet'!$E$16+1,1))</f>
        <v>156.63226020379989</v>
      </c>
      <c r="FK25" s="59">
        <f t="shared" si="48"/>
        <v>196.0481096619543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3.9813351703086441</v>
      </c>
      <c r="FS25" s="21">
        <f>EXP(-LN(2)/2)*FS24+(1-EXP(-LN(2)/2))/(LN(2)/2)*FM25*FP25*VLOOKUP('Données projet'!$B$16,Paramètres!$A$1:$I$89,3,0)*0.475*44/12</f>
        <v>3.4019334669554575</v>
      </c>
      <c r="FT25" s="22">
        <f t="shared" si="24"/>
        <v>7.3832686372641021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13</v>
      </c>
      <c r="FZ25" s="12">
        <f>IF('Données projet'!$A$244&gt;35,FZ24+FY25-GH24,IF(A25&lt;'Données projet'!$A$244,$FW$205^A25,IF(A25='Données projet'!$A$244,'Données projet'!$B$244,FZ24+FY25-GH24)))</f>
        <v>114</v>
      </c>
      <c r="GA25" s="17">
        <f>FZ25*VLOOKUP('Données projet'!$B$17,Paramètres!$A$1:$I$89,3,0)*VLOOKUP('Données projet'!$B$17,Paramètres!$A$1:$I$89,5,0)</f>
        <v>68.172000000000011</v>
      </c>
      <c r="GB25" s="13">
        <f t="shared" si="49"/>
        <v>19.21880399855084</v>
      </c>
      <c r="GC25" s="20">
        <f t="shared" si="25"/>
        <v>152.20565029747607</v>
      </c>
      <c r="GD25" s="59">
        <f t="shared" si="26"/>
        <v>445.53898363080941</v>
      </c>
      <c r="GE25" s="59">
        <f ca="1">AVERAGE(OFFSET($GD$3,0,0,'Données projet'!$E$17+1,1))-AVERAGE(OFFSET($H$3,0,0,'Données projet'!$E$17+1,1))</f>
        <v>216.94426559495264</v>
      </c>
      <c r="GF25" s="59">
        <f t="shared" si="50"/>
        <v>225.33715877618704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0.50458874062709436</v>
      </c>
      <c r="GN25" s="21">
        <f>EXP(-LN(2)/2)*GN24+(1-EXP(-LN(2)/2))/(LN(2)/2)*GH25*GK25*VLOOKUP('Données projet'!$B$17,Paramètres!$A$1:$I$89,3,0)*0.475*44/12</f>
        <v>0.50780618544062006</v>
      </c>
      <c r="GO25" s="21">
        <f t="shared" si="27"/>
        <v>1.0123949260677145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6.3</v>
      </c>
      <c r="GU25" s="12">
        <f>IF('Données projet'!$A$270&gt;35,GU24+GT25-HC24,IF(A25&lt;'Données projet'!$A$270,$GR$205^A25,IF(A25='Données projet'!$A$270,'Données projet'!$B$270,GU24+GT25-HC24)))</f>
        <v>54.599999999999994</v>
      </c>
      <c r="GV25" s="17">
        <f>GU25*VLOOKUP('Données projet'!$B$18,Paramètres!$A$1:$I$89,3,0)*VLOOKUP('Données projet'!$B$18,Paramètres!$A$1:$I$89,5,0)</f>
        <v>52.80912</v>
      </c>
      <c r="GW25" s="13">
        <f t="shared" si="51"/>
        <v>15.336903179103643</v>
      </c>
      <c r="GX25" s="20">
        <f t="shared" si="28"/>
        <v>118.68765703693884</v>
      </c>
      <c r="GY25" s="59">
        <f t="shared" si="29"/>
        <v>412.02099037027216</v>
      </c>
      <c r="GZ25" s="59">
        <f ca="1">AVERAGE(OFFSET($GY$3,0,0,'Données projet'!$E$18+1,1))-AVERAGE(OFFSET($H$3,0,0,'Données projet'!$E$18+1,1))</f>
        <v>261.22357949323879</v>
      </c>
      <c r="HA25" s="59">
        <f t="shared" si="52"/>
        <v>163.41029152029387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417.03735444807114</v>
      </c>
      <c r="S26" s="59">
        <f ca="1">AVERAGE(OFFSET($R$3,0,0,'Données projet'!$E$9+1,1))-AVERAGE(OFFSET($H$3,0,0,'Données projet'!$E$9+1,1))</f>
        <v>237.22177246688199</v>
      </c>
      <c r="T26" s="59">
        <f t="shared" si="34"/>
        <v>149.27472147904302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</v>
      </c>
      <c r="AI26" s="13">
        <f>IF('Données projet'!$A$62&gt;35,AI25+AH26-AQ25,IF(A26&lt;'Données projet'!$A$62,$AF$205^A26,IF(A26='Données projet'!$A$62,'Données projet'!$B$62,AI25+AH26-AQ25)))</f>
        <v>94.299999999999955</v>
      </c>
      <c r="AJ26" s="13">
        <f>AI26*VLOOKUP('Données projet'!$B$10,Paramètres!$A$1:$I$89,3,0)*VLOOKUP('Données projet'!$B$10,Paramètres!$A$1:$I$89,5,0)</f>
        <v>82.380479999999963</v>
      </c>
      <c r="AK26" s="13">
        <f t="shared" si="35"/>
        <v>22.718226877103955</v>
      </c>
      <c r="AL26" s="20">
        <f t="shared" si="4"/>
        <v>183.04691447762266</v>
      </c>
      <c r="AM26" s="59">
        <f t="shared" si="5"/>
        <v>476.38024781095601</v>
      </c>
      <c r="AN26" s="59">
        <f ca="1">AVERAGE(OFFSET($AM$3,0,0,'Données projet'!$E$10+1,1))-AVERAGE(OFFSET($H$3,0,0,'Données projet'!$E$10+1,1))</f>
        <v>210.07838338464626</v>
      </c>
      <c r="AO26" s="59">
        <f t="shared" si="36"/>
        <v>241.76003724236273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1.604388265881086</v>
      </c>
      <c r="AV26" s="21">
        <f>EXP(-LN(2)/25)*AV25+(1-EXP(-LN(2)/25))/(LN(2)/25)*Calculateur!AQ26*Calculateur!AS26*VLOOKUP('Données projet'!$B$10,Paramètres!$A$1:$I$89,3,0)*0.475*44/12</f>
        <v>7.0224329975440432</v>
      </c>
      <c r="AW26" s="21">
        <f>EXP(-LN(2)/2)*AW25+(1-EXP(-LN(2)/2))/(LN(2)/2)*AQ26*AT26*VLOOKUP('Données projet'!$B$10,Paramètres!$A$1:$I$89,3,0)*0.475*44/12</f>
        <v>5.3767308319181639</v>
      </c>
      <c r="AX26" s="21">
        <f t="shared" si="6"/>
        <v>14.003552095343291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13.9</v>
      </c>
      <c r="BD26" s="12">
        <f>IF('Données projet'!$A$88&gt;35,BD25+BC26-BL25,IF(A26&lt;'Données projet'!$A$88,$BA$205^A26,IF(A26='Données projet'!$A$88,'Données projet'!$B$88,BD25+BC26-BL25)))</f>
        <v>122.70000000000002</v>
      </c>
      <c r="BE26" s="13">
        <f>BD26*VLOOKUP('Données projet'!$B$11,Paramètres!$A$1:$I$89,3,0)*VLOOKUP('Données projet'!$B$11,Paramètres!$A$1:$I$89,5,0)</f>
        <v>76.56480000000002</v>
      </c>
      <c r="BF26" s="13">
        <f t="shared" si="37"/>
        <v>21.295126483826621</v>
      </c>
      <c r="BG26" s="20">
        <f t="shared" si="7"/>
        <v>170.4393719593314</v>
      </c>
      <c r="BH26" s="59">
        <f t="shared" si="8"/>
        <v>463.77270529266468</v>
      </c>
      <c r="BI26" s="59">
        <f ca="1">AVERAGE(OFFSET($BH$3,0,0,'Données projet'!$E$11+1,1))-AVERAGE(OFFSET($H$3,0,0,'Données projet'!$E$11+1,1))</f>
        <v>209.93608079129638</v>
      </c>
      <c r="BJ26" s="59">
        <f t="shared" si="38"/>
        <v>240.15652428700969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8.4216844958797346</v>
      </c>
      <c r="BR26" s="21">
        <f>EXP(-LN(2)/2)*BR25+(1-EXP(-LN(2)/2))/(LN(2)/2)*BL26*BO26*VLOOKUP('Données projet'!$B$11,Paramètres!$A$1:$I$89,3,0)*0.475*44/12</f>
        <v>4.6211159298715918</v>
      </c>
      <c r="BS26" s="22">
        <f t="shared" si="9"/>
        <v>13.042800425751327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173.09999999999997</v>
      </c>
      <c r="BZ26" s="13">
        <f>BY26*VLOOKUP('Données projet'!$B$12,Paramètres!$A$1:$I$89,3,0)*VLOOKUP('Données projet'!$B$12,Paramètres!$A$1:$I$89,5,0)</f>
        <v>81.010799999999989</v>
      </c>
      <c r="CA26" s="13">
        <f t="shared" si="39"/>
        <v>22.384149091932141</v>
      </c>
      <c r="CB26" s="20">
        <f t="shared" si="10"/>
        <v>180.07953633511511</v>
      </c>
      <c r="CC26" s="59">
        <f t="shared" si="11"/>
        <v>473.41286966844842</v>
      </c>
      <c r="CD26" s="59">
        <f ca="1">AVERAGE(OFFSET($CC$3,0,0,'Données projet'!$E$12+1,1))-AVERAGE(OFFSET($H$3,0,0,'Données projet'!$E$12+1,1))</f>
        <v>215.23235148064941</v>
      </c>
      <c r="CE26" s="59">
        <f t="shared" si="40"/>
        <v>184.07239726900434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1.9560500307153104</v>
      </c>
      <c r="CM26" s="21">
        <f>EXP(-LN(2)/2)*CM25+(1-EXP(-LN(2)/2))/(LN(2)/2)*CG26*CJ26*VLOOKUP('Données projet'!$B$12,Paramètres!$A$1:$I$89,3,0)*0.475*44/12</f>
        <v>1.170890860609356</v>
      </c>
      <c r="CN26" s="22">
        <f t="shared" si="12"/>
        <v>3.1269408913246663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</v>
      </c>
      <c r="CT26" s="12">
        <f>IF('Données projet'!$A$140&gt;35,CT25+CS26-DB25,IF(A26&lt;'Données projet'!$A$140,$CQ$205^A26,IF(A26='Données projet'!$A$140,'Données projet'!$B$140,CT25+CS26-DB25)))</f>
        <v>60.899999999999991</v>
      </c>
      <c r="CU26" s="17">
        <f>CT26*VLOOKUP('Données projet'!$B$13,Paramètres!$A$1:$I$89,3,0)*VLOOKUP('Données projet'!$B$13,Paramètres!$A$1:$I$89,5,0)</f>
        <v>61.752599999999994</v>
      </c>
      <c r="CV26" s="13">
        <f t="shared" si="41"/>
        <v>17.610636043798049</v>
      </c>
      <c r="CW26" s="20">
        <f t="shared" si="13"/>
        <v>138.22430277628158</v>
      </c>
      <c r="CX26" s="59">
        <f t="shared" si="14"/>
        <v>431.55763610961492</v>
      </c>
      <c r="CY26" s="59">
        <f ca="1">AVERAGE(OFFSET($CX$3,0,0,'Données projet'!$E$13+1,1))-AVERAGE(OFFSET($H$3,0,0,'Données projet'!$E$13+1,1))</f>
        <v>279.20364724206644</v>
      </c>
      <c r="CZ26" s="59">
        <f t="shared" si="42"/>
        <v>173.99850582760712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6.3</v>
      </c>
      <c r="DO26" s="12">
        <f>IF('Données projet'!$A$166&gt;35,DO25+DN26-DW25,IF(A26&lt;'Données projet'!$A$166,$DL$205^A26,IF(A26='Données projet'!$A$166,'Données projet'!$B$166,DO25+DN26-DW25)))</f>
        <v>60.899999999999991</v>
      </c>
      <c r="DP26" s="17">
        <f>DO26*VLOOKUP('Données projet'!$B$14,Paramètres!$A$1:$I$89,3,0)*VLOOKUP('Données projet'!$B$14,Paramètres!$A$1:$I$89,5,0)</f>
        <v>63.652679999999997</v>
      </c>
      <c r="DQ26" s="13">
        <f t="shared" si="43"/>
        <v>18.088580851627992</v>
      </c>
      <c r="DR26" s="20">
        <f t="shared" si="16"/>
        <v>142.36602931658538</v>
      </c>
      <c r="DS26" s="59">
        <f t="shared" si="17"/>
        <v>435.69936264991873</v>
      </c>
      <c r="DT26" s="59">
        <f ca="1">AVERAGE(OFFSET($DS$3,0,0,'Données projet'!$E$14+1,1))-AVERAGE(OFFSET($H$3,0,0,'Données projet'!$E$14+1,1))</f>
        <v>291.18074901939718</v>
      </c>
      <c r="DU26" s="59">
        <f t="shared" si="44"/>
        <v>181.05123751753774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</v>
      </c>
      <c r="EJ26" s="12">
        <f>IF('Données projet'!$A$192&gt;35,EJ25+EI26-ER25,IF(A26&lt;'Données projet'!$A$192,$EG$205^A26,IF(A26='Données projet'!$A$192,'Données projet'!$B$192,EJ25+EI26-ER25)))</f>
        <v>142</v>
      </c>
      <c r="EK26" s="17">
        <f>EJ26*VLOOKUP('Données projet'!$B$15,Paramètres!$A$1:$I$89,3,0)*VLOOKUP('Données projet'!$B$15,Paramètres!$A$1:$I$89,5,0)</f>
        <v>84.916000000000011</v>
      </c>
      <c r="EL26" s="13">
        <f t="shared" si="45"/>
        <v>23.33496813320572</v>
      </c>
      <c r="EM26" s="20">
        <f t="shared" si="19"/>
        <v>188.53710283199996</v>
      </c>
      <c r="EN26" s="59">
        <f t="shared" si="20"/>
        <v>481.87043616533327</v>
      </c>
      <c r="EO26" s="59">
        <f ca="1">AVERAGE(OFFSET($EN$3,0,0,'Données projet'!$E$15+1,1))-AVERAGE(OFFSET($H$3,0,0,'Données projet'!$E$15+1,1))</f>
        <v>168.08890945052406</v>
      </c>
      <c r="EP26" s="59">
        <f t="shared" si="46"/>
        <v>182.52462557642343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0.74005187614683421</v>
      </c>
      <c r="EW26" s="21">
        <f>EXP(-LN(2)/25)*EW25+(1-EXP(-LN(2)/25))/(LN(2)/25)*Calculateur!ER26*Calculateur!ET26*VLOOKUP('Données projet'!$B$15,Paramètres!$A$1:$I$89,3,0)*0.475*44/12</f>
        <v>5.4355689127935483</v>
      </c>
      <c r="EX26" s="21">
        <f>EXP(-LN(2)/2)*EX25+(1-EXP(-LN(2)/2))/(LN(2)/2)*ER26*EU26*VLOOKUP('Données projet'!$B$15,Paramètres!$A$1:$I$89,3,0)*0.475*44/12</f>
        <v>2.8187245984402569</v>
      </c>
      <c r="EY26" s="22">
        <f t="shared" si="21"/>
        <v>8.9943453873806405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12.2</v>
      </c>
      <c r="FE26" s="12">
        <f>IF('Données projet'!$A$218&gt;35,FE25+FD26-FM25,IF(A26&lt;'Données projet'!$A$218,$FB$205^A26,IF(A26='Données projet'!$A$218,'Données projet'!$B$218,FE25+FD26-FM25)))</f>
        <v>88.600000000000009</v>
      </c>
      <c r="FF26" s="17">
        <f>FE26*VLOOKUP('Données projet'!$B$16,Paramètres!$A$1:$I$89,3,0)*VLOOKUP('Données projet'!$B$16,Paramètres!$A$1:$I$89,5,0)</f>
        <v>59.432880000000011</v>
      </c>
      <c r="FG26" s="13">
        <f t="shared" si="47"/>
        <v>17.024804126865714</v>
      </c>
      <c r="FH26" s="20">
        <f t="shared" si="22"/>
        <v>133.16379985429114</v>
      </c>
      <c r="FI26" s="59">
        <f t="shared" si="23"/>
        <v>426.49713318762446</v>
      </c>
      <c r="FJ26" s="59">
        <f ca="1">AVERAGE(OFFSET($FI$3,0,0,'Données projet'!$E$16+1,1))-AVERAGE(OFFSET($H$3,0,0,'Données projet'!$E$16+1,1))</f>
        <v>156.63226020379989</v>
      </c>
      <c r="FK26" s="59">
        <f t="shared" si="48"/>
        <v>196.0481096619543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3.8724653507072371</v>
      </c>
      <c r="FS26" s="21">
        <f>EXP(-LN(2)/2)*FS25+(1-EXP(-LN(2)/2))/(LN(2)/2)*FM26*FP26*VLOOKUP('Données projet'!$B$16,Paramètres!$A$1:$I$89,3,0)*0.475*44/12</f>
        <v>2.4055302236296661</v>
      </c>
      <c r="FT26" s="22">
        <f t="shared" si="24"/>
        <v>6.2779955743369031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13</v>
      </c>
      <c r="FZ26" s="12">
        <f>IF('Données projet'!$A$244&gt;35,FZ25+FY26-GH25,IF(A26&lt;'Données projet'!$A$244,$FW$205^A26,IF(A26='Données projet'!$A$244,'Données projet'!$B$244,FZ25+FY26-GH25)))</f>
        <v>127</v>
      </c>
      <c r="GA26" s="17">
        <f>FZ26*VLOOKUP('Données projet'!$B$17,Paramètres!$A$1:$I$89,3,0)*VLOOKUP('Données projet'!$B$17,Paramètres!$A$1:$I$89,5,0)</f>
        <v>75.945999999999998</v>
      </c>
      <c r="GB26" s="13">
        <f t="shared" si="49"/>
        <v>21.142979995226831</v>
      </c>
      <c r="GC26" s="20">
        <f t="shared" si="25"/>
        <v>169.09664015835338</v>
      </c>
      <c r="GD26" s="59">
        <f t="shared" si="26"/>
        <v>462.42997349168672</v>
      </c>
      <c r="GE26" s="59">
        <f ca="1">AVERAGE(OFFSET($GD$3,0,0,'Données projet'!$E$17+1,1))-AVERAGE(OFFSET($H$3,0,0,'Données projet'!$E$17+1,1))</f>
        <v>216.94426559495264</v>
      </c>
      <c r="GF26" s="59">
        <f t="shared" si="50"/>
        <v>225.33715877618704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0.49079073497947784</v>
      </c>
      <c r="GN26" s="21">
        <f>EXP(-LN(2)/2)*GN25+(1-EXP(-LN(2)/2))/(LN(2)/2)*GH26*GK26*VLOOKUP('Données projet'!$B$17,Paramètres!$A$1:$I$89,3,0)*0.475*44/12</f>
        <v>0.35907319725353593</v>
      </c>
      <c r="GO26" s="21">
        <f t="shared" si="27"/>
        <v>0.84986393223301371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6.3</v>
      </c>
      <c r="GU26" s="12">
        <f>IF('Données projet'!$A$270&gt;35,GU25+GT26-HC25,IF(A26&lt;'Données projet'!$A$270,$GR$205^A26,IF(A26='Données projet'!$A$270,'Données projet'!$B$270,GU25+GT26-HC25)))</f>
        <v>60.899999999999991</v>
      </c>
      <c r="GV26" s="17">
        <f>GU26*VLOOKUP('Données projet'!$B$18,Paramètres!$A$1:$I$89,3,0)*VLOOKUP('Données projet'!$B$18,Paramètres!$A$1:$I$89,5,0)</f>
        <v>58.902479999999997</v>
      </c>
      <c r="GW26" s="13">
        <f t="shared" si="51"/>
        <v>16.890484079616659</v>
      </c>
      <c r="GX26" s="20">
        <f t="shared" si="28"/>
        <v>132.00607910533233</v>
      </c>
      <c r="GY26" s="59">
        <f t="shared" si="29"/>
        <v>425.33941243866565</v>
      </c>
      <c r="GZ26" s="59">
        <f ca="1">AVERAGE(OFFSET($GY$3,0,0,'Données projet'!$E$18+1,1))-AVERAGE(OFFSET($H$3,0,0,'Données projet'!$E$18+1,1))</f>
        <v>261.22357949323879</v>
      </c>
      <c r="HA26" s="59">
        <f t="shared" si="52"/>
        <v>163.41029152029387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429.48565910954028</v>
      </c>
      <c r="S27" s="59">
        <f ca="1">AVERAGE(OFFSET($R$3,0,0,'Données projet'!$E$9+1,1))-AVERAGE(OFFSET($H$3,0,0,'Données projet'!$E$9+1,1))</f>
        <v>237.22177246688199</v>
      </c>
      <c r="T27" s="59">
        <f t="shared" si="34"/>
        <v>149.27472147904302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</v>
      </c>
      <c r="AI27" s="13">
        <f>IF('Données projet'!$A$62&gt;35,AI26+AH27-AQ26,IF(A27&lt;'Données projet'!$A$62,$AF$205^A27,IF(A27='Données projet'!$A$62,'Données projet'!$B$62,AI26+AH27-AQ26)))</f>
        <v>103.39999999999995</v>
      </c>
      <c r="AJ27" s="13">
        <f>AI27*VLOOKUP('Données projet'!$B$10,Paramètres!$A$1:$I$89,3,0)*VLOOKUP('Données projet'!$B$10,Paramètres!$A$1:$I$89,5,0)</f>
        <v>90.330239999999961</v>
      </c>
      <c r="AK27" s="13">
        <f t="shared" si="35"/>
        <v>24.644853944123636</v>
      </c>
      <c r="AL27" s="20">
        <f t="shared" si="4"/>
        <v>200.24828861934861</v>
      </c>
      <c r="AM27" s="59">
        <f t="shared" si="5"/>
        <v>493.58162195268193</v>
      </c>
      <c r="AN27" s="59">
        <f ca="1">AVERAGE(OFFSET($AM$3,0,0,'Données projet'!$E$10+1,1))-AVERAGE(OFFSET($H$3,0,0,'Données projet'!$E$10+1,1))</f>
        <v>210.07838338464626</v>
      </c>
      <c r="AO27" s="59">
        <f t="shared" si="36"/>
        <v>241.76003724236273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1.5729271905673732</v>
      </c>
      <c r="AV27" s="21">
        <f>EXP(-LN(2)/25)*AV26+(1-EXP(-LN(2)/25))/(LN(2)/25)*Calculateur!AQ27*Calculateur!AS27*VLOOKUP('Données projet'!$B$10,Paramètres!$A$1:$I$89,3,0)*0.475*44/12</f>
        <v>6.8304041979325003</v>
      </c>
      <c r="AW27" s="21">
        <f>EXP(-LN(2)/2)*AW26+(1-EXP(-LN(2)/2))/(LN(2)/2)*AQ27*AT27*VLOOKUP('Données projet'!$B$10,Paramètres!$A$1:$I$89,3,0)*0.475*44/12</f>
        <v>3.8019228318641209</v>
      </c>
      <c r="AX27" s="21">
        <f t="shared" si="6"/>
        <v>12.205254220363994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13.9</v>
      </c>
      <c r="BD27" s="12">
        <f>IF('Données projet'!$A$88&gt;35,BD26+BC27-BL26,IF(A27&lt;'Données projet'!$A$88,$BA$205^A27,IF(A27='Données projet'!$A$88,'Données projet'!$B$88,BD26+BC27-BL26)))</f>
        <v>136.60000000000002</v>
      </c>
      <c r="BE27" s="13">
        <f>BD27*VLOOKUP('Données projet'!$B$11,Paramètres!$A$1:$I$89,3,0)*VLOOKUP('Données projet'!$B$11,Paramètres!$A$1:$I$89,5,0)</f>
        <v>85.238400000000013</v>
      </c>
      <c r="BF27" s="13">
        <f t="shared" si="37"/>
        <v>23.413234033238567</v>
      </c>
      <c r="BG27" s="20">
        <f t="shared" si="7"/>
        <v>189.2349292745572</v>
      </c>
      <c r="BH27" s="59">
        <f t="shared" si="8"/>
        <v>482.56826260789052</v>
      </c>
      <c r="BI27" s="59">
        <f ca="1">AVERAGE(OFFSET($BH$3,0,0,'Données projet'!$E$11+1,1))-AVERAGE(OFFSET($H$3,0,0,'Données projet'!$E$11+1,1))</f>
        <v>209.93608079129638</v>
      </c>
      <c r="BJ27" s="59">
        <f t="shared" si="38"/>
        <v>240.15652428700969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8.1913930904627641</v>
      </c>
      <c r="BR27" s="21">
        <f>EXP(-LN(2)/2)*BR26+(1-EXP(-LN(2)/2))/(LN(2)/2)*BL27*BO27*VLOOKUP('Données projet'!$B$11,Paramètres!$A$1:$I$89,3,0)*0.475*44/12</f>
        <v>3.2676224106613811</v>
      </c>
      <c r="BS27" s="22">
        <f t="shared" si="9"/>
        <v>11.459015501124146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182.29999999999995</v>
      </c>
      <c r="BZ27" s="13">
        <f>BY27*VLOOKUP('Données projet'!$B$12,Paramètres!$A$1:$I$89,3,0)*VLOOKUP('Données projet'!$B$12,Paramètres!$A$1:$I$89,5,0)</f>
        <v>85.316399999999987</v>
      </c>
      <c r="CA27" s="13">
        <f t="shared" si="39"/>
        <v>23.432164150529264</v>
      </c>
      <c r="CB27" s="20">
        <f t="shared" si="10"/>
        <v>189.40374922883845</v>
      </c>
      <c r="CC27" s="59">
        <f t="shared" si="11"/>
        <v>482.73708256217174</v>
      </c>
      <c r="CD27" s="59">
        <f ca="1">AVERAGE(OFFSET($CC$3,0,0,'Données projet'!$E$12+1,1))-AVERAGE(OFFSET($H$3,0,0,'Données projet'!$E$12+1,1))</f>
        <v>215.23235148064941</v>
      </c>
      <c r="CE27" s="59">
        <f t="shared" si="40"/>
        <v>184.07239726900434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1.9025617397611998</v>
      </c>
      <c r="CM27" s="21">
        <f>EXP(-LN(2)/2)*CM26+(1-EXP(-LN(2)/2))/(LN(2)/2)*CG27*CJ27*VLOOKUP('Données projet'!$B$12,Paramètres!$A$1:$I$89,3,0)*0.475*44/12</f>
        <v>0.8279448675662282</v>
      </c>
      <c r="CN27" s="22">
        <f t="shared" si="12"/>
        <v>2.730506607327428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</v>
      </c>
      <c r="CT27" s="12">
        <f>IF('Données projet'!$A$140&gt;35,CT26+CS27-DB26,IF(A27&lt;'Données projet'!$A$140,$CQ$205^A27,IF(A27='Données projet'!$A$140,'Données projet'!$B$140,CT26+CS27-DB26)))</f>
        <v>67.199999999999989</v>
      </c>
      <c r="CU27" s="17">
        <f>CT27*VLOOKUP('Données projet'!$B$13,Paramètres!$A$1:$I$89,3,0)*VLOOKUP('Données projet'!$B$13,Paramètres!$A$1:$I$89,5,0)</f>
        <v>68.140799999999984</v>
      </c>
      <c r="CV27" s="13">
        <f t="shared" si="41"/>
        <v>19.21103183030446</v>
      </c>
      <c r="CW27" s="20">
        <f t="shared" si="13"/>
        <v>152.13777377111359</v>
      </c>
      <c r="CX27" s="59">
        <f t="shared" si="14"/>
        <v>445.4711071044469</v>
      </c>
      <c r="CY27" s="59">
        <f ca="1">AVERAGE(OFFSET($CX$3,0,0,'Données projet'!$E$13+1,1))-AVERAGE(OFFSET($H$3,0,0,'Données projet'!$E$13+1,1))</f>
        <v>279.20364724206644</v>
      </c>
      <c r="CZ27" s="59">
        <f t="shared" si="42"/>
        <v>173.99850582760712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6.3</v>
      </c>
      <c r="DO27" s="12">
        <f>IF('Données projet'!$A$166&gt;35,DO26+DN27-DW26,IF(A27&lt;'Données projet'!$A$166,$DL$205^A27,IF(A27='Données projet'!$A$166,'Données projet'!$B$166,DO26+DN27-DW26)))</f>
        <v>67.199999999999989</v>
      </c>
      <c r="DP27" s="17">
        <f>DO27*VLOOKUP('Données projet'!$B$14,Paramètres!$A$1:$I$89,3,0)*VLOOKUP('Données projet'!$B$14,Paramètres!$A$1:$I$89,5,0)</f>
        <v>70.237439999999992</v>
      </c>
      <c r="DQ27" s="13">
        <f t="shared" si="43"/>
        <v>19.73241066599866</v>
      </c>
      <c r="DR27" s="20">
        <f t="shared" si="16"/>
        <v>156.69748990994762</v>
      </c>
      <c r="DS27" s="59">
        <f t="shared" si="17"/>
        <v>450.03082324328091</v>
      </c>
      <c r="DT27" s="59">
        <f ca="1">AVERAGE(OFFSET($DS$3,0,0,'Données projet'!$E$14+1,1))-AVERAGE(OFFSET($H$3,0,0,'Données projet'!$E$14+1,1))</f>
        <v>291.18074901939718</v>
      </c>
      <c r="DU27" s="59">
        <f t="shared" si="44"/>
        <v>181.05123751753774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>
        <f>VLOOKUP(A27,'Données projet'!$A$191:$I$211,2,0)</f>
        <v>157</v>
      </c>
      <c r="EH27" s="12">
        <f>VLOOKUP(A27,'Données projet'!$A$191:$I$211,9,0)</f>
        <v>15</v>
      </c>
      <c r="EI27" s="12">
        <f t="array" ref="EI27">INDEX(EH:EH,MIN(IF(ISNUMBER(EH27:EH223),ROW(EH27:EH223),"")))</f>
        <v>15</v>
      </c>
      <c r="EJ27" s="12">
        <f>IF('Données projet'!$A$192&gt;35,EJ26+EI27-ER26,IF(A27&lt;'Données projet'!$A$192,$EG$205^A27,IF(A27='Données projet'!$A$192,'Données projet'!$B$192,EJ26+EI27-ER26)))</f>
        <v>157</v>
      </c>
      <c r="EK27" s="17">
        <f>EJ27*VLOOKUP('Données projet'!$B$15,Paramètres!$A$1:$I$89,3,0)*VLOOKUP('Données projet'!$B$15,Paramètres!$A$1:$I$89,5,0)</f>
        <v>93.885999999999996</v>
      </c>
      <c r="EL27" s="13">
        <f t="shared" si="45"/>
        <v>25.500116461916402</v>
      </c>
      <c r="EM27" s="20">
        <f t="shared" si="19"/>
        <v>207.9308195045044</v>
      </c>
      <c r="EN27" s="59">
        <f t="shared" si="20"/>
        <v>501.26415283783774</v>
      </c>
      <c r="EO27" s="59">
        <f ca="1">AVERAGE(OFFSET($EN$3,0,0,'Données projet'!$E$15+1,1))-AVERAGE(OFFSET($H$3,0,0,'Données projet'!$E$15+1,1))</f>
        <v>168.08890945052406</v>
      </c>
      <c r="EP27" s="59">
        <f t="shared" si="46"/>
        <v>182.52462557642343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31</v>
      </c>
      <c r="ES27" s="16">
        <f>IF(ISNA(VLOOKUP(A27,'Données projet'!$A$191:$I$211,5,0)),0%,VLOOKUP(A27,'Données projet'!$A$191:$I$211,5,0)*VLOOKUP('Données projet'!$B$15,Paramètres!$A$1:$I$89,7,0))</f>
        <v>9.0000000000000011E-2</v>
      </c>
      <c r="ET27" s="16">
        <f>IF(ISNA(VLOOKUP(A27,'Données projet'!$A$191:$I$211,6,0)),0%,VLOOKUP(A27,'Données projet'!$A$191:$I$211,6,0)*VLOOKUP('Données projet'!$B$15,Paramètres!$A$1:$I$89,7,0))</f>
        <v>0.18000000000000002</v>
      </c>
      <c r="EU27" s="16">
        <f>IF(ISNA(VLOOKUP(A27,'Données projet'!$A$191:$I$211,7,0)),0%,VLOOKUP(A27,'Données projet'!$A$191:$I$211,7,0))</f>
        <v>0.4</v>
      </c>
      <c r="EV27" s="21">
        <f>EXP(-LN(2)/35)*EV26+(1-EXP(-LN(2)/35))/(LN(2)/35)*ER27*ES27*VLOOKUP('Données projet'!$B$15,Paramètres!$A$1:$I$89,3,0)*0.475*44/12</f>
        <v>2.9388065789871067</v>
      </c>
      <c r="EW27" s="21">
        <f>EXP(-LN(2)/25)*EW26+(1-EXP(-LN(2)/25))/(LN(2)/25)*Calculateur!ER27*Calculateur!ET27*VLOOKUP('Données projet'!$B$15,Paramètres!$A$1:$I$89,3,0)*0.475*44/12</f>
        <v>9.6960373841268126</v>
      </c>
      <c r="EX27" s="21">
        <f>EXP(-LN(2)/2)*EX26+(1-EXP(-LN(2)/2))/(LN(2)/2)*ER27*EU27*VLOOKUP('Données projet'!$B$15,Paramètres!$A$1:$I$89,3,0)*0.475*44/12</f>
        <v>10.388868210472685</v>
      </c>
      <c r="EY27" s="22">
        <f t="shared" si="21"/>
        <v>23.023712173586603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12.2</v>
      </c>
      <c r="FE27" s="12">
        <f>IF('Données projet'!$A$218&gt;35,FE26+FD27-FM26,IF(A27&lt;'Données projet'!$A$218,$FB$205^A27,IF(A27='Données projet'!$A$218,'Données projet'!$B$218,FE26+FD27-FM26)))</f>
        <v>100.80000000000001</v>
      </c>
      <c r="FF27" s="17">
        <f>FE27*VLOOKUP('Données projet'!$B$16,Paramètres!$A$1:$I$89,3,0)*VLOOKUP('Données projet'!$B$16,Paramètres!$A$1:$I$89,5,0)</f>
        <v>67.616640000000004</v>
      </c>
      <c r="FG27" s="13">
        <f t="shared" si="47"/>
        <v>19.080397298873443</v>
      </c>
      <c r="FH27" s="20">
        <f t="shared" si="22"/>
        <v>150.99733996220459</v>
      </c>
      <c r="FI27" s="59">
        <f t="shared" si="23"/>
        <v>444.33067329553791</v>
      </c>
      <c r="FJ27" s="59">
        <f ca="1">AVERAGE(OFFSET($FI$3,0,0,'Données projet'!$E$16+1,1))-AVERAGE(OFFSET($H$3,0,0,'Données projet'!$E$16+1,1))</f>
        <v>156.63226020379989</v>
      </c>
      <c r="FK27" s="59">
        <f t="shared" si="48"/>
        <v>196.0481096619543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3.7665725820480453</v>
      </c>
      <c r="FS27" s="21">
        <f>EXP(-LN(2)/2)*FS26+(1-EXP(-LN(2)/2))/(LN(2)/2)*FM27*FP27*VLOOKUP('Données projet'!$B$16,Paramètres!$A$1:$I$89,3,0)*0.475*44/12</f>
        <v>1.7009667334777292</v>
      </c>
      <c r="FT27" s="22">
        <f t="shared" si="24"/>
        <v>5.4675393155257748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13</v>
      </c>
      <c r="FZ27" s="12">
        <f>IF('Données projet'!$A$244&gt;35,FZ26+FY27-GH26,IF(A27&lt;'Données projet'!$A$244,$FW$205^A27,IF(A27='Données projet'!$A$244,'Données projet'!$B$244,FZ26+FY27-GH26)))</f>
        <v>140</v>
      </c>
      <c r="GA27" s="17">
        <f>FZ27*VLOOKUP('Données projet'!$B$17,Paramètres!$A$1:$I$89,3,0)*VLOOKUP('Données projet'!$B$17,Paramètres!$A$1:$I$89,5,0)</f>
        <v>83.720000000000013</v>
      </c>
      <c r="GB27" s="13">
        <f t="shared" si="49"/>
        <v>23.044323503842598</v>
      </c>
      <c r="GC27" s="20">
        <f t="shared" si="25"/>
        <v>185.9478634358592</v>
      </c>
      <c r="GD27" s="59">
        <f t="shared" si="26"/>
        <v>479.28119676919255</v>
      </c>
      <c r="GE27" s="59">
        <f ca="1">AVERAGE(OFFSET($GD$3,0,0,'Données projet'!$E$17+1,1))-AVERAGE(OFFSET($H$3,0,0,'Données projet'!$E$17+1,1))</f>
        <v>216.94426559495264</v>
      </c>
      <c r="GF27" s="59">
        <f t="shared" si="50"/>
        <v>225.33715877618704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0.47737003652190096</v>
      </c>
      <c r="GN27" s="21">
        <f>EXP(-LN(2)/2)*GN26+(1-EXP(-LN(2)/2))/(LN(2)/2)*GH27*GK27*VLOOKUP('Données projet'!$B$17,Paramètres!$A$1:$I$89,3,0)*0.475*44/12</f>
        <v>0.25390309272031009</v>
      </c>
      <c r="GO27" s="21">
        <f t="shared" si="27"/>
        <v>0.731273129242211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6.3</v>
      </c>
      <c r="GU27" s="12">
        <f>IF('Données projet'!$A$270&gt;35,GU26+GT27-HC26,IF(A27&lt;'Données projet'!$A$270,$GR$205^A27,IF(A27='Données projet'!$A$270,'Données projet'!$B$270,GU26+GT27-HC26)))</f>
        <v>67.199999999999989</v>
      </c>
      <c r="GV27" s="17">
        <f>GU27*VLOOKUP('Données projet'!$B$18,Paramètres!$A$1:$I$89,3,0)*VLOOKUP('Données projet'!$B$18,Paramètres!$A$1:$I$89,5,0)</f>
        <v>64.995839999999987</v>
      </c>
      <c r="GW27" s="13">
        <f t="shared" si="51"/>
        <v>18.425434860828894</v>
      </c>
      <c r="GX27" s="20">
        <f t="shared" si="28"/>
        <v>145.29205371594364</v>
      </c>
      <c r="GY27" s="59">
        <f t="shared" si="29"/>
        <v>438.62538704927692</v>
      </c>
      <c r="GZ27" s="59">
        <f ca="1">AVERAGE(OFFSET($GY$3,0,0,'Données projet'!$E$18+1,1))-AVERAGE(OFFSET($H$3,0,0,'Données projet'!$E$18+1,1))</f>
        <v>261.22357949323879</v>
      </c>
      <c r="HA27" s="59">
        <f t="shared" si="52"/>
        <v>163.41029152029387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441.90656724800203</v>
      </c>
      <c r="S28" s="59">
        <f ca="1">AVERAGE(OFFSET($R$3,0,0,'Données projet'!$E$9+1,1))-AVERAGE(OFFSET($H$3,0,0,'Données projet'!$E$9+1,1))</f>
        <v>237.22177246688199</v>
      </c>
      <c r="T28" s="59">
        <f t="shared" si="34"/>
        <v>149.27472147904302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</v>
      </c>
      <c r="AI28" s="13">
        <f>IF('Données projet'!$A$62&gt;35,AI27+AH28-AQ27,IF(A28&lt;'Données projet'!$A$62,$AF$205^A28,IF(A28='Données projet'!$A$62,'Données projet'!$B$62,AI27+AH28-AQ27)))</f>
        <v>112.49999999999994</v>
      </c>
      <c r="AJ28" s="13">
        <f>AI28*VLOOKUP('Données projet'!$B$10,Paramètres!$A$1:$I$89,3,0)*VLOOKUP('Données projet'!$B$10,Paramètres!$A$1:$I$89,5,0)</f>
        <v>98.279999999999959</v>
      </c>
      <c r="AK28" s="13">
        <f t="shared" si="35"/>
        <v>26.551818424463448</v>
      </c>
      <c r="AL28" s="20">
        <f t="shared" si="4"/>
        <v>217.41541708927375</v>
      </c>
      <c r="AM28" s="59">
        <f t="shared" si="5"/>
        <v>510.74875042260703</v>
      </c>
      <c r="AN28" s="59">
        <f ca="1">AVERAGE(OFFSET($AM$3,0,0,'Données projet'!$E$10+1,1))-AVERAGE(OFFSET($H$3,0,0,'Données projet'!$E$10+1,1))</f>
        <v>210.07838338464626</v>
      </c>
      <c r="AO28" s="59">
        <f t="shared" si="36"/>
        <v>241.76003724236273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1.5420830477512013</v>
      </c>
      <c r="AV28" s="21">
        <f>EXP(-LN(2)/25)*AV27+(1-EXP(-LN(2)/25))/(LN(2)/25)*Calculateur!AQ28*Calculateur!AS28*VLOOKUP('Données projet'!$B$10,Paramètres!$A$1:$I$89,3,0)*0.475*44/12</f>
        <v>6.6436264359446904</v>
      </c>
      <c r="AW28" s="21">
        <f>EXP(-LN(2)/2)*AW27+(1-EXP(-LN(2)/2))/(LN(2)/2)*AQ28*AT28*VLOOKUP('Données projet'!$B$10,Paramètres!$A$1:$I$89,3,0)*0.475*44/12</f>
        <v>2.6883654159590824</v>
      </c>
      <c r="AX28" s="21">
        <f t="shared" si="6"/>
        <v>10.874074899654975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13.9</v>
      </c>
      <c r="BD28" s="12">
        <f>IF('Données projet'!$A$88&gt;35,BD27+BC28-BL27,IF(A28&lt;'Données projet'!$A$88,$BA$205^A28,IF(A28='Données projet'!$A$88,'Données projet'!$B$88,BD27+BC28-BL27)))</f>
        <v>150.50000000000003</v>
      </c>
      <c r="BE28" s="13">
        <f>BD28*VLOOKUP('Données projet'!$B$11,Paramètres!$A$1:$I$89,3,0)*VLOOKUP('Données projet'!$B$11,Paramètres!$A$1:$I$89,5,0)</f>
        <v>93.91200000000002</v>
      </c>
      <c r="BF28" s="13">
        <f t="shared" si="37"/>
        <v>25.506356157232645</v>
      </c>
      <c r="BG28" s="20">
        <f t="shared" si="7"/>
        <v>207.9869703071802</v>
      </c>
      <c r="BH28" s="59">
        <f t="shared" si="8"/>
        <v>501.32030364051354</v>
      </c>
      <c r="BI28" s="59">
        <f ca="1">AVERAGE(OFFSET($BH$3,0,0,'Données projet'!$E$11+1,1))-AVERAGE(OFFSET($H$3,0,0,'Données projet'!$E$11+1,1))</f>
        <v>209.93608079129638</v>
      </c>
      <c r="BJ28" s="59">
        <f t="shared" si="38"/>
        <v>240.15652428700969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7.9673990156374188</v>
      </c>
      <c r="BR28" s="21">
        <f>EXP(-LN(2)/2)*BR27+(1-EXP(-LN(2)/2))/(LN(2)/2)*BL28*BO28*VLOOKUP('Données projet'!$B$11,Paramètres!$A$1:$I$89,3,0)*0.475*44/12</f>
        <v>2.3105579649357963</v>
      </c>
      <c r="BS28" s="22">
        <f t="shared" si="9"/>
        <v>10.277956980573215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191.49999999999994</v>
      </c>
      <c r="BZ28" s="13">
        <f>BY28*VLOOKUP('Données projet'!$B$12,Paramètres!$A$1:$I$89,3,0)*VLOOKUP('Données projet'!$B$12,Paramètres!$A$1:$I$89,5,0)</f>
        <v>89.621999999999986</v>
      </c>
      <c r="CA28" s="13">
        <f t="shared" si="39"/>
        <v>24.47403817697321</v>
      </c>
      <c r="CB28" s="20">
        <f t="shared" si="10"/>
        <v>198.71726649156165</v>
      </c>
      <c r="CC28" s="59">
        <f t="shared" si="11"/>
        <v>492.05059982489496</v>
      </c>
      <c r="CD28" s="59">
        <f ca="1">AVERAGE(OFFSET($CC$3,0,0,'Données projet'!$E$12+1,1))-AVERAGE(OFFSET($H$3,0,0,'Données projet'!$E$12+1,1))</f>
        <v>215.23235148064941</v>
      </c>
      <c r="CE28" s="59">
        <f t="shared" si="40"/>
        <v>184.07239726900434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1.8505360889360563</v>
      </c>
      <c r="CM28" s="21">
        <f>EXP(-LN(2)/2)*CM27+(1-EXP(-LN(2)/2))/(LN(2)/2)*CG28*CJ28*VLOOKUP('Données projet'!$B$12,Paramètres!$A$1:$I$89,3,0)*0.475*44/12</f>
        <v>0.58544543030467799</v>
      </c>
      <c r="CN28" s="22">
        <f t="shared" si="12"/>
        <v>2.4359815192407344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6.3</v>
      </c>
      <c r="CT28" s="12">
        <f>IF('Données projet'!$A$140&gt;35,CT27+CS28-DB27,IF(A28&lt;'Données projet'!$A$140,$CQ$205^A28,IF(A28='Données projet'!$A$140,'Données projet'!$B$140,CT27+CS28-DB27)))</f>
        <v>73.499999999999986</v>
      </c>
      <c r="CU28" s="17">
        <f>CT28*VLOOKUP('Données projet'!$B$13,Paramètres!$A$1:$I$89,3,0)*VLOOKUP('Données projet'!$B$13,Paramètres!$A$1:$I$89,5,0)</f>
        <v>74.528999999999982</v>
      </c>
      <c r="CV28" s="13">
        <f t="shared" si="41"/>
        <v>20.794031365411815</v>
      </c>
      <c r="CW28" s="20">
        <f t="shared" si="13"/>
        <v>166.02094629475889</v>
      </c>
      <c r="CX28" s="59">
        <f t="shared" si="14"/>
        <v>459.35427962809217</v>
      </c>
      <c r="CY28" s="59">
        <f ca="1">AVERAGE(OFFSET($CX$3,0,0,'Données projet'!$E$13+1,1))-AVERAGE(OFFSET($H$3,0,0,'Données projet'!$E$13+1,1))</f>
        <v>279.20364724206644</v>
      </c>
      <c r="CZ28" s="59">
        <f t="shared" si="42"/>
        <v>173.99850582760712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6.3</v>
      </c>
      <c r="DO28" s="12">
        <f>IF('Données projet'!$A$166&gt;35,DO27+DN28-DW27,IF(A28&lt;'Données projet'!$A$166,$DL$205^A28,IF(A28='Données projet'!$A$166,'Données projet'!$B$166,DO27+DN28-DW27)))</f>
        <v>73.499999999999986</v>
      </c>
      <c r="DP28" s="17">
        <f>DO28*VLOOKUP('Données projet'!$B$14,Paramètres!$A$1:$I$89,3,0)*VLOOKUP('Données projet'!$B$14,Paramètres!$A$1:$I$89,5,0)</f>
        <v>76.822199999999981</v>
      </c>
      <c r="DQ28" s="13">
        <f t="shared" si="43"/>
        <v>21.358372102466099</v>
      </c>
      <c r="DR28" s="20">
        <f t="shared" si="16"/>
        <v>170.99782974512837</v>
      </c>
      <c r="DS28" s="59">
        <f t="shared" si="17"/>
        <v>464.33116307846171</v>
      </c>
      <c r="DT28" s="59">
        <f ca="1">AVERAGE(OFFSET($DS$3,0,0,'Données projet'!$E$14+1,1))-AVERAGE(OFFSET($H$3,0,0,'Données projet'!$E$14+1,1))</f>
        <v>291.18074901939718</v>
      </c>
      <c r="DU28" s="59">
        <f t="shared" si="44"/>
        <v>181.05123751753774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</v>
      </c>
      <c r="EJ28" s="12">
        <f>IF('Données projet'!$A$192&gt;35,EJ27+EI28-ER27,IF(A28&lt;'Données projet'!$A$192,$EG$205^A28,IF(A28='Données projet'!$A$192,'Données projet'!$B$192,EJ27+EI28-ER27)))</f>
        <v>142</v>
      </c>
      <c r="EK28" s="17">
        <f>EJ28*VLOOKUP('Données projet'!$B$15,Paramètres!$A$1:$I$89,3,0)*VLOOKUP('Données projet'!$B$15,Paramètres!$A$1:$I$89,5,0)</f>
        <v>84.916000000000011</v>
      </c>
      <c r="EL28" s="13">
        <f t="shared" si="45"/>
        <v>23.33496813320572</v>
      </c>
      <c r="EM28" s="20">
        <f t="shared" si="19"/>
        <v>188.53710283199996</v>
      </c>
      <c r="EN28" s="59">
        <f t="shared" si="20"/>
        <v>481.87043616533327</v>
      </c>
      <c r="EO28" s="59">
        <f ca="1">AVERAGE(OFFSET($EN$3,0,0,'Données projet'!$E$15+1,1))-AVERAGE(OFFSET($H$3,0,0,'Données projet'!$E$15+1,1))</f>
        <v>168.08890945052406</v>
      </c>
      <c r="EP28" s="59">
        <f t="shared" si="46"/>
        <v>182.52462557642343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2.8811783744681887</v>
      </c>
      <c r="EW28" s="21">
        <f>EXP(-LN(2)/25)*EW27+(1-EXP(-LN(2)/25))/(LN(2)/25)*Calculateur!ER28*Calculateur!ET28*VLOOKUP('Données projet'!$B$15,Paramètres!$A$1:$I$89,3,0)*0.475*44/12</f>
        <v>9.4308987319654189</v>
      </c>
      <c r="EX28" s="21">
        <f>EXP(-LN(2)/2)*EX27+(1-EXP(-LN(2)/2))/(LN(2)/2)*ER28*EU28*VLOOKUP('Données projet'!$B$15,Paramètres!$A$1:$I$89,3,0)*0.475*44/12</f>
        <v>7.3460391604785888</v>
      </c>
      <c r="EY28" s="22">
        <f t="shared" si="21"/>
        <v>19.658116266912195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12.2</v>
      </c>
      <c r="FE28" s="12">
        <f>IF('Données projet'!$A$218&gt;35,FE27+FD28-FM27,IF(A28&lt;'Données projet'!$A$218,$FB$205^A28,IF(A28='Données projet'!$A$218,'Données projet'!$B$218,FE27+FD28-FM27)))</f>
        <v>113.00000000000001</v>
      </c>
      <c r="FF28" s="17">
        <f>FE28*VLOOKUP('Données projet'!$B$16,Paramètres!$A$1:$I$89,3,0)*VLOOKUP('Données projet'!$B$16,Paramètres!$A$1:$I$89,5,0)</f>
        <v>75.80040000000001</v>
      </c>
      <c r="FG28" s="13">
        <f t="shared" si="47"/>
        <v>21.107159889298988</v>
      </c>
      <c r="FH28" s="20">
        <f t="shared" si="22"/>
        <v>168.78066680719573</v>
      </c>
      <c r="FI28" s="59">
        <f t="shared" si="23"/>
        <v>462.11400014052901</v>
      </c>
      <c r="FJ28" s="59">
        <f ca="1">AVERAGE(OFFSET($FI$3,0,0,'Données projet'!$E$16+1,1))-AVERAGE(OFFSET($H$3,0,0,'Données projet'!$E$16+1,1))</f>
        <v>156.63226020379989</v>
      </c>
      <c r="FK28" s="59">
        <f t="shared" si="48"/>
        <v>196.0481096619543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3.6635754567164982</v>
      </c>
      <c r="FS28" s="21">
        <f>EXP(-LN(2)/2)*FS27+(1-EXP(-LN(2)/2))/(LN(2)/2)*FM28*FP28*VLOOKUP('Données projet'!$B$16,Paramètres!$A$1:$I$89,3,0)*0.475*44/12</f>
        <v>1.2027651118148333</v>
      </c>
      <c r="FT28" s="22">
        <f t="shared" si="24"/>
        <v>4.8663405685313315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13</v>
      </c>
      <c r="FZ28" s="12">
        <f>IF('Données projet'!$A$244&gt;35,FZ27+FY28-GH27,IF(A28&lt;'Données projet'!$A$244,$FW$205^A28,IF(A28='Données projet'!$A$244,'Données projet'!$B$244,FZ27+FY28-GH27)))</f>
        <v>153</v>
      </c>
      <c r="GA28" s="17">
        <f>FZ28*VLOOKUP('Données projet'!$B$17,Paramètres!$A$1:$I$89,3,0)*VLOOKUP('Données projet'!$B$17,Paramètres!$A$1:$I$89,5,0)</f>
        <v>91.494000000000014</v>
      </c>
      <c r="GB28" s="13">
        <f t="shared" si="49"/>
        <v>24.925195840896542</v>
      </c>
      <c r="GC28" s="20">
        <f t="shared" si="25"/>
        <v>202.76343275622813</v>
      </c>
      <c r="GD28" s="59">
        <f t="shared" si="26"/>
        <v>496.09676608956147</v>
      </c>
      <c r="GE28" s="59">
        <f ca="1">AVERAGE(OFFSET($GD$3,0,0,'Données projet'!$E$17+1,1))-AVERAGE(OFFSET($H$3,0,0,'Données projet'!$E$17+1,1))</f>
        <v>216.94426559495264</v>
      </c>
      <c r="GF28" s="59">
        <f t="shared" si="50"/>
        <v>225.33715877618704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0.4643163277694104</v>
      </c>
      <c r="GN28" s="21">
        <f>EXP(-LN(2)/2)*GN27+(1-EXP(-LN(2)/2))/(LN(2)/2)*GH28*GK28*VLOOKUP('Données projet'!$B$17,Paramètres!$A$1:$I$89,3,0)*0.475*44/12</f>
        <v>0.17953659862676799</v>
      </c>
      <c r="GO28" s="21">
        <f t="shared" si="27"/>
        <v>0.64385292639617842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6.3</v>
      </c>
      <c r="GU28" s="12">
        <f>IF('Données projet'!$A$270&gt;35,GU27+GT28-HC27,IF(A28&lt;'Données projet'!$A$270,$GR$205^A28,IF(A28='Données projet'!$A$270,'Données projet'!$B$270,GU27+GT28-HC27)))</f>
        <v>73.499999999999986</v>
      </c>
      <c r="GV28" s="17">
        <f>GU28*VLOOKUP('Données projet'!$B$18,Paramètres!$A$1:$I$89,3,0)*VLOOKUP('Données projet'!$B$18,Paramètres!$A$1:$I$89,5,0)</f>
        <v>71.089199999999991</v>
      </c>
      <c r="GW28" s="13">
        <f t="shared" si="51"/>
        <v>19.943700775772243</v>
      </c>
      <c r="GX28" s="20">
        <f t="shared" si="28"/>
        <v>158.54896885113661</v>
      </c>
      <c r="GY28" s="59">
        <f t="shared" si="29"/>
        <v>451.88230218446995</v>
      </c>
      <c r="GZ28" s="59">
        <f ca="1">AVERAGE(OFFSET($GY$3,0,0,'Données projet'!$E$18+1,1))-AVERAGE(OFFSET($H$3,0,0,'Données projet'!$E$18+1,1))</f>
        <v>261.22357949323879</v>
      </c>
      <c r="HA28" s="59">
        <f t="shared" si="52"/>
        <v>163.41029152029387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454.30269412879579</v>
      </c>
      <c r="S29" s="59">
        <f ca="1">AVERAGE(OFFSET($R$3,0,0,'Données projet'!$E$9+1,1))-AVERAGE(OFFSET($H$3,0,0,'Données projet'!$E$9+1,1))</f>
        <v>237.22177246688199</v>
      </c>
      <c r="T29" s="59">
        <f t="shared" si="34"/>
        <v>149.27472147904302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</v>
      </c>
      <c r="AI29" s="13">
        <f>IF('Données projet'!$A$62&gt;35,AI28+AH29-AQ28,IF(A29&lt;'Données projet'!$A$62,$AF$205^A29,IF(A29='Données projet'!$A$62,'Données projet'!$B$62,AI28+AH29-AQ28)))</f>
        <v>121.59999999999994</v>
      </c>
      <c r="AJ29" s="13">
        <f>AI29*VLOOKUP('Données projet'!$B$10,Paramètres!$A$1:$I$89,3,0)*VLOOKUP('Données projet'!$B$10,Paramètres!$A$1:$I$89,5,0)</f>
        <v>106.22975999999997</v>
      </c>
      <c r="AK29" s="13">
        <f t="shared" si="35"/>
        <v>28.440891625171467</v>
      </c>
      <c r="AL29" s="20">
        <f t="shared" si="4"/>
        <v>234.55138491384025</v>
      </c>
      <c r="AM29" s="59">
        <f t="shared" si="5"/>
        <v>527.88471824717362</v>
      </c>
      <c r="AN29" s="59">
        <f ca="1">AVERAGE(OFFSET($AM$3,0,0,'Données projet'!$E$10+1,1))-AVERAGE(OFFSET($H$3,0,0,'Données projet'!$E$10+1,1))</f>
        <v>210.07838338464626</v>
      </c>
      <c r="AO29" s="59">
        <f t="shared" si="36"/>
        <v>241.76003724236273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1.511843739762585</v>
      </c>
      <c r="AV29" s="21">
        <f>EXP(-LN(2)/25)*AV28+(1-EXP(-LN(2)/25))/(LN(2)/25)*Calculateur!AQ29*Calculateur!AS29*VLOOKUP('Données projet'!$B$10,Paramètres!$A$1:$I$89,3,0)*0.475*44/12</f>
        <v>6.4619561216806529</v>
      </c>
      <c r="AW29" s="21">
        <f>EXP(-LN(2)/2)*AW28+(1-EXP(-LN(2)/2))/(LN(2)/2)*AQ29*AT29*VLOOKUP('Données projet'!$B$10,Paramètres!$A$1:$I$89,3,0)*0.475*44/12</f>
        <v>1.9009614159320609</v>
      </c>
      <c r="AX29" s="21">
        <f t="shared" si="6"/>
        <v>9.8747612773752991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13.9</v>
      </c>
      <c r="BD29" s="12">
        <f>IF('Données projet'!$A$88&gt;35,BD28+BC29-BL28,IF(A29&lt;'Données projet'!$A$88,$BA$205^A29,IF(A29='Données projet'!$A$88,'Données projet'!$B$88,BD28+BC29-BL28)))</f>
        <v>164.40000000000003</v>
      </c>
      <c r="BE29" s="13">
        <f>BD29*VLOOKUP('Données projet'!$B$11,Paramètres!$A$1:$I$89,3,0)*VLOOKUP('Données projet'!$B$11,Paramètres!$A$1:$I$89,5,0)</f>
        <v>102.58560000000003</v>
      </c>
      <c r="BF29" s="13">
        <f t="shared" si="37"/>
        <v>27.577062948792328</v>
      </c>
      <c r="BG29" s="20">
        <f t="shared" si="7"/>
        <v>226.69997130248001</v>
      </c>
      <c r="BH29" s="59">
        <f t="shared" si="8"/>
        <v>520.03330463581335</v>
      </c>
      <c r="BI29" s="59">
        <f ca="1">AVERAGE(OFFSET($BH$3,0,0,'Données projet'!$E$11+1,1))-AVERAGE(OFFSET($H$3,0,0,'Données projet'!$E$11+1,1))</f>
        <v>209.93608079129638</v>
      </c>
      <c r="BJ29" s="59">
        <f t="shared" si="38"/>
        <v>240.15652428700969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7.7495300705675092</v>
      </c>
      <c r="BR29" s="21">
        <f>EXP(-LN(2)/2)*BR28+(1-EXP(-LN(2)/2))/(LN(2)/2)*BL29*BO29*VLOOKUP('Données projet'!$B$11,Paramètres!$A$1:$I$89,3,0)*0.475*44/12</f>
        <v>1.6338112053306908</v>
      </c>
      <c r="BS29" s="22">
        <f t="shared" si="9"/>
        <v>9.3833412758982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200.69999999999993</v>
      </c>
      <c r="BZ29" s="13">
        <f>BY29*VLOOKUP('Données projet'!$B$12,Paramètres!$A$1:$I$89,3,0)*VLOOKUP('Données projet'!$B$12,Paramètres!$A$1:$I$89,5,0)</f>
        <v>93.927599999999956</v>
      </c>
      <c r="CA29" s="13">
        <f t="shared" si="39"/>
        <v>25.510099877901624</v>
      </c>
      <c r="CB29" s="20">
        <f t="shared" si="10"/>
        <v>208.02066062067857</v>
      </c>
      <c r="CC29" s="59">
        <f t="shared" si="11"/>
        <v>501.35399395401191</v>
      </c>
      <c r="CD29" s="59">
        <f ca="1">AVERAGE(OFFSET($CC$3,0,0,'Données projet'!$E$12+1,1))-AVERAGE(OFFSET($H$3,0,0,'Données projet'!$E$12+1,1))</f>
        <v>215.23235148064941</v>
      </c>
      <c r="CE29" s="59">
        <f t="shared" si="40"/>
        <v>184.07239726900434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1.7999330822686364</v>
      </c>
      <c r="CM29" s="21">
        <f>EXP(-LN(2)/2)*CM28+(1-EXP(-LN(2)/2))/(LN(2)/2)*CG29*CJ29*VLOOKUP('Données projet'!$B$12,Paramètres!$A$1:$I$89,3,0)*0.475*44/12</f>
        <v>0.4139724337831141</v>
      </c>
      <c r="CN29" s="22">
        <f t="shared" si="12"/>
        <v>2.2139055160517502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6.3</v>
      </c>
      <c r="CT29" s="12">
        <f>IF('Données projet'!$A$140&gt;35,CT28+CS29-DB28,IF(A29&lt;'Données projet'!$A$140,$CQ$205^A29,IF(A29='Données projet'!$A$140,'Données projet'!$B$140,CT28+CS29-DB28)))</f>
        <v>79.799999999999983</v>
      </c>
      <c r="CU29" s="17">
        <f>CT29*VLOOKUP('Données projet'!$B$13,Paramètres!$A$1:$I$89,3,0)*VLOOKUP('Données projet'!$B$13,Paramètres!$A$1:$I$89,5,0)</f>
        <v>80.917199999999994</v>
      </c>
      <c r="CV29" s="13">
        <f t="shared" si="41"/>
        <v>22.361295290994434</v>
      </c>
      <c r="CW29" s="20">
        <f t="shared" si="13"/>
        <v>179.87671263181528</v>
      </c>
      <c r="CX29" s="59">
        <f t="shared" si="14"/>
        <v>473.21004596514859</v>
      </c>
      <c r="CY29" s="59">
        <f ca="1">AVERAGE(OFFSET($CX$3,0,0,'Données projet'!$E$13+1,1))-AVERAGE(OFFSET($H$3,0,0,'Données projet'!$E$13+1,1))</f>
        <v>279.20364724206644</v>
      </c>
      <c r="CZ29" s="59">
        <f t="shared" si="42"/>
        <v>173.99850582760712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6.3</v>
      </c>
      <c r="DO29" s="12">
        <f>IF('Données projet'!$A$166&gt;35,DO28+DN29-DW28,IF(A29&lt;'Données projet'!$A$166,$DL$205^A29,IF(A29='Données projet'!$A$166,'Données projet'!$B$166,DO28+DN29-DW28)))</f>
        <v>79.799999999999983</v>
      </c>
      <c r="DP29" s="17">
        <f>DO29*VLOOKUP('Données projet'!$B$14,Paramètres!$A$1:$I$89,3,0)*VLOOKUP('Données projet'!$B$14,Paramètres!$A$1:$I$89,5,0)</f>
        <v>83.406959999999998</v>
      </c>
      <c r="DQ29" s="13">
        <f t="shared" si="43"/>
        <v>22.96817087198442</v>
      </c>
      <c r="DR29" s="20">
        <f t="shared" si="16"/>
        <v>185.27001960203953</v>
      </c>
      <c r="DS29" s="59">
        <f t="shared" si="17"/>
        <v>478.60335293537287</v>
      </c>
      <c r="DT29" s="59">
        <f ca="1">AVERAGE(OFFSET($DS$3,0,0,'Données projet'!$E$14+1,1))-AVERAGE(OFFSET($H$3,0,0,'Données projet'!$E$14+1,1))</f>
        <v>291.18074901939718</v>
      </c>
      <c r="DU29" s="59">
        <f t="shared" si="44"/>
        <v>181.05123751753774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</v>
      </c>
      <c r="EJ29" s="12">
        <f>IF('Données projet'!$A$192&gt;35,EJ28+EI29-ER28,IF(A29&lt;'Données projet'!$A$192,$EG$205^A29,IF(A29='Données projet'!$A$192,'Données projet'!$B$192,EJ28+EI29-ER28)))</f>
        <v>158</v>
      </c>
      <c r="EK29" s="17">
        <f>EJ29*VLOOKUP('Données projet'!$B$15,Paramètres!$A$1:$I$89,3,0)*VLOOKUP('Données projet'!$B$15,Paramètres!$A$1:$I$89,5,0)</f>
        <v>94.484000000000009</v>
      </c>
      <c r="EL29" s="13">
        <f t="shared" si="45"/>
        <v>25.643578691511802</v>
      </c>
      <c r="EM29" s="20">
        <f t="shared" si="19"/>
        <v>209.22219955438308</v>
      </c>
      <c r="EN29" s="59">
        <f t="shared" si="20"/>
        <v>502.55553288771637</v>
      </c>
      <c r="EO29" s="59">
        <f ca="1">AVERAGE(OFFSET($EN$3,0,0,'Données projet'!$E$15+1,1))-AVERAGE(OFFSET($H$3,0,0,'Données projet'!$E$15+1,1))</f>
        <v>168.08890945052406</v>
      </c>
      <c r="EP29" s="59">
        <f t="shared" si="46"/>
        <v>182.52462557642343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2.8246802238901525</v>
      </c>
      <c r="EW29" s="21">
        <f>EXP(-LN(2)/25)*EW28+(1-EXP(-LN(2)/25))/(LN(2)/25)*Calculateur!ER29*Calculateur!ET29*VLOOKUP('Données projet'!$B$15,Paramètres!$A$1:$I$89,3,0)*0.475*44/12</f>
        <v>9.1730103101904152</v>
      </c>
      <c r="EX29" s="21">
        <f>EXP(-LN(2)/2)*EX28+(1-EXP(-LN(2)/2))/(LN(2)/2)*ER29*EU29*VLOOKUP('Données projet'!$B$15,Paramètres!$A$1:$I$89,3,0)*0.475*44/12</f>
        <v>5.1944341052363434</v>
      </c>
      <c r="EY29" s="22">
        <f t="shared" si="21"/>
        <v>17.192124639316912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12.2</v>
      </c>
      <c r="FE29" s="12">
        <f>IF('Données projet'!$A$218&gt;35,FE28+FD29-FM28,IF(A29&lt;'Données projet'!$A$218,$FB$205^A29,IF(A29='Données projet'!$A$218,'Données projet'!$B$218,FE28+FD29-FM28)))</f>
        <v>125.20000000000002</v>
      </c>
      <c r="FF29" s="17">
        <f>FE29*VLOOKUP('Données projet'!$B$16,Paramètres!$A$1:$I$89,3,0)*VLOOKUP('Données projet'!$B$16,Paramètres!$A$1:$I$89,5,0)</f>
        <v>83.984160000000017</v>
      </c>
      <c r="FG29" s="13">
        <f t="shared" si="47"/>
        <v>23.108559407837603</v>
      </c>
      <c r="FH29" s="20">
        <f t="shared" si="22"/>
        <v>186.51981963531719</v>
      </c>
      <c r="FI29" s="59">
        <f t="shared" si="23"/>
        <v>479.85315296865053</v>
      </c>
      <c r="FJ29" s="59">
        <f ca="1">AVERAGE(OFFSET($FI$3,0,0,'Données projet'!$E$16+1,1))-AVERAGE(OFFSET($H$3,0,0,'Données projet'!$E$16+1,1))</f>
        <v>156.63226020379989</v>
      </c>
      <c r="FK29" s="59">
        <f t="shared" si="48"/>
        <v>196.0481096619543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3.5633947931935257</v>
      </c>
      <c r="FS29" s="21">
        <f>EXP(-LN(2)/2)*FS28+(1-EXP(-LN(2)/2))/(LN(2)/2)*FM29*FP29*VLOOKUP('Données projet'!$B$16,Paramètres!$A$1:$I$89,3,0)*0.475*44/12</f>
        <v>0.85048336673886471</v>
      </c>
      <c r="FT29" s="22">
        <f t="shared" si="24"/>
        <v>4.4138781599323904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13</v>
      </c>
      <c r="FZ29" s="12">
        <f>IF('Données projet'!$A$244&gt;35,FZ28+FY29-GH28,IF(A29&lt;'Données projet'!$A$244,$FW$205^A29,IF(A29='Données projet'!$A$244,'Données projet'!$B$244,FZ28+FY29-GH28)))</f>
        <v>166</v>
      </c>
      <c r="GA29" s="17">
        <f>FZ29*VLOOKUP('Données projet'!$B$17,Paramètres!$A$1:$I$89,3,0)*VLOOKUP('Données projet'!$B$17,Paramètres!$A$1:$I$89,5,0)</f>
        <v>99.268000000000001</v>
      </c>
      <c r="GB29" s="13">
        <f t="shared" si="49"/>
        <v>26.78753414535981</v>
      </c>
      <c r="GC29" s="20">
        <f t="shared" si="25"/>
        <v>219.54672196983498</v>
      </c>
      <c r="GD29" s="59">
        <f t="shared" si="26"/>
        <v>512.88005530316832</v>
      </c>
      <c r="GE29" s="59">
        <f ca="1">AVERAGE(OFFSET($GD$3,0,0,'Données projet'!$E$17+1,1))-AVERAGE(OFFSET($H$3,0,0,'Données projet'!$E$17+1,1))</f>
        <v>216.94426559495264</v>
      </c>
      <c r="GF29" s="59">
        <f t="shared" si="50"/>
        <v>225.33715877618704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0.45161957336922143</v>
      </c>
      <c r="GN29" s="21">
        <f>EXP(-LN(2)/2)*GN28+(1-EXP(-LN(2)/2))/(LN(2)/2)*GH29*GK29*VLOOKUP('Données projet'!$B$17,Paramètres!$A$1:$I$89,3,0)*0.475*44/12</f>
        <v>0.12695154636015504</v>
      </c>
      <c r="GO29" s="21">
        <f t="shared" si="27"/>
        <v>0.57857111972937647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6.3</v>
      </c>
      <c r="GU29" s="12">
        <f>IF('Données projet'!$A$270&gt;35,GU28+GT29-HC28,IF(A29&lt;'Données projet'!$A$270,$GR$205^A29,IF(A29='Données projet'!$A$270,'Données projet'!$B$270,GU28+GT29-HC28)))</f>
        <v>79.799999999999983</v>
      </c>
      <c r="GV29" s="17">
        <f>GU29*VLOOKUP('Données projet'!$B$18,Paramètres!$A$1:$I$89,3,0)*VLOOKUP('Données projet'!$B$18,Paramètres!$A$1:$I$89,5,0)</f>
        <v>77.182559999999995</v>
      </c>
      <c r="GW29" s="13">
        <f t="shared" si="51"/>
        <v>21.446874557671695</v>
      </c>
      <c r="GX29" s="20">
        <f t="shared" si="28"/>
        <v>171.77959852127819</v>
      </c>
      <c r="GY29" s="59">
        <f t="shared" si="29"/>
        <v>465.11293185461147</v>
      </c>
      <c r="GZ29" s="59">
        <f ca="1">AVERAGE(OFFSET($GY$3,0,0,'Données projet'!$E$18+1,1))-AVERAGE(OFFSET($H$3,0,0,'Données projet'!$E$18+1,1))</f>
        <v>261.22357949323879</v>
      </c>
      <c r="HA29" s="59">
        <f t="shared" si="52"/>
        <v>163.41029152029387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466.67621859732031</v>
      </c>
      <c r="S30" s="59">
        <f ca="1">AVERAGE(OFFSET($R$3,0,0,'Données projet'!$E$9+1,1))-AVERAGE(OFFSET($H$3,0,0,'Données projet'!$E$9+1,1))</f>
        <v>237.22177246688199</v>
      </c>
      <c r="T30" s="59">
        <f t="shared" si="34"/>
        <v>149.27472147904302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</v>
      </c>
      <c r="AI30" s="13">
        <f>IF('Données projet'!$A$62&gt;35,AI29+AH30-AQ29,IF(A30&lt;'Données projet'!$A$62,$AF$205^A30,IF(A30='Données projet'!$A$62,'Données projet'!$B$62,AI29+AH30-AQ29)))</f>
        <v>130.69999999999993</v>
      </c>
      <c r="AJ30" s="13">
        <f>AI30*VLOOKUP('Données projet'!$B$10,Paramètres!$A$1:$I$89,3,0)*VLOOKUP('Données projet'!$B$10,Paramètres!$A$1:$I$89,5,0)</f>
        <v>114.17951999999995</v>
      </c>
      <c r="AK30" s="13">
        <f t="shared" si="35"/>
        <v>30.313564695312358</v>
      </c>
      <c r="AL30" s="20">
        <f t="shared" si="4"/>
        <v>251.65878917766895</v>
      </c>
      <c r="AM30" s="59">
        <f t="shared" si="5"/>
        <v>544.99212251100221</v>
      </c>
      <c r="AN30" s="59">
        <f ca="1">AVERAGE(OFFSET($AM$3,0,0,'Données projet'!$E$10+1,1))-AVERAGE(OFFSET($H$3,0,0,'Données projet'!$E$10+1,1))</f>
        <v>210.07838338464626</v>
      </c>
      <c r="AO30" s="59">
        <f t="shared" si="36"/>
        <v>241.76003724236273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1.4821974061594689</v>
      </c>
      <c r="AV30" s="21">
        <f>EXP(-LN(2)/25)*AV29+(1-EXP(-LN(2)/25))/(LN(2)/25)*Calculateur!AQ30*Calculateur!AS30*VLOOKUP('Données projet'!$B$10,Paramètres!$A$1:$I$89,3,0)*0.475*44/12</f>
        <v>6.2852535917137917</v>
      </c>
      <c r="AW30" s="21">
        <f>EXP(-LN(2)/2)*AW29+(1-EXP(-LN(2)/2))/(LN(2)/2)*AQ30*AT30*VLOOKUP('Données projet'!$B$10,Paramètres!$A$1:$I$89,3,0)*0.475*44/12</f>
        <v>1.3441827079795414</v>
      </c>
      <c r="AX30" s="21">
        <f t="shared" si="6"/>
        <v>9.1116337058528014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13.9</v>
      </c>
      <c r="BD30" s="12">
        <f>IF('Données projet'!$A$88&gt;35,BD29+BC30-BL29,IF(A30&lt;'Données projet'!$A$88,$BA$205^A30,IF(A30='Données projet'!$A$88,'Données projet'!$B$88,BD29+BC30-BL29)))</f>
        <v>178.30000000000004</v>
      </c>
      <c r="BE30" s="13">
        <f>BD30*VLOOKUP('Données projet'!$B$11,Paramètres!$A$1:$I$89,3,0)*VLOOKUP('Données projet'!$B$11,Paramètres!$A$1:$I$89,5,0)</f>
        <v>111.25920000000002</v>
      </c>
      <c r="BF30" s="13">
        <f t="shared" si="37"/>
        <v>29.627465095165842</v>
      </c>
      <c r="BG30" s="20">
        <f t="shared" si="7"/>
        <v>245.37760837408052</v>
      </c>
      <c r="BH30" s="59">
        <f t="shared" si="8"/>
        <v>538.71094170741389</v>
      </c>
      <c r="BI30" s="59">
        <f ca="1">AVERAGE(OFFSET($BH$3,0,0,'Données projet'!$E$11+1,1))-AVERAGE(OFFSET($H$3,0,0,'Données projet'!$E$11+1,1))</f>
        <v>209.93608079129638</v>
      </c>
      <c r="BJ30" s="59">
        <f t="shared" si="38"/>
        <v>240.15652428700969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7.5376187632577665</v>
      </c>
      <c r="BR30" s="21">
        <f>EXP(-LN(2)/2)*BR29+(1-EXP(-LN(2)/2))/(LN(2)/2)*BL30*BO30*VLOOKUP('Données projet'!$B$11,Paramètres!$A$1:$I$89,3,0)*0.475*44/12</f>
        <v>1.1552789824678984</v>
      </c>
      <c r="BS30" s="22">
        <f t="shared" si="9"/>
        <v>8.6928977457256646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209.89999999999992</v>
      </c>
      <c r="BZ30" s="13">
        <f>BY30*VLOOKUP('Données projet'!$B$12,Paramètres!$A$1:$I$89,3,0)*VLOOKUP('Données projet'!$B$12,Paramètres!$A$1:$I$89,5,0)</f>
        <v>98.233199999999954</v>
      </c>
      <c r="CA30" s="13">
        <f t="shared" si="39"/>
        <v>26.540646121089583</v>
      </c>
      <c r="CB30" s="20">
        <f t="shared" si="10"/>
        <v>217.3144486608976</v>
      </c>
      <c r="CC30" s="59">
        <f t="shared" si="11"/>
        <v>510.64778199423091</v>
      </c>
      <c r="CD30" s="59">
        <f ca="1">AVERAGE(OFFSET($CC$3,0,0,'Données projet'!$E$12+1,1))-AVERAGE(OFFSET($H$3,0,0,'Données projet'!$E$12+1,1))</f>
        <v>215.23235148064941</v>
      </c>
      <c r="CE30" s="59">
        <f t="shared" si="40"/>
        <v>184.07239726900434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1.7507138174796335</v>
      </c>
      <c r="CM30" s="21">
        <f>EXP(-LN(2)/2)*CM29+(1-EXP(-LN(2)/2))/(LN(2)/2)*CG30*CJ30*VLOOKUP('Données projet'!$B$12,Paramètres!$A$1:$I$89,3,0)*0.475*44/12</f>
        <v>0.292722715152339</v>
      </c>
      <c r="CN30" s="22">
        <f t="shared" si="12"/>
        <v>2.0434365326319726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6.3</v>
      </c>
      <c r="CT30" s="12">
        <f>IF('Données projet'!$A$140&gt;35,CT29+CS30-DB29,IF(A30&lt;'Données projet'!$A$140,$CQ$205^A30,IF(A30='Données projet'!$A$140,'Données projet'!$B$140,CT29+CS30-DB29)))</f>
        <v>86.09999999999998</v>
      </c>
      <c r="CU30" s="17">
        <f>CT30*VLOOKUP('Données projet'!$B$13,Paramètres!$A$1:$I$89,3,0)*VLOOKUP('Données projet'!$B$13,Paramètres!$A$1:$I$89,5,0)</f>
        <v>87.305399999999992</v>
      </c>
      <c r="CV30" s="13">
        <f t="shared" si="41"/>
        <v>23.914207130877781</v>
      </c>
      <c r="CW30" s="20">
        <f t="shared" si="13"/>
        <v>193.70748241961212</v>
      </c>
      <c r="CX30" s="59">
        <f t="shared" si="14"/>
        <v>487.04081575294543</v>
      </c>
      <c r="CY30" s="59">
        <f ca="1">AVERAGE(OFFSET($CX$3,0,0,'Données projet'!$E$13+1,1))-AVERAGE(OFFSET($H$3,0,0,'Données projet'!$E$13+1,1))</f>
        <v>279.20364724206644</v>
      </c>
      <c r="CZ30" s="59">
        <f t="shared" si="42"/>
        <v>173.99850582760712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6.3</v>
      </c>
      <c r="DO30" s="12">
        <f>IF('Données projet'!$A$166&gt;35,DO29+DN30-DW29,IF(A30&lt;'Données projet'!$A$166,$DL$205^A30,IF(A30='Données projet'!$A$166,'Données projet'!$B$166,DO29+DN30-DW29)))</f>
        <v>86.09999999999998</v>
      </c>
      <c r="DP30" s="17">
        <f>DO30*VLOOKUP('Données projet'!$B$14,Paramètres!$A$1:$I$89,3,0)*VLOOKUP('Données projet'!$B$14,Paramètres!$A$1:$I$89,5,0)</f>
        <v>89.991719999999987</v>
      </c>
      <c r="DQ30" s="13">
        <f t="shared" si="43"/>
        <v>24.563228046598653</v>
      </c>
      <c r="DR30" s="20">
        <f t="shared" si="16"/>
        <v>199.51653451449261</v>
      </c>
      <c r="DS30" s="59">
        <f t="shared" si="17"/>
        <v>492.84986784782592</v>
      </c>
      <c r="DT30" s="59">
        <f ca="1">AVERAGE(OFFSET($DS$3,0,0,'Données projet'!$E$14+1,1))-AVERAGE(OFFSET($H$3,0,0,'Données projet'!$E$14+1,1))</f>
        <v>291.18074901939718</v>
      </c>
      <c r="DU30" s="59">
        <f t="shared" si="44"/>
        <v>181.05123751753774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</v>
      </c>
      <c r="EJ30" s="12">
        <f>IF('Données projet'!$A$192&gt;35,EJ29+EI30-ER29,IF(A30&lt;'Données projet'!$A$192,$EG$205^A30,IF(A30='Données projet'!$A$192,'Données projet'!$B$192,EJ29+EI30-ER29)))</f>
        <v>174</v>
      </c>
      <c r="EK30" s="17">
        <f>EJ30*VLOOKUP('Données projet'!$B$15,Paramètres!$A$1:$I$89,3,0)*VLOOKUP('Données projet'!$B$15,Paramètres!$A$1:$I$89,5,0)</f>
        <v>104.05200000000001</v>
      </c>
      <c r="EL30" s="13">
        <f t="shared" si="45"/>
        <v>27.925087771564417</v>
      </c>
      <c r="EM30" s="20">
        <f t="shared" si="19"/>
        <v>229.86009453547467</v>
      </c>
      <c r="EN30" s="59">
        <f t="shared" si="20"/>
        <v>523.19342786880793</v>
      </c>
      <c r="EO30" s="59">
        <f ca="1">AVERAGE(OFFSET($EN$3,0,0,'Données projet'!$E$15+1,1))-AVERAGE(OFFSET($H$3,0,0,'Données projet'!$E$15+1,1))</f>
        <v>168.08890945052406</v>
      </c>
      <c r="EP30" s="59">
        <f t="shared" si="46"/>
        <v>182.52462557642343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2.7692899675844824</v>
      </c>
      <c r="EW30" s="21">
        <f>EXP(-LN(2)/25)*EW29+(1-EXP(-LN(2)/25))/(LN(2)/25)*Calculateur!ER30*Calculateur!ET30*VLOOKUP('Données projet'!$B$15,Paramètres!$A$1:$I$89,3,0)*0.475*44/12</f>
        <v>8.9221738608706112</v>
      </c>
      <c r="EX30" s="21">
        <f>EXP(-LN(2)/2)*EX29+(1-EXP(-LN(2)/2))/(LN(2)/2)*ER30*EU30*VLOOKUP('Données projet'!$B$15,Paramètres!$A$1:$I$89,3,0)*0.475*44/12</f>
        <v>3.6730195802392953</v>
      </c>
      <c r="EY30" s="22">
        <f t="shared" si="21"/>
        <v>15.364483408694388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12.2</v>
      </c>
      <c r="FE30" s="12">
        <f>IF('Données projet'!$A$218&gt;35,FE29+FD30-FM29,IF(A30&lt;'Données projet'!$A$218,$FB$205^A30,IF(A30='Données projet'!$A$218,'Données projet'!$B$218,FE29+FD30-FM29)))</f>
        <v>137.4</v>
      </c>
      <c r="FF30" s="17">
        <f>FE30*VLOOKUP('Données projet'!$B$16,Paramètres!$A$1:$I$89,3,0)*VLOOKUP('Données projet'!$B$16,Paramètres!$A$1:$I$89,5,0)</f>
        <v>92.167920000000009</v>
      </c>
      <c r="FG30" s="13">
        <f t="shared" si="47"/>
        <v>25.087348587680737</v>
      </c>
      <c r="FH30" s="20">
        <f t="shared" si="22"/>
        <v>204.21959279021061</v>
      </c>
      <c r="FI30" s="59">
        <f t="shared" si="23"/>
        <v>497.5529261235439</v>
      </c>
      <c r="FJ30" s="59">
        <f ca="1">AVERAGE(OFFSET($FI$3,0,0,'Données projet'!$E$16+1,1))-AVERAGE(OFFSET($H$3,0,0,'Données projet'!$E$16+1,1))</f>
        <v>156.63226020379989</v>
      </c>
      <c r="FK30" s="59">
        <f t="shared" si="48"/>
        <v>196.0481096619543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3.4659535751828607</v>
      </c>
      <c r="FS30" s="21">
        <f>EXP(-LN(2)/2)*FS29+(1-EXP(-LN(2)/2))/(LN(2)/2)*FM30*FP30*VLOOKUP('Données projet'!$B$16,Paramètres!$A$1:$I$89,3,0)*0.475*44/12</f>
        <v>0.60138255590741674</v>
      </c>
      <c r="FT30" s="22">
        <f t="shared" si="24"/>
        <v>4.0673361310902774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13</v>
      </c>
      <c r="FZ30" s="12">
        <f>IF('Données projet'!$A$244&gt;35,FZ29+FY30-GH29,IF(A30&lt;'Données projet'!$A$244,$FW$205^A30,IF(A30='Données projet'!$A$244,'Données projet'!$B$244,FZ29+FY30-GH29)))</f>
        <v>179</v>
      </c>
      <c r="GA30" s="17">
        <f>FZ30*VLOOKUP('Données projet'!$B$17,Paramètres!$A$1:$I$89,3,0)*VLOOKUP('Données projet'!$B$17,Paramètres!$A$1:$I$89,5,0)</f>
        <v>107.042</v>
      </c>
      <c r="GB30" s="13">
        <f t="shared" si="49"/>
        <v>28.632954900548082</v>
      </c>
      <c r="GC30" s="20">
        <f t="shared" si="25"/>
        <v>236.30054645178791</v>
      </c>
      <c r="GD30" s="59">
        <f t="shared" si="26"/>
        <v>529.63387978512128</v>
      </c>
      <c r="GE30" s="59">
        <f ca="1">AVERAGE(OFFSET($GD$3,0,0,'Données projet'!$E$17+1,1))-AVERAGE(OFFSET($H$3,0,0,'Données projet'!$E$17+1,1))</f>
        <v>216.94426559495264</v>
      </c>
      <c r="GF30" s="59">
        <f t="shared" si="50"/>
        <v>225.33715877618704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0.43927001238579888</v>
      </c>
      <c r="GN30" s="21">
        <f>EXP(-LN(2)/2)*GN29+(1-EXP(-LN(2)/2))/(LN(2)/2)*GH30*GK30*VLOOKUP('Données projet'!$B$17,Paramètres!$A$1:$I$89,3,0)*0.475*44/12</f>
        <v>8.9768299313383995E-2</v>
      </c>
      <c r="GO30" s="21">
        <f t="shared" si="27"/>
        <v>0.52903831169918292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6.3</v>
      </c>
      <c r="GU30" s="12">
        <f>IF('Données projet'!$A$270&gt;35,GU29+GT30-HC29,IF(A30&lt;'Données projet'!$A$270,$GR$205^A30,IF(A30='Données projet'!$A$270,'Données projet'!$B$270,GU29+GT30-HC29)))</f>
        <v>86.09999999999998</v>
      </c>
      <c r="GV30" s="17">
        <f>GU30*VLOOKUP('Données projet'!$B$18,Paramètres!$A$1:$I$89,3,0)*VLOOKUP('Données projet'!$B$18,Paramètres!$A$1:$I$89,5,0)</f>
        <v>83.275919999999985</v>
      </c>
      <c r="GW30" s="13">
        <f t="shared" si="51"/>
        <v>22.936283153895268</v>
      </c>
      <c r="GX30" s="20">
        <f t="shared" si="28"/>
        <v>184.98625382636752</v>
      </c>
      <c r="GY30" s="59">
        <f t="shared" si="29"/>
        <v>478.31958715970086</v>
      </c>
      <c r="GZ30" s="59">
        <f ca="1">AVERAGE(OFFSET($GY$3,0,0,'Données projet'!$E$18+1,1))-AVERAGE(OFFSET($H$3,0,0,'Données projet'!$E$18+1,1))</f>
        <v>261.22357949323879</v>
      </c>
      <c r="HA30" s="59">
        <f t="shared" si="52"/>
        <v>163.41029152029387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479.02898256278019</v>
      </c>
      <c r="S31" s="59">
        <f ca="1">AVERAGE(OFFSET($R$3,0,0,'Données projet'!$E$9+1,1))-AVERAGE(OFFSET($H$3,0,0,'Données projet'!$E$9+1,1))</f>
        <v>237.22177246688199</v>
      </c>
      <c r="T31" s="59">
        <f t="shared" si="34"/>
        <v>149.27472147904302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</v>
      </c>
      <c r="AI31" s="13">
        <f>IF('Données projet'!$A$62&gt;35,AI30+AH31-AQ30,IF(A31&lt;'Données projet'!$A$62,$AF$205^A31,IF(A31='Données projet'!$A$62,'Données projet'!$B$62,AI30+AH31-AQ30)))</f>
        <v>139.79999999999993</v>
      </c>
      <c r="AJ31" s="13">
        <f>AI31*VLOOKUP('Données projet'!$B$10,Paramètres!$A$1:$I$89,3,0)*VLOOKUP('Données projet'!$B$10,Paramètres!$A$1:$I$89,5,0)</f>
        <v>122.12927999999995</v>
      </c>
      <c r="AK31" s="13">
        <f t="shared" si="35"/>
        <v>32.171109382958164</v>
      </c>
      <c r="AL31" s="20">
        <f t="shared" si="4"/>
        <v>268.73984484198542</v>
      </c>
      <c r="AM31" s="59">
        <f t="shared" si="5"/>
        <v>562.07317817531873</v>
      </c>
      <c r="AN31" s="59">
        <f ca="1">AVERAGE(OFFSET($AM$3,0,0,'Données projet'!$E$10+1,1))-AVERAGE(OFFSET($H$3,0,0,'Données projet'!$E$10+1,1))</f>
        <v>210.07838338464626</v>
      </c>
      <c r="AO31" s="59">
        <f t="shared" si="36"/>
        <v>241.76003724236273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1.4531324190758319</v>
      </c>
      <c r="AV31" s="21">
        <f>EXP(-LN(2)/25)*AV30+(1-EXP(-LN(2)/25))/(LN(2)/25)*Calculateur!AQ31*Calculateur!AS31*VLOOKUP('Données projet'!$B$10,Paramètres!$A$1:$I$89,3,0)*0.475*44/12</f>
        <v>6.1133830017212567</v>
      </c>
      <c r="AW31" s="21">
        <f>EXP(-LN(2)/2)*AW30+(1-EXP(-LN(2)/2))/(LN(2)/2)*AQ31*AT31*VLOOKUP('Données projet'!$B$10,Paramètres!$A$1:$I$89,3,0)*0.475*44/12</f>
        <v>0.95048070796603057</v>
      </c>
      <c r="AX31" s="21">
        <f t="shared" si="6"/>
        <v>8.51699612876312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13.9</v>
      </c>
      <c r="BD31" s="12">
        <f>IF('Données projet'!$A$88&gt;35,BD30+BC31-BL30,IF(A31&lt;'Données projet'!$A$88,$BA$205^A31,IF(A31='Données projet'!$A$88,'Données projet'!$B$88,BD30+BC31-BL30)))</f>
        <v>192.20000000000005</v>
      </c>
      <c r="BE31" s="13">
        <f>BD31*VLOOKUP('Données projet'!$B$11,Paramètres!$A$1:$I$89,3,0)*VLOOKUP('Données projet'!$B$11,Paramètres!$A$1:$I$89,5,0)</f>
        <v>119.93280000000003</v>
      </c>
      <c r="BF31" s="13">
        <f t="shared" si="37"/>
        <v>31.659325486741768</v>
      </c>
      <c r="BG31" s="20">
        <f t="shared" si="7"/>
        <v>264.0229518894086</v>
      </c>
      <c r="BH31" s="59">
        <f t="shared" si="8"/>
        <v>557.35628522274192</v>
      </c>
      <c r="BI31" s="59">
        <f ca="1">AVERAGE(OFFSET($BH$3,0,0,'Données projet'!$E$11+1,1))-AVERAGE(OFFSET($H$3,0,0,'Données projet'!$E$11+1,1))</f>
        <v>209.93608079129638</v>
      </c>
      <c r="BJ31" s="59">
        <f t="shared" si="38"/>
        <v>240.15652428700969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7.3315021817903396</v>
      </c>
      <c r="BR31" s="21">
        <f>EXP(-LN(2)/2)*BR30+(1-EXP(-LN(2)/2))/(LN(2)/2)*BL31*BO31*VLOOKUP('Données projet'!$B$11,Paramètres!$A$1:$I$89,3,0)*0.475*44/12</f>
        <v>0.81690560266534551</v>
      </c>
      <c r="BS31" s="22">
        <f t="shared" si="9"/>
        <v>8.148407784455685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219.09999999999991</v>
      </c>
      <c r="BZ31" s="13">
        <f>BY31*VLOOKUP('Données projet'!$B$12,Paramètres!$A$1:$I$89,3,0)*VLOOKUP('Données projet'!$B$12,Paramètres!$A$1:$I$89,5,0)</f>
        <v>102.53879999999995</v>
      </c>
      <c r="CA31" s="13">
        <f t="shared" si="39"/>
        <v>27.565946279127878</v>
      </c>
      <c r="CB31" s="20">
        <f t="shared" si="10"/>
        <v>226.59909976948094</v>
      </c>
      <c r="CC31" s="59">
        <f t="shared" si="11"/>
        <v>519.93243310281423</v>
      </c>
      <c r="CD31" s="59">
        <f ca="1">AVERAGE(OFFSET($CC$3,0,0,'Données projet'!$E$12+1,1))-AVERAGE(OFFSET($H$3,0,0,'Données projet'!$E$12+1,1))</f>
        <v>215.23235148064941</v>
      </c>
      <c r="CE31" s="59">
        <f t="shared" si="40"/>
        <v>184.07239726900434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1.7028404560746147</v>
      </c>
      <c r="CM31" s="21">
        <f>EXP(-LN(2)/2)*CM30+(1-EXP(-LN(2)/2))/(LN(2)/2)*CG31*CJ31*VLOOKUP('Données projet'!$B$12,Paramètres!$A$1:$I$89,3,0)*0.475*44/12</f>
        <v>0.20698621689155705</v>
      </c>
      <c r="CN31" s="22">
        <f t="shared" si="12"/>
        <v>1.9098266729661717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6.3</v>
      </c>
      <c r="CT31" s="12">
        <f>IF('Données projet'!$A$140&gt;35,CT30+CS31-DB30,IF(A31&lt;'Données projet'!$A$140,$CQ$205^A31,IF(A31='Données projet'!$A$140,'Données projet'!$B$140,CT30+CS31-DB30)))</f>
        <v>92.399999999999977</v>
      </c>
      <c r="CU31" s="17">
        <f>CT31*VLOOKUP('Données projet'!$B$13,Paramètres!$A$1:$I$89,3,0)*VLOOKUP('Données projet'!$B$13,Paramètres!$A$1:$I$89,5,0)</f>
        <v>93.693599999999989</v>
      </c>
      <c r="CV31" s="13">
        <f t="shared" si="41"/>
        <v>25.453936461054091</v>
      </c>
      <c r="CW31" s="20">
        <f t="shared" si="13"/>
        <v>207.51529266966918</v>
      </c>
      <c r="CX31" s="59">
        <f t="shared" si="14"/>
        <v>500.84862600300249</v>
      </c>
      <c r="CY31" s="59">
        <f ca="1">AVERAGE(OFFSET($CX$3,0,0,'Données projet'!$E$13+1,1))-AVERAGE(OFFSET($H$3,0,0,'Données projet'!$E$13+1,1))</f>
        <v>279.20364724206644</v>
      </c>
      <c r="CZ31" s="59">
        <f t="shared" si="42"/>
        <v>173.99850582760712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6.3</v>
      </c>
      <c r="DO31" s="12">
        <f>IF('Données projet'!$A$166&gt;35,DO30+DN31-DW30,IF(A31&lt;'Données projet'!$A$166,$DL$205^A31,IF(A31='Données projet'!$A$166,'Données projet'!$B$166,DO30+DN31-DW30)))</f>
        <v>92.399999999999977</v>
      </c>
      <c r="DP31" s="17">
        <f>DO31*VLOOKUP('Données projet'!$B$14,Paramètres!$A$1:$I$89,3,0)*VLOOKUP('Données projet'!$B$14,Paramètres!$A$1:$I$89,5,0)</f>
        <v>96.576479999999989</v>
      </c>
      <c r="DQ31" s="13">
        <f t="shared" si="43"/>
        <v>26.144744944071853</v>
      </c>
      <c r="DR31" s="20">
        <f t="shared" si="16"/>
        <v>213.73946677759179</v>
      </c>
      <c r="DS31" s="59">
        <f t="shared" si="17"/>
        <v>507.07280011092507</v>
      </c>
      <c r="DT31" s="59">
        <f ca="1">AVERAGE(OFFSET($DS$3,0,0,'Données projet'!$E$14+1,1))-AVERAGE(OFFSET($H$3,0,0,'Données projet'!$E$14+1,1))</f>
        <v>291.18074901939718</v>
      </c>
      <c r="DU31" s="59">
        <f t="shared" si="44"/>
        <v>181.05123751753774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>
        <f>VLOOKUP(A31,'Données projet'!$A$191:$I$211,2,0)</f>
        <v>190</v>
      </c>
      <c r="EH31" s="12">
        <f>VLOOKUP(A31,'Données projet'!$A$191:$I$211,9,0)</f>
        <v>16</v>
      </c>
      <c r="EI31" s="12">
        <f t="array" ref="EI31">INDEX(EH:EH,MIN(IF(ISNUMBER(EH31:EH227),ROW(EH31:EH227),"")))</f>
        <v>16</v>
      </c>
      <c r="EJ31" s="12">
        <f>IF('Données projet'!$A$192&gt;35,EJ30+EI31-ER30,IF(A31&lt;'Données projet'!$A$192,$EG$205^A31,IF(A31='Données projet'!$A$192,'Données projet'!$B$192,EJ30+EI31-ER30)))</f>
        <v>190</v>
      </c>
      <c r="EK31" s="17">
        <f>EJ31*VLOOKUP('Données projet'!$B$15,Paramètres!$A$1:$I$89,3,0)*VLOOKUP('Données projet'!$B$15,Paramètres!$A$1:$I$89,5,0)</f>
        <v>113.62</v>
      </c>
      <c r="EL31" s="13">
        <f t="shared" si="45"/>
        <v>30.182270904187739</v>
      </c>
      <c r="EM31" s="20">
        <f t="shared" si="19"/>
        <v>250.45562182479364</v>
      </c>
      <c r="EN31" s="59">
        <f t="shared" si="20"/>
        <v>543.78895515812701</v>
      </c>
      <c r="EO31" s="59">
        <f ca="1">AVERAGE(OFFSET($EN$3,0,0,'Données projet'!$E$15+1,1))-AVERAGE(OFFSET($H$3,0,0,'Données projet'!$E$15+1,1))</f>
        <v>168.08890945052406</v>
      </c>
      <c r="EP31" s="59">
        <f t="shared" si="46"/>
        <v>182.52462557642343</v>
      </c>
      <c r="EQ31" s="15">
        <f>IF(ISNA(VLOOKUP(A31,'Données projet'!$A$191:$I$211,3,0)),0,VLOOKUP(A31,'Données projet'!$A$191:$I$211,3,0))</f>
        <v>4</v>
      </c>
      <c r="ER31" s="15">
        <f>IF(ISNA(VLOOKUP(A31,'Données projet'!$A$191:$I$211,4,0)),0,VLOOKUP(A31,'Données projet'!$A$191:$I$211,4,0))</f>
        <v>35</v>
      </c>
      <c r="ES31" s="16">
        <f>IF(ISNA(VLOOKUP(A31,'Données projet'!$A$191:$I$211,5,0)),0%,VLOOKUP(A31,'Données projet'!$A$191:$I$211,5,0)*VLOOKUP('Données projet'!$B$15,Paramètres!$A$1:$I$89,7,0))</f>
        <v>0.13500000000000001</v>
      </c>
      <c r="ET31" s="16">
        <f>IF(ISNA(VLOOKUP(A31,'Données projet'!$A$191:$I$211,6,0)),0%,VLOOKUP(A31,'Données projet'!$A$191:$I$211,6,0)*VLOOKUP('Données projet'!$B$15,Paramètres!$A$1:$I$89,7,0))</f>
        <v>0.1575</v>
      </c>
      <c r="EU31" s="16">
        <f>IF(ISNA(VLOOKUP(A31,'Données projet'!$A$191:$I$211,7,0)),0%,VLOOKUP(A31,'Données projet'!$A$191:$I$211,7,0))</f>
        <v>0.35</v>
      </c>
      <c r="EV31" s="21">
        <f>EXP(-LN(2)/35)*EV30+(1-EXP(-LN(2)/35))/(LN(2)/35)*ER31*ES31*VLOOKUP('Données projet'!$B$15,Paramètres!$A$1:$I$89,3,0)*0.475*44/12</f>
        <v>6.4632600774874396</v>
      </c>
      <c r="EW31" s="21">
        <f>EXP(-LN(2)/25)*EW30+(1-EXP(-LN(2)/25))/(LN(2)/25)*Calculateur!ER31*Calculateur!ET31*VLOOKUP('Données projet'!$B$15,Paramètres!$A$1:$I$89,3,0)*0.475*44/12</f>
        <v>13.033964996355422</v>
      </c>
      <c r="EX31" s="21">
        <f>EXP(-LN(2)/2)*EX30+(1-EXP(-LN(2)/2))/(LN(2)/2)*ER31*EU31*VLOOKUP('Données projet'!$B$15,Paramètres!$A$1:$I$89,3,0)*0.475*44/12</f>
        <v>10.891384748148297</v>
      </c>
      <c r="EY31" s="22">
        <f t="shared" si="21"/>
        <v>30.38860982199116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12.2</v>
      </c>
      <c r="FE31" s="12">
        <f>IF('Données projet'!$A$218&gt;35,FE30+FD31-FM30,IF(A31&lt;'Données projet'!$A$218,$FB$205^A31,IF(A31='Données projet'!$A$218,'Données projet'!$B$218,FE30+FD31-FM30)))</f>
        <v>149.6</v>
      </c>
      <c r="FF31" s="17">
        <f>FE31*VLOOKUP('Données projet'!$B$16,Paramètres!$A$1:$I$89,3,0)*VLOOKUP('Données projet'!$B$16,Paramètres!$A$1:$I$89,5,0)</f>
        <v>100.35168</v>
      </c>
      <c r="FG31" s="13">
        <f t="shared" si="47"/>
        <v>27.045763332704833</v>
      </c>
      <c r="FH31" s="20">
        <f t="shared" si="22"/>
        <v>221.88388047112758</v>
      </c>
      <c r="FI31" s="59">
        <f t="shared" si="23"/>
        <v>515.21721380446093</v>
      </c>
      <c r="FJ31" s="59">
        <f ca="1">AVERAGE(OFFSET($FI$3,0,0,'Données projet'!$E$16+1,1))-AVERAGE(OFFSET($H$3,0,0,'Données projet'!$E$16+1,1))</f>
        <v>156.63226020379989</v>
      </c>
      <c r="FK31" s="59">
        <f t="shared" si="48"/>
        <v>196.0481096619543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3.3711768924029086</v>
      </c>
      <c r="FS31" s="21">
        <f>EXP(-LN(2)/2)*FS30+(1-EXP(-LN(2)/2))/(LN(2)/2)*FM31*FP31*VLOOKUP('Données projet'!$B$16,Paramètres!$A$1:$I$89,3,0)*0.475*44/12</f>
        <v>0.42524168336943247</v>
      </c>
      <c r="FT31" s="22">
        <f t="shared" si="24"/>
        <v>3.796418575772341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13</v>
      </c>
      <c r="FZ31" s="12">
        <f>IF('Données projet'!$A$244&gt;35,FZ30+FY31-GH30,IF(A31&lt;'Données projet'!$A$244,$FW$205^A31,IF(A31='Données projet'!$A$244,'Données projet'!$B$244,FZ30+FY31-GH30)))</f>
        <v>192</v>
      </c>
      <c r="GA31" s="17">
        <f>FZ31*VLOOKUP('Données projet'!$B$17,Paramètres!$A$1:$I$89,3,0)*VLOOKUP('Données projet'!$B$17,Paramètres!$A$1:$I$89,5,0)</f>
        <v>114.81600000000002</v>
      </c>
      <c r="GB31" s="13">
        <f t="shared" si="49"/>
        <v>30.462826482209831</v>
      </c>
      <c r="GC31" s="20">
        <f t="shared" si="25"/>
        <v>253.02728945651543</v>
      </c>
      <c r="GD31" s="59">
        <f t="shared" si="26"/>
        <v>546.36062278984878</v>
      </c>
      <c r="GE31" s="59">
        <f ca="1">AVERAGE(OFFSET($GD$3,0,0,'Données projet'!$E$17+1,1))-AVERAGE(OFFSET($H$3,0,0,'Données projet'!$E$17+1,1))</f>
        <v>216.94426559495264</v>
      </c>
      <c r="GF31" s="59">
        <f t="shared" si="50"/>
        <v>225.33715877618704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0.42725815079690321</v>
      </c>
      <c r="GN31" s="21">
        <f>EXP(-LN(2)/2)*GN30+(1-EXP(-LN(2)/2))/(LN(2)/2)*GH31*GK31*VLOOKUP('Données projet'!$B$17,Paramètres!$A$1:$I$89,3,0)*0.475*44/12</f>
        <v>6.3475773180077522E-2</v>
      </c>
      <c r="GO31" s="21">
        <f t="shared" si="27"/>
        <v>0.49073392397698073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6.3</v>
      </c>
      <c r="GU31" s="12">
        <f>IF('Données projet'!$A$270&gt;35,GU30+GT31-HC30,IF(A31&lt;'Données projet'!$A$270,$GR$205^A31,IF(A31='Données projet'!$A$270,'Données projet'!$B$270,GU30+GT31-HC30)))</f>
        <v>92.399999999999977</v>
      </c>
      <c r="GV31" s="17">
        <f>GU31*VLOOKUP('Données projet'!$B$18,Paramètres!$A$1:$I$89,3,0)*VLOOKUP('Données projet'!$B$18,Paramètres!$A$1:$I$89,5,0)</f>
        <v>89.369279999999975</v>
      </c>
      <c r="GW31" s="13">
        <f t="shared" si="51"/>
        <v>24.413048312949282</v>
      </c>
      <c r="GX31" s="20">
        <f t="shared" si="28"/>
        <v>198.17088847838662</v>
      </c>
      <c r="GY31" s="59">
        <f t="shared" si="29"/>
        <v>491.50422181171996</v>
      </c>
      <c r="GZ31" s="59">
        <f ca="1">AVERAGE(OFFSET($GY$3,0,0,'Données projet'!$E$18+1,1))-AVERAGE(OFFSET($H$3,0,0,'Données projet'!$E$18+1,1))</f>
        <v>261.22357949323879</v>
      </c>
      <c r="HA31" s="59">
        <f t="shared" si="52"/>
        <v>163.41029152029387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491.36256254874536</v>
      </c>
      <c r="S32" s="59">
        <f ca="1">AVERAGE(OFFSET($R$3,0,0,'Données projet'!$E$9+1,1))-AVERAGE(OFFSET($H$3,0,0,'Données projet'!$E$9+1,1))</f>
        <v>237.22177246688199</v>
      </c>
      <c r="T32" s="59">
        <f t="shared" si="34"/>
        <v>149.27472147904302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</v>
      </c>
      <c r="AI32" s="13">
        <f>IF('Données projet'!$A$62&gt;35,AI31+AH32-AQ31,IF(A32&lt;'Données projet'!$A$62,$AF$205^A32,IF(A32='Données projet'!$A$62,'Données projet'!$B$62,AI31+AH32-AQ31)))</f>
        <v>148.89999999999992</v>
      </c>
      <c r="AJ32" s="13">
        <f>AI32*VLOOKUP('Données projet'!$B$10,Paramètres!$A$1:$I$89,3,0)*VLOOKUP('Données projet'!$B$10,Paramètres!$A$1:$I$89,5,0)</f>
        <v>130.07903999999994</v>
      </c>
      <c r="AK32" s="13">
        <f t="shared" si="35"/>
        <v>34.014622509548083</v>
      </c>
      <c r="AL32" s="20">
        <f t="shared" si="4"/>
        <v>285.79646220412945</v>
      </c>
      <c r="AM32" s="59">
        <f t="shared" si="5"/>
        <v>579.12979553746277</v>
      </c>
      <c r="AN32" s="59">
        <f ca="1">AVERAGE(OFFSET($AM$3,0,0,'Données projet'!$E$10+1,1))-AVERAGE(OFFSET($H$3,0,0,'Données projet'!$E$10+1,1))</f>
        <v>210.07838338464626</v>
      </c>
      <c r="AO32" s="59">
        <f t="shared" si="36"/>
        <v>241.76003724236273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1.4246373786610134</v>
      </c>
      <c r="AV32" s="21">
        <f>EXP(-LN(2)/25)*AV31+(1-EXP(-LN(2)/25))/(LN(2)/25)*Calculateur!AQ32*Calculateur!AS32*VLOOKUP('Données projet'!$B$10,Paramètres!$A$1:$I$89,3,0)*0.475*44/12</f>
        <v>5.9462122220503488</v>
      </c>
      <c r="AW32" s="21">
        <f>EXP(-LN(2)/2)*AW31+(1-EXP(-LN(2)/2))/(LN(2)/2)*AQ32*AT32*VLOOKUP('Données projet'!$B$10,Paramètres!$A$1:$I$89,3,0)*0.475*44/12</f>
        <v>0.67209135398977082</v>
      </c>
      <c r="AX32" s="21">
        <f t="shared" si="6"/>
        <v>8.0429409547011339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13.9</v>
      </c>
      <c r="BD32" s="12">
        <f>IF('Données projet'!$A$88&gt;35,BD31+BC32-BL31,IF(A32&lt;'Données projet'!$A$88,$BA$205^A32,IF(A32='Données projet'!$A$88,'Données projet'!$B$88,BD31+BC32-BL31)))</f>
        <v>206.10000000000005</v>
      </c>
      <c r="BE32" s="13">
        <f>BD32*VLOOKUP('Données projet'!$B$11,Paramètres!$A$1:$I$89,3,0)*VLOOKUP('Données projet'!$B$11,Paramètres!$A$1:$I$89,5,0)</f>
        <v>128.60640000000004</v>
      </c>
      <c r="BF32" s="13">
        <f t="shared" si="37"/>
        <v>33.67413757380087</v>
      </c>
      <c r="BG32" s="20">
        <f t="shared" si="7"/>
        <v>282.63860294103654</v>
      </c>
      <c r="BH32" s="59">
        <f t="shared" si="8"/>
        <v>575.97193627436991</v>
      </c>
      <c r="BI32" s="59">
        <f ca="1">AVERAGE(OFFSET($BH$3,0,0,'Données projet'!$E$11+1,1))-AVERAGE(OFFSET($H$3,0,0,'Données projet'!$E$11+1,1))</f>
        <v>209.93608079129638</v>
      </c>
      <c r="BJ32" s="59">
        <f t="shared" si="38"/>
        <v>240.15652428700969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7.131021869082339</v>
      </c>
      <c r="BR32" s="21">
        <f>EXP(-LN(2)/2)*BR31+(1-EXP(-LN(2)/2))/(LN(2)/2)*BL32*BO32*VLOOKUP('Données projet'!$B$11,Paramètres!$A$1:$I$89,3,0)*0.475*44/12</f>
        <v>0.5776394912339492</v>
      </c>
      <c r="BS32" s="22">
        <f t="shared" si="9"/>
        <v>7.7086613603162881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228.2999999999999</v>
      </c>
      <c r="BZ32" s="13">
        <f>BY32*VLOOKUP('Données projet'!$B$12,Paramètres!$A$1:$I$89,3,0)*VLOOKUP('Données projet'!$B$12,Paramètres!$A$1:$I$89,5,0)</f>
        <v>106.84439999999995</v>
      </c>
      <c r="CA32" s="13">
        <f t="shared" si="39"/>
        <v>28.586245822975961</v>
      </c>
      <c r="CB32" s="20">
        <f t="shared" si="10"/>
        <v>235.87504147501636</v>
      </c>
      <c r="CC32" s="59">
        <f t="shared" si="11"/>
        <v>529.20837480834962</v>
      </c>
      <c r="CD32" s="59">
        <f ca="1">AVERAGE(OFFSET($CC$3,0,0,'Données projet'!$E$12+1,1))-AVERAGE(OFFSET($H$3,0,0,'Données projet'!$E$12+1,1))</f>
        <v>215.23235148064941</v>
      </c>
      <c r="CE32" s="59">
        <f t="shared" si="40"/>
        <v>184.07239726900434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1.6562761942547666</v>
      </c>
      <c r="CM32" s="21">
        <f>EXP(-LN(2)/2)*CM31+(1-EXP(-LN(2)/2))/(LN(2)/2)*CG32*CJ32*VLOOKUP('Données projet'!$B$12,Paramètres!$A$1:$I$89,3,0)*0.475*44/12</f>
        <v>0.1463613575761695</v>
      </c>
      <c r="CN32" s="22">
        <f t="shared" si="12"/>
        <v>1.8026375518309361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6.3</v>
      </c>
      <c r="CT32" s="12">
        <f>IF('Données projet'!$A$140&gt;35,CT31+CS32-DB31,IF(A32&lt;'Données projet'!$A$140,$CQ$205^A32,IF(A32='Données projet'!$A$140,'Données projet'!$B$140,CT31+CS32-DB31)))</f>
        <v>98.699999999999974</v>
      </c>
      <c r="CU32" s="17">
        <f>CT32*VLOOKUP('Données projet'!$B$13,Paramètres!$A$1:$I$89,3,0)*VLOOKUP('Données projet'!$B$13,Paramètres!$A$1:$I$89,5,0)</f>
        <v>100.08179999999999</v>
      </c>
      <c r="CV32" s="13">
        <f t="shared" si="41"/>
        <v>26.981484342875188</v>
      </c>
      <c r="CW32" s="20">
        <f t="shared" si="13"/>
        <v>221.30188689717423</v>
      </c>
      <c r="CX32" s="59">
        <f t="shared" si="14"/>
        <v>514.63522023050757</v>
      </c>
      <c r="CY32" s="59">
        <f ca="1">AVERAGE(OFFSET($CX$3,0,0,'Données projet'!$E$13+1,1))-AVERAGE(OFFSET($H$3,0,0,'Données projet'!$E$13+1,1))</f>
        <v>279.20364724206644</v>
      </c>
      <c r="CZ32" s="59">
        <f t="shared" si="42"/>
        <v>173.99850582760712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6.3</v>
      </c>
      <c r="DO32" s="12">
        <f>IF('Données projet'!$A$166&gt;35,DO31+DN32-DW31,IF(A32&lt;'Données projet'!$A$166,$DL$205^A32,IF(A32='Données projet'!$A$166,'Données projet'!$B$166,DO31+DN32-DW31)))</f>
        <v>98.699999999999974</v>
      </c>
      <c r="DP32" s="17">
        <f>DO32*VLOOKUP('Données projet'!$B$14,Paramètres!$A$1:$I$89,3,0)*VLOOKUP('Données projet'!$B$14,Paramètres!$A$1:$I$89,5,0)</f>
        <v>103.16123999999999</v>
      </c>
      <c r="DQ32" s="13">
        <f t="shared" si="43"/>
        <v>27.713749794114442</v>
      </c>
      <c r="DR32" s="20">
        <f t="shared" si="16"/>
        <v>227.9406072247493</v>
      </c>
      <c r="DS32" s="59">
        <f t="shared" si="17"/>
        <v>521.27394055808259</v>
      </c>
      <c r="DT32" s="59">
        <f ca="1">AVERAGE(OFFSET($DS$3,0,0,'Données projet'!$E$14+1,1))-AVERAGE(OFFSET($H$3,0,0,'Données projet'!$E$14+1,1))</f>
        <v>291.18074901939718</v>
      </c>
      <c r="DU32" s="59">
        <f t="shared" si="44"/>
        <v>181.05123751753774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14.833333333333334</v>
      </c>
      <c r="EJ32" s="12">
        <f>IF('Données projet'!$A$192&gt;35,EJ31+EI32-ER31,IF(A32&lt;'Données projet'!$A$192,$EG$205^A32,IF(A32='Données projet'!$A$192,'Données projet'!$B$192,EJ31+EI32-ER31)))</f>
        <v>169.83333333333334</v>
      </c>
      <c r="EK32" s="17">
        <f>EJ32*VLOOKUP('Données projet'!$B$15,Paramètres!$A$1:$I$89,3,0)*VLOOKUP('Données projet'!$B$15,Paramètres!$A$1:$I$89,5,0)</f>
        <v>101.56033333333333</v>
      </c>
      <c r="EL32" s="13">
        <f t="shared" si="45"/>
        <v>27.333389821325063</v>
      </c>
      <c r="EM32" s="20">
        <f t="shared" si="19"/>
        <v>224.48990116103005</v>
      </c>
      <c r="EN32" s="59">
        <f t="shared" si="20"/>
        <v>517.82323449436331</v>
      </c>
      <c r="EO32" s="59">
        <f ca="1">AVERAGE(OFFSET($EN$3,0,0,'Données projet'!$E$15+1,1))-AVERAGE(OFFSET($H$3,0,0,'Données projet'!$E$15+1,1))</f>
        <v>168.08890945052406</v>
      </c>
      <c r="EP32" s="59">
        <f t="shared" si="46"/>
        <v>182.52462557642343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6.3365194895672987</v>
      </c>
      <c r="EW32" s="21">
        <f>EXP(-LN(2)/25)*EW31+(1-EXP(-LN(2)/25))/(LN(2)/25)*Calculateur!ER32*Calculateur!ET32*VLOOKUP('Données projet'!$B$15,Paramètres!$A$1:$I$89,3,0)*0.475*44/12</f>
        <v>12.677550538103654</v>
      </c>
      <c r="EX32" s="21">
        <f>EXP(-LN(2)/2)*EX31+(1-EXP(-LN(2)/2))/(LN(2)/2)*ER32*EU32*VLOOKUP('Données projet'!$B$15,Paramètres!$A$1:$I$89,3,0)*0.475*44/12</f>
        <v>7.7013720119273996</v>
      </c>
      <c r="EY32" s="22">
        <f t="shared" si="21"/>
        <v>26.715442039598354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12.2</v>
      </c>
      <c r="FE32" s="12">
        <f>IF('Données projet'!$A$218&gt;35,FE31+FD32-FM31,IF(A32&lt;'Données projet'!$A$218,$FB$205^A32,IF(A32='Données projet'!$A$218,'Données projet'!$B$218,FE31+FD32-FM31)))</f>
        <v>161.79999999999998</v>
      </c>
      <c r="FF32" s="17">
        <f>FE32*VLOOKUP('Données projet'!$B$16,Paramètres!$A$1:$I$89,3,0)*VLOOKUP('Données projet'!$B$16,Paramètres!$A$1:$I$89,5,0)</f>
        <v>108.53543999999999</v>
      </c>
      <c r="FG32" s="13">
        <f t="shared" si="47"/>
        <v>28.985654095898287</v>
      </c>
      <c r="FH32" s="20">
        <f t="shared" si="22"/>
        <v>239.51590555035622</v>
      </c>
      <c r="FI32" s="59">
        <f t="shared" si="23"/>
        <v>532.84923888368951</v>
      </c>
      <c r="FJ32" s="59">
        <f ca="1">AVERAGE(OFFSET($FI$3,0,0,'Données projet'!$E$16+1,1))-AVERAGE(OFFSET($H$3,0,0,'Données projet'!$E$16+1,1))</f>
        <v>156.63226020379989</v>
      </c>
      <c r="FK32" s="59">
        <f t="shared" si="48"/>
        <v>196.0481096619543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3.2789918829976634</v>
      </c>
      <c r="FS32" s="21">
        <f>EXP(-LN(2)/2)*FS31+(1-EXP(-LN(2)/2))/(LN(2)/2)*FM32*FP32*VLOOKUP('Données projet'!$B$16,Paramètres!$A$1:$I$89,3,0)*0.475*44/12</f>
        <v>0.30069127795370842</v>
      </c>
      <c r="FT32" s="22">
        <f t="shared" si="24"/>
        <v>3.579683160951372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13</v>
      </c>
      <c r="FZ32" s="12">
        <f>IF('Données projet'!$A$244&gt;35,FZ31+FY32-GH31,IF(A32&lt;'Données projet'!$A$244,$FW$205^A32,IF(A32='Données projet'!$A$244,'Données projet'!$B$244,FZ31+FY32-GH31)))</f>
        <v>205</v>
      </c>
      <c r="GA32" s="17">
        <f>FZ32*VLOOKUP('Données projet'!$B$17,Paramètres!$A$1:$I$89,3,0)*VLOOKUP('Données projet'!$B$17,Paramètres!$A$1:$I$89,5,0)</f>
        <v>122.59</v>
      </c>
      <c r="GB32" s="13">
        <f t="shared" si="49"/>
        <v>32.278321478706822</v>
      </c>
      <c r="GC32" s="20">
        <f t="shared" si="25"/>
        <v>269.72899324208106</v>
      </c>
      <c r="GD32" s="59">
        <f t="shared" si="26"/>
        <v>563.06232657541432</v>
      </c>
      <c r="GE32" s="59">
        <f ca="1">AVERAGE(OFFSET($GD$3,0,0,'Données projet'!$E$17+1,1))-AVERAGE(OFFSET($H$3,0,0,'Données projet'!$E$17+1,1))</f>
        <v>216.94426559495264</v>
      </c>
      <c r="GF32" s="59">
        <f t="shared" si="50"/>
        <v>225.33715877618704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0.41557475419483225</v>
      </c>
      <c r="GN32" s="21">
        <f>EXP(-LN(2)/2)*GN31+(1-EXP(-LN(2)/2))/(LN(2)/2)*GH32*GK32*VLOOKUP('Données projet'!$B$17,Paramètres!$A$1:$I$89,3,0)*0.475*44/12</f>
        <v>4.4884149656691998E-2</v>
      </c>
      <c r="GO32" s="21">
        <f t="shared" si="27"/>
        <v>0.46045890385152427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6.3</v>
      </c>
      <c r="GU32" s="12">
        <f>IF('Données projet'!$A$270&gt;35,GU31+GT32-HC31,IF(A32&lt;'Données projet'!$A$270,$GR$205^A32,IF(A32='Données projet'!$A$270,'Données projet'!$B$270,GU31+GT32-HC31)))</f>
        <v>98.699999999999974</v>
      </c>
      <c r="GV32" s="17">
        <f>GU32*VLOOKUP('Données projet'!$B$18,Paramètres!$A$1:$I$89,3,0)*VLOOKUP('Données projet'!$B$18,Paramètres!$A$1:$I$89,5,0)</f>
        <v>95.462639999999979</v>
      </c>
      <c r="GW32" s="13">
        <f t="shared" si="51"/>
        <v>25.878130159770908</v>
      </c>
      <c r="GX32" s="20">
        <f t="shared" si="28"/>
        <v>211.33517469493427</v>
      </c>
      <c r="GY32" s="59">
        <f t="shared" si="29"/>
        <v>504.66850802826758</v>
      </c>
      <c r="GZ32" s="59">
        <f ca="1">AVERAGE(OFFSET($GY$3,0,0,'Données projet'!$E$18+1,1))-AVERAGE(OFFSET($H$3,0,0,'Données projet'!$E$18+1,1))</f>
        <v>261.22357949323879</v>
      </c>
      <c r="HA32" s="59">
        <f t="shared" si="52"/>
        <v>163.41029152029387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237.22177246688199</v>
      </c>
      <c r="T33" s="59">
        <f t="shared" si="34"/>
        <v>149.27472147904302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158</v>
      </c>
      <c r="AG33" s="12">
        <f>VLOOKUP(A33,'Données projet'!$A$61:$I$81,9,0)</f>
        <v>9.1</v>
      </c>
      <c r="AH33" s="12">
        <f t="array" ref="AH33">INDEX(AG:AG,MIN(IF(ISNUMBER(AG33:AG229),ROW(AG33:AG229),"")))</f>
        <v>9.1</v>
      </c>
      <c r="AI33" s="13">
        <f>IF('Données projet'!$A$62&gt;35,AI32+AH33-AQ32,IF(A33&lt;'Données projet'!$A$62,$AF$205^A33,IF(A33='Données projet'!$A$62,'Données projet'!$B$62,AI32+AH33-AQ32)))</f>
        <v>157.99999999999991</v>
      </c>
      <c r="AJ33" s="13">
        <f>AI33*VLOOKUP('Données projet'!$B$10,Paramètres!$A$1:$I$89,3,0)*VLOOKUP('Données projet'!$B$10,Paramètres!$A$1:$I$89,5,0)</f>
        <v>138.02879999999993</v>
      </c>
      <c r="AK33" s="13">
        <f t="shared" si="35"/>
        <v>35.845059256813073</v>
      </c>
      <c r="AL33" s="20">
        <f t="shared" si="4"/>
        <v>302.83030487228262</v>
      </c>
      <c r="AM33" s="59">
        <f t="shared" si="5"/>
        <v>596.16363820561594</v>
      </c>
      <c r="AN33" s="59">
        <f ca="1">AVERAGE(OFFSET($AM$3,0,0,'Données projet'!$E$10+1,1))-AVERAGE(OFFSET($H$3,0,0,'Données projet'!$E$10+1,1))</f>
        <v>210.07838338464626</v>
      </c>
      <c r="AO33" s="59">
        <f t="shared" si="36"/>
        <v>241.76003724236273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47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5.3002178376379323</v>
      </c>
      <c r="AV33" s="21">
        <f>EXP(-LN(2)/25)*AV32+(1-EXP(-LN(2)/25))/(LN(2)/25)*Calculateur!AQ33*Calculateur!AS33*VLOOKUP('Données projet'!$B$10,Paramètres!$A$1:$I$89,3,0)*0.475*44/12</f>
        <v>13.559906928762253</v>
      </c>
      <c r="AW33" s="21">
        <f>EXP(-LN(2)/2)*AW32+(1-EXP(-LN(2)/2))/(LN(2)/2)*AQ33*AT33*VLOOKUP('Données projet'!$B$10,Paramètres!$A$1:$I$89,3,0)*0.475*44/12</f>
        <v>15.971424470849238</v>
      </c>
      <c r="AX33" s="21">
        <f t="shared" si="6"/>
        <v>34.831549237249419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220</v>
      </c>
      <c r="BB33" s="12">
        <f>VLOOKUP(A33,'Données projet'!$A$87:$I$107,9,0)</f>
        <v>13.9</v>
      </c>
      <c r="BC33" s="12">
        <f t="array" ref="BC33">INDEX(BB:BB,MIN(IF(ISNUMBER(BB33:BB229),ROW(BB33:BB229),"")))</f>
        <v>13.9</v>
      </c>
      <c r="BD33" s="12">
        <f>IF('Données projet'!$A$88&gt;35,BD32+BC33-BL32,IF(A33&lt;'Données projet'!$A$88,$BA$205^A33,IF(A33='Données projet'!$A$88,'Données projet'!$B$88,BD32+BC33-BL32)))</f>
        <v>220.00000000000006</v>
      </c>
      <c r="BE33" s="13">
        <f>BD33*VLOOKUP('Données projet'!$B$11,Paramètres!$A$1:$I$89,3,0)*VLOOKUP('Données projet'!$B$11,Paramètres!$A$1:$I$89,5,0)</f>
        <v>137.28000000000003</v>
      </c>
      <c r="BF33" s="13">
        <f t="shared" si="37"/>
        <v>35.673181961873446</v>
      </c>
      <c r="BG33" s="20">
        <f t="shared" si="7"/>
        <v>301.22679191692964</v>
      </c>
      <c r="BH33" s="59">
        <f t="shared" si="8"/>
        <v>594.5601252502629</v>
      </c>
      <c r="BI33" s="59">
        <f ca="1">AVERAGE(OFFSET($BH$3,0,0,'Données projet'!$E$11+1,1))-AVERAGE(OFFSET($H$3,0,0,'Données projet'!$E$11+1,1))</f>
        <v>209.93608079129638</v>
      </c>
      <c r="BJ33" s="59">
        <f t="shared" si="38"/>
        <v>240.15652428700969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6.9533202496318935</v>
      </c>
      <c r="BQ33" s="21">
        <f>EXP(-LN(2)/25)*BQ32+(1-EXP(-LN(2)/25))/(LN(2)/25)*Calculateur!BL33*Calculateur!BN33*VLOOKUP('Données projet'!$B$11,Paramètres!$A$1:$I$89,3,0)*0.475*44/12</f>
        <v>20.787908457840874</v>
      </c>
      <c r="BR33" s="21">
        <f>EXP(-LN(2)/2)*BR32+(1-EXP(-LN(2)/2))/(LN(2)/2)*BL33*BO33*VLOOKUP('Données projet'!$B$11,Paramètres!$A$1:$I$89,3,0)*0.475*44/12</f>
        <v>20.190815503715083</v>
      </c>
      <c r="BS33" s="22">
        <f t="shared" si="9"/>
        <v>47.932044211187851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237.5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237.49999999999989</v>
      </c>
      <c r="BZ33" s="13">
        <f>BY33*VLOOKUP('Données projet'!$B$12,Paramètres!$A$1:$I$89,3,0)*VLOOKUP('Données projet'!$B$12,Paramètres!$A$1:$I$89,5,0)</f>
        <v>111.14999999999995</v>
      </c>
      <c r="CA33" s="13">
        <f t="shared" si="39"/>
        <v>29.601769319956546</v>
      </c>
      <c r="CB33" s="20">
        <f t="shared" si="10"/>
        <v>245.14266489892427</v>
      </c>
      <c r="CC33" s="59">
        <f t="shared" si="11"/>
        <v>538.47599823225755</v>
      </c>
      <c r="CD33" s="59">
        <f ca="1">AVERAGE(OFFSET($CC$3,0,0,'Données projet'!$E$12+1,1))-AVERAGE(OFFSET($H$3,0,0,'Données projet'!$E$12+1,1))</f>
        <v>215.23235148064941</v>
      </c>
      <c r="CE33" s="59">
        <f t="shared" si="40"/>
        <v>184.07239726900434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45.9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3.1345816018206638</v>
      </c>
      <c r="CL33" s="21">
        <f>EXP(-LN(2)/25)*CL32+(1-EXP(-LN(2)/25))/(LN(2)/25)*Calculateur!CG33*Calculateur!CI33*VLOOKUP('Données projet'!$B$12,Paramètres!$A$1:$I$89,3,0)*0.475*44/12</f>
        <v>7.8554643539932272</v>
      </c>
      <c r="CM33" s="21">
        <f>EXP(-LN(2)/2)*CM32+(1-EXP(-LN(2)/2))/(LN(2)/2)*CG33*CJ33*VLOOKUP('Données projet'!$B$12,Paramètres!$A$1:$I$89,3,0)*0.475*44/12</f>
        <v>9.8321764802959866</v>
      </c>
      <c r="CN33" s="22">
        <f t="shared" si="12"/>
        <v>20.822222436109875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105</v>
      </c>
      <c r="CR33" s="12">
        <f>VLOOKUP(A33,'Données projet'!$A$139:$I$159,9,0)</f>
        <v>6.3</v>
      </c>
      <c r="CS33" s="12">
        <f t="array" ref="CS33">INDEX(CR:CR,MIN(IF(ISNUMBER(CR33:CR229),ROW(CR33:CR229),"")))</f>
        <v>6.3</v>
      </c>
      <c r="CT33" s="12">
        <f>IF('Données projet'!$A$140&gt;35,CT32+CS33-DB32,IF(A33&lt;'Données projet'!$A$140,$CQ$205^A33,IF(A33='Données projet'!$A$140,'Données projet'!$B$140,CT32+CS33-DB32)))</f>
        <v>104.99999999999997</v>
      </c>
      <c r="CU33" s="17">
        <f>CT33*VLOOKUP('Données projet'!$B$13,Paramètres!$A$1:$I$89,3,0)*VLOOKUP('Données projet'!$B$13,Paramètres!$A$1:$I$89,5,0)</f>
        <v>106.46999999999998</v>
      </c>
      <c r="CV33" s="13">
        <f t="shared" si="41"/>
        <v>28.497716817718885</v>
      </c>
      <c r="CW33" s="20">
        <f t="shared" si="13"/>
        <v>235.06877345752699</v>
      </c>
      <c r="CX33" s="59">
        <f t="shared" si="14"/>
        <v>528.40210679086033</v>
      </c>
      <c r="CY33" s="59">
        <f ca="1">AVERAGE(OFFSET($CX$3,0,0,'Données projet'!$E$13+1,1))-AVERAGE(OFFSET($H$3,0,0,'Données projet'!$E$13+1,1))</f>
        <v>279.20364724206644</v>
      </c>
      <c r="CZ33" s="59">
        <f t="shared" si="42"/>
        <v>173.99850582760712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29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3.4807927795145521</v>
      </c>
      <c r="DH33" s="21">
        <f>EXP(-LN(2)/2)*DH32+(1-EXP(-LN(2)/2))/(LN(2)/2)*DB33*DE33*VLOOKUP('Données projet'!$B$13,Paramètres!$A$1:$I$89,3,0)*0.475*44/12</f>
        <v>6.9363381127215114</v>
      </c>
      <c r="DI33" s="22">
        <f t="shared" si="15"/>
        <v>10.417130892236063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105</v>
      </c>
      <c r="DM33" s="12">
        <f>VLOOKUP(A33,'Données projet'!$A$165:$I$185,9,0)</f>
        <v>6.3</v>
      </c>
      <c r="DN33" s="12">
        <f t="array" ref="DN33">INDEX(DM:DM,MIN(IF(ISNUMBER(DM33:DM229),ROW(DM33:DM229),"")))</f>
        <v>6.3</v>
      </c>
      <c r="DO33" s="12">
        <f>IF('Données projet'!$A$166&gt;35,DO32+DN33-DW32,IF(A33&lt;'Données projet'!$A$166,$DL$205^A33,IF(A33='Données projet'!$A$166,'Données projet'!$B$166,DO32+DN33-DW32)))</f>
        <v>104.99999999999997</v>
      </c>
      <c r="DP33" s="17">
        <f>DO33*VLOOKUP('Données projet'!$B$14,Paramètres!$A$1:$I$89,3,0)*VLOOKUP('Données projet'!$B$14,Paramètres!$A$1:$I$89,5,0)</f>
        <v>109.74599999999997</v>
      </c>
      <c r="DQ33" s="13">
        <f t="shared" si="43"/>
        <v>29.271132142080972</v>
      </c>
      <c r="DR33" s="20">
        <f t="shared" si="16"/>
        <v>242.12150514745761</v>
      </c>
      <c r="DS33" s="59">
        <f t="shared" si="17"/>
        <v>535.45483848079095</v>
      </c>
      <c r="DT33" s="59">
        <f ca="1">AVERAGE(OFFSET($DS$3,0,0,'Données projet'!$E$14+1,1))-AVERAGE(OFFSET($H$3,0,0,'Données projet'!$E$14+1,1))</f>
        <v>291.18074901939718</v>
      </c>
      <c r="DU33" s="59">
        <f t="shared" si="44"/>
        <v>181.05123751753774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29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3.5878940958073087</v>
      </c>
      <c r="EC33" s="21">
        <f>EXP(-LN(2)/2)*EC32+(1-EXP(-LN(2)/2))/(LN(2)/2)*DW33*DZ33*VLOOKUP('Données projet'!$B$14,Paramètres!$A$1:$I$89,3,0)*0.475*44/12</f>
        <v>7.1497639008052509</v>
      </c>
      <c r="ED33" s="22">
        <f t="shared" si="18"/>
        <v>10.73765799661256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14.833333333333334</v>
      </c>
      <c r="EJ33" s="12">
        <f>IF('Données projet'!$A$192&gt;35,EJ32+EI33-ER32,IF(A33&lt;'Données projet'!$A$192,$EG$205^A33,IF(A33='Données projet'!$A$192,'Données projet'!$B$192,EJ32+EI33-ER32)))</f>
        <v>184.66666666666669</v>
      </c>
      <c r="EK33" s="17">
        <f>EJ33*VLOOKUP('Données projet'!$B$15,Paramètres!$A$1:$I$89,3,0)*VLOOKUP('Données projet'!$B$15,Paramètres!$A$1:$I$89,5,0)</f>
        <v>110.43066666666668</v>
      </c>
      <c r="EL33" s="13">
        <f t="shared" si="45"/>
        <v>29.43242991113809</v>
      </c>
      <c r="EM33" s="20">
        <f t="shared" si="19"/>
        <v>243.5948932063433</v>
      </c>
      <c r="EN33" s="59">
        <f t="shared" si="20"/>
        <v>536.92822653967664</v>
      </c>
      <c r="EO33" s="59">
        <f ca="1">AVERAGE(OFFSET($EN$3,0,0,'Données projet'!$E$15+1,1))-AVERAGE(OFFSET($H$3,0,0,'Données projet'!$E$15+1,1))</f>
        <v>168.08890945052406</v>
      </c>
      <c r="EP33" s="59">
        <f t="shared" si="46"/>
        <v>182.52462557642343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6.2122642072721463</v>
      </c>
      <c r="EW33" s="21">
        <f>EXP(-LN(2)/25)*EW32+(1-EXP(-LN(2)/25))/(LN(2)/25)*Calculateur!ER33*Calculateur!ET33*VLOOKUP('Données projet'!$B$15,Paramètres!$A$1:$I$89,3,0)*0.475*44/12</f>
        <v>12.330882251955801</v>
      </c>
      <c r="EX33" s="21">
        <f>EXP(-LN(2)/2)*EX32+(1-EXP(-LN(2)/2))/(LN(2)/2)*ER33*EU33*VLOOKUP('Données projet'!$B$15,Paramètres!$A$1:$I$89,3,0)*0.475*44/12</f>
        <v>5.4456923740741496</v>
      </c>
      <c r="EY33" s="22">
        <f t="shared" si="21"/>
        <v>23.988838833302097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174</v>
      </c>
      <c r="FC33" s="12">
        <f>VLOOKUP(A33,'Données projet'!$A$217:$I$237,9,0)</f>
        <v>12.2</v>
      </c>
      <c r="FD33" s="12">
        <f t="array" ref="FD33">INDEX(FC:FC,MIN(IF(ISNUMBER(FC33:FC229),ROW(FC33:FC229),"")))</f>
        <v>12.2</v>
      </c>
      <c r="FE33" s="12">
        <f>IF('Données projet'!$A$218&gt;35,FE32+FD33-FM32,IF(A33&lt;'Données projet'!$A$218,$FB$205^A33,IF(A33='Données projet'!$A$218,'Données projet'!$B$218,FE32+FD33-FM32)))</f>
        <v>173.99999999999997</v>
      </c>
      <c r="FF33" s="17">
        <f>FE33*VLOOKUP('Données projet'!$B$16,Paramètres!$A$1:$I$89,3,0)*VLOOKUP('Données projet'!$B$16,Paramètres!$A$1:$I$89,5,0)</f>
        <v>116.71919999999999</v>
      </c>
      <c r="FG33" s="13">
        <f t="shared" si="47"/>
        <v>30.908576435525887</v>
      </c>
      <c r="FH33" s="20">
        <f t="shared" si="22"/>
        <v>257.1183772918742</v>
      </c>
      <c r="FI33" s="59">
        <f t="shared" si="23"/>
        <v>550.45171062520751</v>
      </c>
      <c r="FJ33" s="59">
        <f ca="1">AVERAGE(OFFSET($FI$3,0,0,'Données projet'!$E$16+1,1))-AVERAGE(OFFSET($H$3,0,0,'Données projet'!$E$16+1,1))</f>
        <v>156.63226020379989</v>
      </c>
      <c r="FK33" s="59">
        <f t="shared" si="48"/>
        <v>196.0481096619543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56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0.13250000000000001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8.6699605526413386</v>
      </c>
      <c r="FS33" s="21">
        <f>EXP(-LN(2)/2)*FS32+(1-EXP(-LN(2)/2))/(LN(2)/2)*FM33*FP33*VLOOKUP('Données projet'!$B$16,Paramètres!$A$1:$I$89,3,0)*0.475*44/12</f>
        <v>9.0734708021268382</v>
      </c>
      <c r="FT33" s="22">
        <f t="shared" si="24"/>
        <v>17.743431354768177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218</v>
      </c>
      <c r="FX33" s="12">
        <f>VLOOKUP(A33,'Données projet'!$A$243:$I$263,9,0)</f>
        <v>13</v>
      </c>
      <c r="FY33" s="12">
        <f t="array" ref="FY33">INDEX(FX:FX,MIN(IF(ISNUMBER(FX33:FX229),ROW(FX33:FX229),"")))</f>
        <v>13</v>
      </c>
      <c r="FZ33" s="12">
        <f>IF('Données projet'!$A$244&gt;35,FZ32+FY33-GH32,IF(A33&lt;'Données projet'!$A$244,$FW$205^A33,IF(A33='Données projet'!$A$244,'Données projet'!$B$244,FZ32+FY33-GH32)))</f>
        <v>218</v>
      </c>
      <c r="GA33" s="17">
        <f>FZ33*VLOOKUP('Données projet'!$B$17,Paramètres!$A$1:$I$89,3,0)*VLOOKUP('Données projet'!$B$17,Paramètres!$A$1:$I$89,5,0)</f>
        <v>130.364</v>
      </c>
      <c r="GB33" s="13">
        <f t="shared" si="49"/>
        <v>34.080455352788661</v>
      </c>
      <c r="GC33" s="20">
        <f t="shared" si="25"/>
        <v>286.40742640610694</v>
      </c>
      <c r="GD33" s="59">
        <f t="shared" si="26"/>
        <v>579.74075973944025</v>
      </c>
      <c r="GE33" s="59">
        <f ca="1">AVERAGE(OFFSET($GD$3,0,0,'Données projet'!$E$17+1,1))-AVERAGE(OFFSET($H$3,0,0,'Données projet'!$E$17+1,1))</f>
        <v>216.94426559495264</v>
      </c>
      <c r="GF33" s="59">
        <f t="shared" si="50"/>
        <v>225.33715877618704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70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0.5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12.84926355185025</v>
      </c>
      <c r="GN33" s="21">
        <f>EXP(-LN(2)/2)*GN32+(1-EXP(-LN(2)/2))/(LN(2)/2)*GH33*GK33*VLOOKUP('Données projet'!$B$17,Paramètres!$A$1:$I$89,3,0)*0.475*44/12</f>
        <v>23.729359873818968</v>
      </c>
      <c r="GO33" s="21">
        <f t="shared" si="27"/>
        <v>36.578623425669221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105</v>
      </c>
      <c r="GS33" s="12">
        <f>VLOOKUP(A33,'Données projet'!$A$269:$I$289,9,0)</f>
        <v>6.3</v>
      </c>
      <c r="GT33" s="12">
        <f t="array" ref="GT33">INDEX(GS:GS,MIN(IF(ISNUMBER(GS33:GS229),ROW(GS33:GS229),"")))</f>
        <v>6.3</v>
      </c>
      <c r="GU33" s="12">
        <f>IF('Données projet'!$A$270&gt;35,GU32+GT33-HC32,IF(A33&lt;'Données projet'!$A$270,$GR$205^A33,IF(A33='Données projet'!$A$270,'Données projet'!$B$270,GU32+GT33-HC32)))</f>
        <v>104.99999999999997</v>
      </c>
      <c r="GV33" s="17">
        <f>GU33*VLOOKUP('Données projet'!$B$18,Paramètres!$A$1:$I$89,3,0)*VLOOKUP('Données projet'!$B$18,Paramètres!$A$1:$I$89,5,0)</f>
        <v>101.55599999999997</v>
      </c>
      <c r="GW33" s="13">
        <f t="shared" si="51"/>
        <v>27.332359320696909</v>
      </c>
      <c r="GX33" s="20">
        <f t="shared" si="28"/>
        <v>224.48055915021371</v>
      </c>
      <c r="GY33" s="59">
        <f t="shared" si="29"/>
        <v>517.81389248354708</v>
      </c>
      <c r="GZ33" s="59">
        <f ca="1">AVERAGE(OFFSET($GY$3,0,0,'Données projet'!$E$18+1,1))-AVERAGE(OFFSET($H$3,0,0,'Données projet'!$E$18+1,1))</f>
        <v>261.22357949323879</v>
      </c>
      <c r="HA33" s="59">
        <f t="shared" si="52"/>
        <v>163.41029152029387</v>
      </c>
      <c r="HB33" s="15">
        <f>IF(ISNA(VLOOKUP(A33,'Données projet'!$A$269:$I$289,3,0)),0,VLOOKUP(A33,'Données projet'!$A$269:$I$289,3,0))</f>
        <v>1</v>
      </c>
      <c r="HC33" s="15">
        <f>IF(ISNA(VLOOKUP(A33,'Données projet'!$A$269:$I$289,4,0)),0,VLOOKUP(A33,'Données projet'!$A$269:$I$289,4,0))</f>
        <v>29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0.1075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3.3201408050754195</v>
      </c>
      <c r="HI33" s="21">
        <f>EXP(-LN(2)/2)*HI32+(1-EXP(-LN(2)/2))/(LN(2)/2)*HC33*HF33*VLOOKUP('Données projet'!$B$18,Paramètres!$A$1:$I$89,3,0)*0.475*44/12</f>
        <v>6.6161994305959029</v>
      </c>
      <c r="HJ33" s="22">
        <f t="shared" si="30"/>
        <v>9.936340235671322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237.22177246688199</v>
      </c>
      <c r="T34" s="59">
        <f t="shared" si="34"/>
        <v>149.27472147904302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119.09999999999991</v>
      </c>
      <c r="AJ34" s="13">
        <f>AI34*VLOOKUP('Données projet'!$B$10,Paramètres!$A$1:$I$89,3,0)*VLOOKUP('Données projet'!$B$10,Paramètres!$A$1:$I$89,5,0)</f>
        <v>104.04575999999993</v>
      </c>
      <c r="AK34" s="13">
        <f t="shared" si="35"/>
        <v>27.923608029814616</v>
      </c>
      <c r="AL34" s="20">
        <f t="shared" si="4"/>
        <v>229.84664931859365</v>
      </c>
      <c r="AM34" s="59">
        <f t="shared" si="5"/>
        <v>523.17998265192693</v>
      </c>
      <c r="AN34" s="59">
        <f ca="1">AVERAGE(OFFSET($AM$3,0,0,'Données projet'!$E$10+1,1))-AVERAGE(OFFSET($H$3,0,0,'Données projet'!$E$10+1,1))</f>
        <v>210.07838338464626</v>
      </c>
      <c r="AO34" s="59">
        <f t="shared" si="36"/>
        <v>241.76003724236273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5.1962837986555197</v>
      </c>
      <c r="AV34" s="21">
        <f>EXP(-LN(2)/25)*AV33+(1-EXP(-LN(2)/25))/(LN(2)/25)*Calculateur!AQ34*Calculateur!AS34*VLOOKUP('Données projet'!$B$10,Paramètres!$A$1:$I$89,3,0)*0.475*44/12</f>
        <v>13.189110560710736</v>
      </c>
      <c r="AW34" s="21">
        <f>EXP(-LN(2)/2)*AW33+(1-EXP(-LN(2)/2))/(LN(2)/2)*AQ34*AT34*VLOOKUP('Données projet'!$B$10,Paramètres!$A$1:$I$89,3,0)*0.475*44/12</f>
        <v>11.293502548546263</v>
      </c>
      <c r="AX34" s="21">
        <f t="shared" si="6"/>
        <v>29.678896907912517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13.3</v>
      </c>
      <c r="BD34" s="12">
        <f>IF('Données projet'!$A$88&gt;35,BD33+BC34-BL33,IF(A34&lt;'Données projet'!$A$88,$BA$205^A34,IF(A34='Données projet'!$A$88,'Données projet'!$B$88,BD33+BC34-BL33)))</f>
        <v>163.30000000000007</v>
      </c>
      <c r="BE34" s="13">
        <f>BD34*VLOOKUP('Données projet'!$B$11,Paramètres!$A$1:$I$89,3,0)*VLOOKUP('Données projet'!$B$11,Paramètres!$A$1:$I$89,5,0)</f>
        <v>101.89920000000004</v>
      </c>
      <c r="BF34" s="13">
        <f t="shared" si="37"/>
        <v>27.413959140905018</v>
      </c>
      <c r="BG34" s="20">
        <f t="shared" si="7"/>
        <v>225.22041883707629</v>
      </c>
      <c r="BH34" s="59">
        <f t="shared" si="8"/>
        <v>518.55375217040955</v>
      </c>
      <c r="BI34" s="59">
        <f ca="1">AVERAGE(OFFSET($BH$3,0,0,'Données projet'!$E$11+1,1))-AVERAGE(OFFSET($H$3,0,0,'Données projet'!$E$11+1,1))</f>
        <v>209.93608079129638</v>
      </c>
      <c r="BJ34" s="59">
        <f t="shared" si="38"/>
        <v>240.15652428700969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6.8169698806431898</v>
      </c>
      <c r="BQ34" s="21">
        <f>EXP(-LN(2)/25)*BQ33+(1-EXP(-LN(2)/25))/(LN(2)/25)*Calculateur!BL34*Calculateur!BN34*VLOOKUP('Données projet'!$B$11,Paramètres!$A$1:$I$89,3,0)*0.475*44/12</f>
        <v>20.219462007872622</v>
      </c>
      <c r="BR34" s="21">
        <f>EXP(-LN(2)/2)*BR33+(1-EXP(-LN(2)/2))/(LN(2)/2)*BL34*BO34*VLOOKUP('Données projet'!$B$11,Paramètres!$A$1:$I$89,3,0)*0.475*44/12</f>
        <v>14.277062560363413</v>
      </c>
      <c r="BS34" s="22">
        <f t="shared" si="9"/>
        <v>41.313494448879226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10.000000000000004</v>
      </c>
      <c r="BY34" s="12">
        <f>IF('Données projet'!$A$114&gt;35,BY33+BX34-CG33,IF(A34&lt;'Données projet'!$A$114,$BV$205^A34,IF(A34='Données projet'!$A$114,'Données projet'!$B$114,BY33+BX34-CG33)))</f>
        <v>201.59999999999988</v>
      </c>
      <c r="BZ34" s="13">
        <f>BY34*VLOOKUP('Données projet'!$B$12,Paramètres!$A$1:$I$89,3,0)*VLOOKUP('Données projet'!$B$12,Paramètres!$A$1:$I$89,5,0)</f>
        <v>94.34879999999994</v>
      </c>
      <c r="CA34" s="13">
        <f t="shared" si="39"/>
        <v>25.611153022386439</v>
      </c>
      <c r="CB34" s="20">
        <f t="shared" si="10"/>
        <v>208.93025151398959</v>
      </c>
      <c r="CC34" s="59">
        <f t="shared" si="11"/>
        <v>502.26358484732293</v>
      </c>
      <c r="CD34" s="59">
        <f ca="1">AVERAGE(OFFSET($CC$3,0,0,'Données projet'!$E$12+1,1))-AVERAGE(OFFSET($H$3,0,0,'Données projet'!$E$12+1,1))</f>
        <v>215.23235148064941</v>
      </c>
      <c r="CE34" s="59">
        <f t="shared" si="40"/>
        <v>184.07239726900434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3.0731143685149527</v>
      </c>
      <c r="CL34" s="21">
        <f>EXP(-LN(2)/25)*CL33+(1-EXP(-LN(2)/25))/(LN(2)/25)*Calculateur!CG34*Calculateur!CI34*VLOOKUP('Données projet'!$B$12,Paramètres!$A$1:$I$89,3,0)*0.475*44/12</f>
        <v>7.640656268132366</v>
      </c>
      <c r="CM34" s="21">
        <f>EXP(-LN(2)/2)*CM33+(1-EXP(-LN(2)/2))/(LN(2)/2)*CG34*CJ34*VLOOKUP('Données projet'!$B$12,Paramètres!$A$1:$I$89,3,0)*0.475*44/12</f>
        <v>6.9523986630401735</v>
      </c>
      <c r="CN34" s="22">
        <f t="shared" si="12"/>
        <v>17.666169299687493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8.1999999999999993</v>
      </c>
      <c r="CT34" s="12">
        <f>IF('Données projet'!$A$140&gt;35,CT33+CS34-DB33,IF(A34&lt;'Données projet'!$A$140,$CQ$205^A34,IF(A34='Données projet'!$A$140,'Données projet'!$B$140,CT33+CS34-DB33)))</f>
        <v>84.199999999999974</v>
      </c>
      <c r="CU34" s="17">
        <f>CT34*VLOOKUP('Données projet'!$B$13,Paramètres!$A$1:$I$89,3,0)*VLOOKUP('Données projet'!$B$13,Paramètres!$A$1:$I$89,5,0)</f>
        <v>85.37879999999997</v>
      </c>
      <c r="CV34" s="13">
        <f t="shared" si="41"/>
        <v>23.447306793896495</v>
      </c>
      <c r="CW34" s="20">
        <f t="shared" si="13"/>
        <v>189.53880266603633</v>
      </c>
      <c r="CX34" s="59">
        <f t="shared" si="14"/>
        <v>482.87213599936968</v>
      </c>
      <c r="CY34" s="59">
        <f ca="1">AVERAGE(OFFSET($CX$3,0,0,'Données projet'!$E$13+1,1))-AVERAGE(OFFSET($H$3,0,0,'Données projet'!$E$13+1,1))</f>
        <v>279.20364724206644</v>
      </c>
      <c r="CZ34" s="59">
        <f t="shared" si="42"/>
        <v>173.99850582760712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3.38561031791179</v>
      </c>
      <c r="DH34" s="21">
        <f>EXP(-LN(2)/2)*DH33+(1-EXP(-LN(2)/2))/(LN(2)/2)*DB34*DE34*VLOOKUP('Données projet'!$B$13,Paramètres!$A$1:$I$89,3,0)*0.475*44/12</f>
        <v>4.9047317161080803</v>
      </c>
      <c r="DI34" s="22">
        <f t="shared" si="15"/>
        <v>8.2903420340198704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8.1999999999999993</v>
      </c>
      <c r="DO34" s="12">
        <f>IF('Données projet'!$A$166&gt;35,DO33+DN34-DW33,IF(A34&lt;'Données projet'!$A$166,$DL$205^A34,IF(A34='Données projet'!$A$166,'Données projet'!$B$166,DO33+DN34-DW33)))</f>
        <v>84.199999999999974</v>
      </c>
      <c r="DP34" s="17">
        <f>DO34*VLOOKUP('Données projet'!$B$14,Paramètres!$A$1:$I$89,3,0)*VLOOKUP('Données projet'!$B$14,Paramètres!$A$1:$I$89,5,0)</f>
        <v>88.005839999999978</v>
      </c>
      <c r="DQ34" s="13">
        <f t="shared" si="43"/>
        <v>24.083656242710706</v>
      </c>
      <c r="DR34" s="20">
        <f t="shared" si="16"/>
        <v>195.22253928938778</v>
      </c>
      <c r="DS34" s="59">
        <f t="shared" si="17"/>
        <v>488.5558726227211</v>
      </c>
      <c r="DT34" s="59">
        <f ca="1">AVERAGE(OFFSET($DS$3,0,0,'Données projet'!$E$14+1,1))-AVERAGE(OFFSET($H$3,0,0,'Données projet'!$E$14+1,1))</f>
        <v>291.18074901939718</v>
      </c>
      <c r="DU34" s="59">
        <f t="shared" si="44"/>
        <v>181.05123751753774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3.4897829430783074</v>
      </c>
      <c r="EC34" s="21">
        <f>EXP(-LN(2)/2)*EC33+(1-EXP(-LN(2)/2))/(LN(2)/2)*DW34*DZ34*VLOOKUP('Données projet'!$B$14,Paramètres!$A$1:$I$89,3,0)*0.475*44/12</f>
        <v>5.0556465381421756</v>
      </c>
      <c r="ED34" s="22">
        <f t="shared" si="18"/>
        <v>8.5454294812204825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14.833333333333334</v>
      </c>
      <c r="EJ34" s="12">
        <f>IF('Données projet'!$A$192&gt;35,EJ33+EI34-ER33,IF(A34&lt;'Données projet'!$A$192,$EG$205^A34,IF(A34='Données projet'!$A$192,'Données projet'!$B$192,EJ33+EI34-ER33)))</f>
        <v>199.50000000000003</v>
      </c>
      <c r="EK34" s="17">
        <f>EJ34*VLOOKUP('Données projet'!$B$15,Paramètres!$A$1:$I$89,3,0)*VLOOKUP('Données projet'!$B$15,Paramètres!$A$1:$I$89,5,0)</f>
        <v>119.30100000000002</v>
      </c>
      <c r="EL34" s="13">
        <f t="shared" si="45"/>
        <v>31.51191363312137</v>
      </c>
      <c r="EM34" s="20">
        <f t="shared" si="19"/>
        <v>262.66582457768635</v>
      </c>
      <c r="EN34" s="59">
        <f t="shared" si="20"/>
        <v>555.99915791101967</v>
      </c>
      <c r="EO34" s="59">
        <f ca="1">AVERAGE(OFFSET($EN$3,0,0,'Données projet'!$E$15+1,1))-AVERAGE(OFFSET($H$3,0,0,'Données projet'!$E$15+1,1))</f>
        <v>168.08890945052406</v>
      </c>
      <c r="EP34" s="59">
        <f t="shared" si="46"/>
        <v>182.52462557642343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6.0904454952745626</v>
      </c>
      <c r="EW34" s="21">
        <f>EXP(-LN(2)/25)*EW33+(1-EXP(-LN(2)/25))/(LN(2)/25)*Calculateur!ER34*Calculateur!ET34*VLOOKUP('Données projet'!$B$15,Paramètres!$A$1:$I$89,3,0)*0.475*44/12</f>
        <v>11.993693628323154</v>
      </c>
      <c r="EX34" s="21">
        <f>EXP(-LN(2)/2)*EX33+(1-EXP(-LN(2)/2))/(LN(2)/2)*ER34*EU34*VLOOKUP('Données projet'!$B$15,Paramètres!$A$1:$I$89,3,0)*0.475*44/12</f>
        <v>3.8506860059637007</v>
      </c>
      <c r="EY34" s="22">
        <f t="shared" si="21"/>
        <v>21.934825129561418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10.199999999999999</v>
      </c>
      <c r="FE34" s="12">
        <f>IF('Données projet'!$A$218&gt;35,FE33+FD34-FM33,IF(A34&lt;'Données projet'!$A$218,$FB$205^A34,IF(A34='Données projet'!$A$218,'Données projet'!$B$218,FE33+FD34-FM33)))</f>
        <v>128.19999999999996</v>
      </c>
      <c r="FF34" s="17">
        <f>FE34*VLOOKUP('Données projet'!$B$16,Paramètres!$A$1:$I$89,3,0)*VLOOKUP('Données projet'!$B$16,Paramètres!$A$1:$I$89,5,0)</f>
        <v>85.996559999999974</v>
      </c>
      <c r="FG34" s="13">
        <f t="shared" si="47"/>
        <v>23.597149628000455</v>
      </c>
      <c r="FH34" s="20">
        <f t="shared" si="22"/>
        <v>190.87571093543406</v>
      </c>
      <c r="FI34" s="59">
        <f t="shared" si="23"/>
        <v>484.20904426876734</v>
      </c>
      <c r="FJ34" s="59">
        <f ca="1">AVERAGE(OFFSET($FI$3,0,0,'Données projet'!$E$16+1,1))-AVERAGE(OFFSET($H$3,0,0,'Données projet'!$E$16+1,1))</f>
        <v>156.63226020379989</v>
      </c>
      <c r="FK34" s="59">
        <f t="shared" si="48"/>
        <v>196.0481096619543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8.4328800253959511</v>
      </c>
      <c r="FS34" s="21">
        <f>EXP(-LN(2)/2)*FS33+(1-EXP(-LN(2)/2))/(LN(2)/2)*FM34*FP34*VLOOKUP('Données projet'!$B$16,Paramètres!$A$1:$I$89,3,0)*0.475*44/12</f>
        <v>6.4159127330820303</v>
      </c>
      <c r="FT34" s="22">
        <f t="shared" si="24"/>
        <v>14.84879275847798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13.7</v>
      </c>
      <c r="FZ34" s="12">
        <f>IF('Données projet'!$A$244&gt;35,FZ33+FY34-GH33,IF(A34&lt;'Données projet'!$A$244,$FW$205^A34,IF(A34='Données projet'!$A$244,'Données projet'!$B$244,FZ33+FY34-GH33)))</f>
        <v>161.69999999999999</v>
      </c>
      <c r="GA34" s="17">
        <f>FZ34*VLOOKUP('Données projet'!$B$17,Paramètres!$A$1:$I$89,3,0)*VLOOKUP('Données projet'!$B$17,Paramètres!$A$1:$I$89,5,0)</f>
        <v>96.696600000000004</v>
      </c>
      <c r="GB34" s="13">
        <f t="shared" si="49"/>
        <v>26.173476069859898</v>
      </c>
      <c r="GC34" s="20">
        <f t="shared" si="25"/>
        <v>213.99871582167268</v>
      </c>
      <c r="GD34" s="59">
        <f t="shared" si="26"/>
        <v>507.33204915500596</v>
      </c>
      <c r="GE34" s="59">
        <f ca="1">AVERAGE(OFFSET($GD$3,0,0,'Données projet'!$E$17+1,1))-AVERAGE(OFFSET($H$3,0,0,'Données projet'!$E$17+1,1))</f>
        <v>216.94426559495264</v>
      </c>
      <c r="GF34" s="59">
        <f t="shared" si="50"/>
        <v>225.33715877618704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12.497899764311502</v>
      </c>
      <c r="GN34" s="21">
        <f>EXP(-LN(2)/2)*GN33+(1-EXP(-LN(2)/2))/(LN(2)/2)*GH34*GK34*VLOOKUP('Données projet'!$B$17,Paramètres!$A$1:$I$89,3,0)*0.475*44/12</f>
        <v>16.779191279993352</v>
      </c>
      <c r="GO34" s="21">
        <f t="shared" si="27"/>
        <v>29.277091044304854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8.1999999999999993</v>
      </c>
      <c r="GU34" s="12">
        <f>IF('Données projet'!$A$270&gt;35,GU33+GT34-HC33,IF(A34&lt;'Données projet'!$A$270,$GR$205^A34,IF(A34='Données projet'!$A$270,'Données projet'!$B$270,GU33+GT34-HC33)))</f>
        <v>84.199999999999974</v>
      </c>
      <c r="GV34" s="17">
        <f>GU34*VLOOKUP('Données projet'!$B$18,Paramètres!$A$1:$I$89,3,0)*VLOOKUP('Données projet'!$B$18,Paramètres!$A$1:$I$89,5,0)</f>
        <v>81.438239999999979</v>
      </c>
      <c r="GW34" s="13">
        <f t="shared" si="51"/>
        <v>22.488475778344675</v>
      </c>
      <c r="GX34" s="20">
        <f t="shared" si="28"/>
        <v>181.0056966472836</v>
      </c>
      <c r="GY34" s="59">
        <f t="shared" si="29"/>
        <v>474.33902998061694</v>
      </c>
      <c r="GZ34" s="59">
        <f ca="1">AVERAGE(OFFSET($GY$3,0,0,'Données projet'!$E$18+1,1))-AVERAGE(OFFSET($H$3,0,0,'Données projet'!$E$18+1,1))</f>
        <v>261.22357949323879</v>
      </c>
      <c r="HA34" s="59">
        <f t="shared" si="52"/>
        <v>163.41029152029387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3.2293513801620155</v>
      </c>
      <c r="HI34" s="21">
        <f>EXP(-LN(2)/2)*HI33+(1-EXP(-LN(2)/2))/(LN(2)/2)*HC34*HF34*VLOOKUP('Données projet'!$B$18,Paramètres!$A$1:$I$89,3,0)*0.475*44/12</f>
        <v>4.6783594830569379</v>
      </c>
      <c r="HJ34" s="22">
        <f t="shared" si="30"/>
        <v>7.9077108632189539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237.22177246688199</v>
      </c>
      <c r="T35" s="59">
        <f t="shared" si="34"/>
        <v>149.27472147904302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127.1999999999999</v>
      </c>
      <c r="AJ35" s="13">
        <f>AI35*VLOOKUP('Données projet'!$B$10,Paramètres!$A$1:$I$89,3,0)*VLOOKUP('Données projet'!$B$10,Paramètres!$A$1:$I$89,5,0)</f>
        <v>111.12191999999993</v>
      </c>
      <c r="AK35" s="13">
        <f t="shared" si="35"/>
        <v>29.595161360044589</v>
      </c>
      <c r="AL35" s="20">
        <f t="shared" si="4"/>
        <v>245.08225003541085</v>
      </c>
      <c r="AM35" s="59">
        <f t="shared" si="5"/>
        <v>538.41558336874414</v>
      </c>
      <c r="AN35" s="59">
        <f ca="1">AVERAGE(OFFSET($AM$3,0,0,'Données projet'!$E$10+1,1))-AVERAGE(OFFSET($H$3,0,0,'Données projet'!$E$10+1,1))</f>
        <v>210.07838338464626</v>
      </c>
      <c r="AO35" s="59">
        <f t="shared" si="36"/>
        <v>241.76003724236273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5.0943878427840481</v>
      </c>
      <c r="AV35" s="21">
        <f>EXP(-LN(2)/25)*AV34+(1-EXP(-LN(2)/25))/(LN(2)/25)*Calculateur!AQ35*Calculateur!AS35*VLOOKUP('Données projet'!$B$10,Paramètres!$A$1:$I$89,3,0)*0.475*44/12</f>
        <v>12.828453638842921</v>
      </c>
      <c r="AW35" s="21">
        <f>EXP(-LN(2)/2)*AW34+(1-EXP(-LN(2)/2))/(LN(2)/2)*AQ35*AT35*VLOOKUP('Données projet'!$B$10,Paramètres!$A$1:$I$89,3,0)*0.475*44/12</f>
        <v>7.9857122354246197</v>
      </c>
      <c r="AX35" s="21">
        <f t="shared" si="6"/>
        <v>25.908553717051589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13.3</v>
      </c>
      <c r="BD35" s="12">
        <f>IF('Données projet'!$A$88&gt;35,BD34+BC35-BL34,IF(A35&lt;'Données projet'!$A$88,$BA$205^A35,IF(A35='Données projet'!$A$88,'Données projet'!$B$88,BD34+BC35-BL34)))</f>
        <v>176.60000000000008</v>
      </c>
      <c r="BE35" s="13">
        <f>BD35*VLOOKUP('Données projet'!$B$11,Paramètres!$A$1:$I$89,3,0)*VLOOKUP('Données projet'!$B$11,Paramètres!$A$1:$I$89,5,0)</f>
        <v>110.19840000000003</v>
      </c>
      <c r="BF35" s="13">
        <f t="shared" si="37"/>
        <v>29.377724256456361</v>
      </c>
      <c r="BG35" s="20">
        <f t="shared" si="7"/>
        <v>243.09508307999488</v>
      </c>
      <c r="BH35" s="59">
        <f t="shared" si="8"/>
        <v>536.42841641332825</v>
      </c>
      <c r="BI35" s="59">
        <f ca="1">AVERAGE(OFFSET($BH$3,0,0,'Données projet'!$E$11+1,1))-AVERAGE(OFFSET($H$3,0,0,'Données projet'!$E$11+1,1))</f>
        <v>209.93608079129638</v>
      </c>
      <c r="BJ35" s="59">
        <f t="shared" si="38"/>
        <v>240.15652428700969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6.6832932592248415</v>
      </c>
      <c r="BQ35" s="21">
        <f>EXP(-LN(2)/25)*BQ34+(1-EXP(-LN(2)/25))/(LN(2)/25)*Calculateur!BL35*Calculateur!BN35*VLOOKUP('Données projet'!$B$11,Paramètres!$A$1:$I$89,3,0)*0.475*44/12</f>
        <v>19.666559755972049</v>
      </c>
      <c r="BR35" s="21">
        <f>EXP(-LN(2)/2)*BR34+(1-EXP(-LN(2)/2))/(LN(2)/2)*BL35*BO35*VLOOKUP('Données projet'!$B$11,Paramètres!$A$1:$I$89,3,0)*0.475*44/12</f>
        <v>10.095407751857543</v>
      </c>
      <c r="BS35" s="22">
        <f t="shared" si="9"/>
        <v>36.445260767054435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10.000000000000004</v>
      </c>
      <c r="BY35" s="12">
        <f>IF('Données projet'!$A$114&gt;35,BY34+BX35-CG34,IF(A35&lt;'Données projet'!$A$114,$BV$205^A35,IF(A35='Données projet'!$A$114,'Données projet'!$B$114,BY34+BX35-CG34)))</f>
        <v>211.59999999999988</v>
      </c>
      <c r="BZ35" s="13">
        <f>BY35*VLOOKUP('Données projet'!$B$12,Paramètres!$A$1:$I$89,3,0)*VLOOKUP('Données projet'!$B$12,Paramètres!$A$1:$I$89,5,0)</f>
        <v>99.028799999999947</v>
      </c>
      <c r="CA35" s="13">
        <f t="shared" si="39"/>
        <v>26.730491283721712</v>
      </c>
      <c r="CB35" s="20">
        <f t="shared" si="10"/>
        <v>219.0307656524819</v>
      </c>
      <c r="CC35" s="59">
        <f t="shared" si="11"/>
        <v>512.36409898581519</v>
      </c>
      <c r="CD35" s="59">
        <f ca="1">AVERAGE(OFFSET($CC$3,0,0,'Données projet'!$E$12+1,1))-AVERAGE(OFFSET($H$3,0,0,'Données projet'!$E$12+1,1))</f>
        <v>215.23235148064941</v>
      </c>
      <c r="CE35" s="59">
        <f t="shared" si="40"/>
        <v>184.07239726900434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3.0128524701630561</v>
      </c>
      <c r="CL35" s="21">
        <f>EXP(-LN(2)/25)*CL34+(1-EXP(-LN(2)/25))/(LN(2)/25)*Calculateur!CG35*Calculateur!CI35*VLOOKUP('Données projet'!$B$12,Paramètres!$A$1:$I$89,3,0)*0.475*44/12</f>
        <v>7.4317221206756363</v>
      </c>
      <c r="CM35" s="21">
        <f>EXP(-LN(2)/2)*CM34+(1-EXP(-LN(2)/2))/(LN(2)/2)*CG35*CJ35*VLOOKUP('Données projet'!$B$12,Paramètres!$A$1:$I$89,3,0)*0.475*44/12</f>
        <v>4.9160882401479942</v>
      </c>
      <c r="CN35" s="22">
        <f t="shared" si="12"/>
        <v>15.360662830986687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8.1999999999999993</v>
      </c>
      <c r="CT35" s="12">
        <f>IF('Données projet'!$A$140&gt;35,CT34+CS35-DB34,IF(A35&lt;'Données projet'!$A$140,$CQ$205^A35,IF(A35='Données projet'!$A$140,'Données projet'!$B$140,CT34+CS35-DB34)))</f>
        <v>92.399999999999977</v>
      </c>
      <c r="CU35" s="17">
        <f>CT35*VLOOKUP('Données projet'!$B$13,Paramètres!$A$1:$I$89,3,0)*VLOOKUP('Données projet'!$B$13,Paramètres!$A$1:$I$89,5,0)</f>
        <v>93.693599999999989</v>
      </c>
      <c r="CV35" s="13">
        <f t="shared" si="41"/>
        <v>25.453936461054091</v>
      </c>
      <c r="CW35" s="20">
        <f t="shared" si="13"/>
        <v>207.51529266966918</v>
      </c>
      <c r="CX35" s="59">
        <f t="shared" si="14"/>
        <v>500.84862600300249</v>
      </c>
      <c r="CY35" s="59">
        <f ca="1">AVERAGE(OFFSET($CX$3,0,0,'Données projet'!$E$13+1,1))-AVERAGE(OFFSET($H$3,0,0,'Données projet'!$E$13+1,1))</f>
        <v>279.20364724206644</v>
      </c>
      <c r="CZ35" s="59">
        <f t="shared" si="42"/>
        <v>173.99850582760712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3.2930306257269835</v>
      </c>
      <c r="DH35" s="21">
        <f>EXP(-LN(2)/2)*DH34+(1-EXP(-LN(2)/2))/(LN(2)/2)*DB35*DE35*VLOOKUP('Données projet'!$B$13,Paramètres!$A$1:$I$89,3,0)*0.475*44/12</f>
        <v>3.4681690563607561</v>
      </c>
      <c r="DI35" s="22">
        <f t="shared" si="15"/>
        <v>6.7611996820877396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8.1999999999999993</v>
      </c>
      <c r="DO35" s="12">
        <f>IF('Données projet'!$A$166&gt;35,DO34+DN35-DW34,IF(A35&lt;'Données projet'!$A$166,$DL$205^A35,IF(A35='Données projet'!$A$166,'Données projet'!$B$166,DO34+DN35-DW34)))</f>
        <v>92.399999999999977</v>
      </c>
      <c r="DP35" s="17">
        <f>DO35*VLOOKUP('Données projet'!$B$14,Paramètres!$A$1:$I$89,3,0)*VLOOKUP('Données projet'!$B$14,Paramètres!$A$1:$I$89,5,0)</f>
        <v>96.576479999999989</v>
      </c>
      <c r="DQ35" s="13">
        <f t="shared" si="43"/>
        <v>26.144744944071853</v>
      </c>
      <c r="DR35" s="20">
        <f t="shared" si="16"/>
        <v>213.73946677759179</v>
      </c>
      <c r="DS35" s="59">
        <f t="shared" si="17"/>
        <v>507.07280011092507</v>
      </c>
      <c r="DT35" s="59">
        <f ca="1">AVERAGE(OFFSET($DS$3,0,0,'Données projet'!$E$14+1,1))-AVERAGE(OFFSET($H$3,0,0,'Données projet'!$E$14+1,1))</f>
        <v>291.18074901939718</v>
      </c>
      <c r="DU35" s="59">
        <f t="shared" si="44"/>
        <v>181.05123751753774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3.3943546449801221</v>
      </c>
      <c r="EC35" s="21">
        <f>EXP(-LN(2)/2)*EC34+(1-EXP(-LN(2)/2))/(LN(2)/2)*DW35*DZ35*VLOOKUP('Données projet'!$B$14,Paramètres!$A$1:$I$89,3,0)*0.475*44/12</f>
        <v>3.5748819504026259</v>
      </c>
      <c r="ED35" s="22">
        <f t="shared" si="18"/>
        <v>6.969236595382748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14.833333333333334</v>
      </c>
      <c r="EJ35" s="12">
        <f>IF('Données projet'!$A$192&gt;35,EJ34+EI35-ER34,IF(A35&lt;'Données projet'!$A$192,$EG$205^A35,IF(A35='Données projet'!$A$192,'Données projet'!$B$192,EJ34+EI35-ER34)))</f>
        <v>214.33333333333337</v>
      </c>
      <c r="EK35" s="17">
        <f>EJ35*VLOOKUP('Données projet'!$B$15,Paramètres!$A$1:$I$89,3,0)*VLOOKUP('Données projet'!$B$15,Paramètres!$A$1:$I$89,5,0)</f>
        <v>128.17133333333337</v>
      </c>
      <c r="EL35" s="13">
        <f t="shared" si="45"/>
        <v>33.5734603980111</v>
      </c>
      <c r="EM35" s="20">
        <f t="shared" si="19"/>
        <v>281.70551574875822</v>
      </c>
      <c r="EN35" s="59">
        <f t="shared" si="20"/>
        <v>575.03884908209147</v>
      </c>
      <c r="EO35" s="59">
        <f ca="1">AVERAGE(OFFSET($EN$3,0,0,'Données projet'!$E$15+1,1))-AVERAGE(OFFSET($H$3,0,0,'Données projet'!$E$15+1,1))</f>
        <v>168.08890945052406</v>
      </c>
      <c r="EP35" s="59">
        <f t="shared" si="46"/>
        <v>182.52462557642343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5.9710155739171737</v>
      </c>
      <c r="EW35" s="21">
        <f>EXP(-LN(2)/25)*EW34+(1-EXP(-LN(2)/25))/(LN(2)/25)*Calculateur!ER35*Calculateur!ET35*VLOOKUP('Données projet'!$B$15,Paramètres!$A$1:$I$89,3,0)*0.475*44/12</f>
        <v>11.66572544533572</v>
      </c>
      <c r="EX35" s="21">
        <f>EXP(-LN(2)/2)*EX34+(1-EXP(-LN(2)/2))/(LN(2)/2)*ER35*EU35*VLOOKUP('Données projet'!$B$15,Paramètres!$A$1:$I$89,3,0)*0.475*44/12</f>
        <v>2.7228461870370753</v>
      </c>
      <c r="EY35" s="22">
        <f t="shared" si="21"/>
        <v>20.359587206289969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10.199999999999999</v>
      </c>
      <c r="FE35" s="12">
        <f>IF('Données projet'!$A$218&gt;35,FE34+FD35-FM34,IF(A35&lt;'Données projet'!$A$218,$FB$205^A35,IF(A35='Données projet'!$A$218,'Données projet'!$B$218,FE34+FD35-FM34)))</f>
        <v>138.39999999999995</v>
      </c>
      <c r="FF35" s="17">
        <f>FE35*VLOOKUP('Données projet'!$B$16,Paramètres!$A$1:$I$89,3,0)*VLOOKUP('Données projet'!$B$16,Paramètres!$A$1:$I$89,5,0)</f>
        <v>92.838719999999967</v>
      </c>
      <c r="FG35" s="13">
        <f t="shared" si="47"/>
        <v>25.248613631008698</v>
      </c>
      <c r="FH35" s="20">
        <f t="shared" si="22"/>
        <v>205.6687727406734</v>
      </c>
      <c r="FI35" s="59">
        <f t="shared" si="23"/>
        <v>499.00210607400675</v>
      </c>
      <c r="FJ35" s="59">
        <f ca="1">AVERAGE(OFFSET($FI$3,0,0,'Données projet'!$E$16+1,1))-AVERAGE(OFFSET($H$3,0,0,'Données projet'!$E$16+1,1))</f>
        <v>156.63226020379989</v>
      </c>
      <c r="FK35" s="59">
        <f t="shared" si="48"/>
        <v>196.0481096619543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8.2022824776356114</v>
      </c>
      <c r="FS35" s="21">
        <f>EXP(-LN(2)/2)*FS34+(1-EXP(-LN(2)/2))/(LN(2)/2)*FM35*FP35*VLOOKUP('Données projet'!$B$16,Paramètres!$A$1:$I$89,3,0)*0.475*44/12</f>
        <v>4.53673540106342</v>
      </c>
      <c r="FT35" s="22">
        <f t="shared" si="24"/>
        <v>12.73901787869903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13.7</v>
      </c>
      <c r="FZ35" s="12">
        <f>IF('Données projet'!$A$244&gt;35,FZ34+FY35-GH34,IF(A35&lt;'Données projet'!$A$244,$FW$205^A35,IF(A35='Données projet'!$A$244,'Données projet'!$B$244,FZ34+FY35-GH34)))</f>
        <v>175.39999999999998</v>
      </c>
      <c r="GA35" s="17">
        <f>FZ35*VLOOKUP('Données projet'!$B$17,Paramètres!$A$1:$I$89,3,0)*VLOOKUP('Données projet'!$B$17,Paramètres!$A$1:$I$89,5,0)</f>
        <v>104.8892</v>
      </c>
      <c r="GB35" s="13">
        <f t="shared" si="49"/>
        <v>28.123526406473545</v>
      </c>
      <c r="GC35" s="20">
        <f t="shared" si="25"/>
        <v>231.66383182460808</v>
      </c>
      <c r="GD35" s="59">
        <f t="shared" si="26"/>
        <v>524.99716515794137</v>
      </c>
      <c r="GE35" s="59">
        <f ca="1">AVERAGE(OFFSET($GD$3,0,0,'Données projet'!$E$17+1,1))-AVERAGE(OFFSET($H$3,0,0,'Données projet'!$E$17+1,1))</f>
        <v>216.94426559495264</v>
      </c>
      <c r="GF35" s="59">
        <f t="shared" si="50"/>
        <v>225.33715877618704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12.15614403802042</v>
      </c>
      <c r="GN35" s="21">
        <f>EXP(-LN(2)/2)*GN34+(1-EXP(-LN(2)/2))/(LN(2)/2)*GH35*GK35*VLOOKUP('Données projet'!$B$17,Paramètres!$A$1:$I$89,3,0)*0.475*44/12</f>
        <v>11.864679936909486</v>
      </c>
      <c r="GO35" s="21">
        <f t="shared" si="27"/>
        <v>24.020823974929904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8.1999999999999993</v>
      </c>
      <c r="GU35" s="12">
        <f>IF('Données projet'!$A$270&gt;35,GU34+GT35-HC34,IF(A35&lt;'Données projet'!$A$270,$GR$205^A35,IF(A35='Données projet'!$A$270,'Données projet'!$B$270,GU34+GT35-HC34)))</f>
        <v>92.399999999999977</v>
      </c>
      <c r="GV35" s="17">
        <f>GU35*VLOOKUP('Données projet'!$B$18,Paramètres!$A$1:$I$89,3,0)*VLOOKUP('Données projet'!$B$18,Paramètres!$A$1:$I$89,5,0)</f>
        <v>89.369279999999975</v>
      </c>
      <c r="GW35" s="13">
        <f t="shared" si="51"/>
        <v>24.413048312949282</v>
      </c>
      <c r="GX35" s="20">
        <f t="shared" si="28"/>
        <v>198.17088847838662</v>
      </c>
      <c r="GY35" s="59">
        <f t="shared" si="29"/>
        <v>491.50422181171996</v>
      </c>
      <c r="GZ35" s="59">
        <f ca="1">AVERAGE(OFFSET($GY$3,0,0,'Données projet'!$E$18+1,1))-AVERAGE(OFFSET($H$3,0,0,'Données projet'!$E$18+1,1))</f>
        <v>261.22357949323879</v>
      </c>
      <c r="HA35" s="59">
        <f t="shared" si="52"/>
        <v>163.41029152029387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3.1410445968472769</v>
      </c>
      <c r="HI35" s="21">
        <f>EXP(-LN(2)/2)*HI34+(1-EXP(-LN(2)/2))/(LN(2)/2)*HC35*HF35*VLOOKUP('Données projet'!$B$18,Paramètres!$A$1:$I$89,3,0)*0.475*44/12</f>
        <v>3.3080997152979519</v>
      </c>
      <c r="HJ35" s="22">
        <f t="shared" si="30"/>
        <v>6.4491443121452292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237.22177246688199</v>
      </c>
      <c r="T36" s="59">
        <f t="shared" si="34"/>
        <v>149.27472147904302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135.2999999999999</v>
      </c>
      <c r="AJ36" s="13">
        <f>AI36*VLOOKUP('Données projet'!$B$10,Paramètres!$A$1:$I$89,3,0)*VLOOKUP('Données projet'!$B$10,Paramètres!$A$1:$I$89,5,0)</f>
        <v>118.19807999999992</v>
      </c>
      <c r="AK36" s="13">
        <f t="shared" si="35"/>
        <v>31.254361690638451</v>
      </c>
      <c r="AL36" s="20">
        <f t="shared" si="4"/>
        <v>260.29633594452849</v>
      </c>
      <c r="AM36" s="59">
        <f t="shared" si="5"/>
        <v>553.62966927786181</v>
      </c>
      <c r="AN36" s="59">
        <f ca="1">AVERAGE(OFFSET($AM$3,0,0,'Données projet'!$E$10+1,1))-AVERAGE(OFFSET($H$3,0,0,'Données projet'!$E$10+1,1))</f>
        <v>210.07838338464626</v>
      </c>
      <c r="AO36" s="59">
        <f t="shared" si="36"/>
        <v>241.76003724236273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4.9944900044568197</v>
      </c>
      <c r="AV36" s="21">
        <f>EXP(-LN(2)/25)*AV35+(1-EXP(-LN(2)/25))/(LN(2)/25)*Calculateur!AQ36*Calculateur!AS36*VLOOKUP('Données projet'!$B$10,Paramètres!$A$1:$I$89,3,0)*0.475*44/12</f>
        <v>12.477658899469704</v>
      </c>
      <c r="AW36" s="21">
        <f>EXP(-LN(2)/2)*AW35+(1-EXP(-LN(2)/2))/(LN(2)/2)*AQ36*AT36*VLOOKUP('Données projet'!$B$10,Paramètres!$A$1:$I$89,3,0)*0.475*44/12</f>
        <v>5.6467512742731323</v>
      </c>
      <c r="AX36" s="21">
        <f t="shared" si="6"/>
        <v>23.118900178199656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13.3</v>
      </c>
      <c r="BD36" s="12">
        <f>IF('Données projet'!$A$88&gt;35,BD35+BC36-BL35,IF(A36&lt;'Données projet'!$A$88,$BA$205^A36,IF(A36='Données projet'!$A$88,'Données projet'!$B$88,BD35+BC36-BL35)))</f>
        <v>189.90000000000009</v>
      </c>
      <c r="BE36" s="13">
        <f>BD36*VLOOKUP('Données projet'!$B$11,Paramètres!$A$1:$I$89,3,0)*VLOOKUP('Données projet'!$B$11,Paramètres!$A$1:$I$89,5,0)</f>
        <v>118.49760000000006</v>
      </c>
      <c r="BF36" s="13">
        <f t="shared" si="37"/>
        <v>31.324332637527956</v>
      </c>
      <c r="BG36" s="20">
        <f t="shared" si="7"/>
        <v>260.9398660103613</v>
      </c>
      <c r="BH36" s="59">
        <f t="shared" si="8"/>
        <v>554.27319934369461</v>
      </c>
      <c r="BI36" s="59">
        <f ca="1">AVERAGE(OFFSET($BH$3,0,0,'Données projet'!$E$11+1,1))-AVERAGE(OFFSET($H$3,0,0,'Données projet'!$E$11+1,1))</f>
        <v>209.93608079129638</v>
      </c>
      <c r="BJ36" s="59">
        <f t="shared" si="38"/>
        <v>240.15652428700969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6.5522379548178185</v>
      </c>
      <c r="BQ36" s="21">
        <f>EXP(-LN(2)/25)*BQ35+(1-EXP(-LN(2)/25))/(LN(2)/25)*Calculateur!BL36*Calculateur!BN36*VLOOKUP('Données projet'!$B$11,Paramètres!$A$1:$I$89,3,0)*0.475*44/12</f>
        <v>19.128776645225564</v>
      </c>
      <c r="BR36" s="21">
        <f>EXP(-LN(2)/2)*BR35+(1-EXP(-LN(2)/2))/(LN(2)/2)*BL36*BO36*VLOOKUP('Données projet'!$B$11,Paramètres!$A$1:$I$89,3,0)*0.475*44/12</f>
        <v>7.1385312801817076</v>
      </c>
      <c r="BS36" s="22">
        <f t="shared" si="9"/>
        <v>32.819545880225093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10.000000000000004</v>
      </c>
      <c r="BY36" s="12">
        <f>IF('Données projet'!$A$114&gt;35,BY35+BX36-CG35,IF(A36&lt;'Données projet'!$A$114,$BV$205^A36,IF(A36='Données projet'!$A$114,'Données projet'!$B$114,BY35+BX36-CG35)))</f>
        <v>221.59999999999988</v>
      </c>
      <c r="BZ36" s="13">
        <f>BY36*VLOOKUP('Données projet'!$B$12,Paramètres!$A$1:$I$89,3,0)*VLOOKUP('Données projet'!$B$12,Paramètres!$A$1:$I$89,5,0)</f>
        <v>103.70879999999994</v>
      </c>
      <c r="CA36" s="13">
        <f t="shared" si="39"/>
        <v>27.84368661708951</v>
      </c>
      <c r="CB36" s="20">
        <f t="shared" si="10"/>
        <v>229.12058085809744</v>
      </c>
      <c r="CC36" s="59">
        <f t="shared" si="11"/>
        <v>522.45391419143073</v>
      </c>
      <c r="CD36" s="59">
        <f ca="1">AVERAGE(OFFSET($CC$3,0,0,'Données projet'!$E$12+1,1))-AVERAGE(OFFSET($H$3,0,0,'Données projet'!$E$12+1,1))</f>
        <v>215.23235148064941</v>
      </c>
      <c r="CE36" s="59">
        <f t="shared" si="40"/>
        <v>184.07239726900434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2.9537722708817116</v>
      </c>
      <c r="CL36" s="21">
        <f>EXP(-LN(2)/25)*CL35+(1-EXP(-LN(2)/25))/(LN(2)/25)*Calculateur!CG36*Calculateur!CI36*VLOOKUP('Données projet'!$B$12,Paramètres!$A$1:$I$89,3,0)*0.475*44/12</f>
        <v>7.2285012884684798</v>
      </c>
      <c r="CM36" s="21">
        <f>EXP(-LN(2)/2)*CM35+(1-EXP(-LN(2)/2))/(LN(2)/2)*CG36*CJ36*VLOOKUP('Données projet'!$B$12,Paramètres!$A$1:$I$89,3,0)*0.475*44/12</f>
        <v>3.4761993315200876</v>
      </c>
      <c r="CN36" s="22">
        <f t="shared" si="12"/>
        <v>13.658472890870279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8.1999999999999993</v>
      </c>
      <c r="CT36" s="12">
        <f>IF('Données projet'!$A$140&gt;35,CT35+CS36-DB35,IF(A36&lt;'Données projet'!$A$140,$CQ$205^A36,IF(A36='Données projet'!$A$140,'Données projet'!$B$140,CT35+CS36-DB35)))</f>
        <v>100.59999999999998</v>
      </c>
      <c r="CU36" s="17">
        <f>CT36*VLOOKUP('Données projet'!$B$13,Paramètres!$A$1:$I$89,3,0)*VLOOKUP('Données projet'!$B$13,Paramètres!$A$1:$I$89,5,0)</f>
        <v>102.00839999999998</v>
      </c>
      <c r="CV36" s="13">
        <f t="shared" si="41"/>
        <v>27.43991600691951</v>
      </c>
      <c r="CW36" s="20">
        <f t="shared" si="13"/>
        <v>225.45581704538475</v>
      </c>
      <c r="CX36" s="59">
        <f t="shared" si="14"/>
        <v>518.78915037871809</v>
      </c>
      <c r="CY36" s="59">
        <f ca="1">AVERAGE(OFFSET($CX$3,0,0,'Données projet'!$E$13+1,1))-AVERAGE(OFFSET($H$3,0,0,'Données projet'!$E$13+1,1))</f>
        <v>279.20364724206644</v>
      </c>
      <c r="CZ36" s="59">
        <f t="shared" si="42"/>
        <v>173.99850582760712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3.2029825300935246</v>
      </c>
      <c r="DH36" s="21">
        <f>EXP(-LN(2)/2)*DH35+(1-EXP(-LN(2)/2))/(LN(2)/2)*DB36*DE36*VLOOKUP('Données projet'!$B$13,Paramètres!$A$1:$I$89,3,0)*0.475*44/12</f>
        <v>2.4523658580540402</v>
      </c>
      <c r="DI36" s="22">
        <f t="shared" si="15"/>
        <v>5.6553483881475648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8.1999999999999993</v>
      </c>
      <c r="DO36" s="12">
        <f>IF('Données projet'!$A$166&gt;35,DO35+DN36-DW35,IF(A36&lt;'Données projet'!$A$166,$DL$205^A36,IF(A36='Données projet'!$A$166,'Données projet'!$B$166,DO35+DN36-DW35)))</f>
        <v>100.59999999999998</v>
      </c>
      <c r="DP36" s="17">
        <f>DO36*VLOOKUP('Données projet'!$B$14,Paramètres!$A$1:$I$89,3,0)*VLOOKUP('Données projet'!$B$14,Paramètres!$A$1:$I$89,5,0)</f>
        <v>105.14711999999999</v>
      </c>
      <c r="DQ36" s="13">
        <f t="shared" si="43"/>
        <v>28.184623089058999</v>
      </c>
      <c r="DR36" s="20">
        <f t="shared" si="16"/>
        <v>232.21945254677772</v>
      </c>
      <c r="DS36" s="59">
        <f t="shared" si="17"/>
        <v>525.55278588011106</v>
      </c>
      <c r="DT36" s="59">
        <f ca="1">AVERAGE(OFFSET($DS$3,0,0,'Données projet'!$E$14+1,1))-AVERAGE(OFFSET($H$3,0,0,'Données projet'!$E$14+1,1))</f>
        <v>291.18074901939718</v>
      </c>
      <c r="DU36" s="59">
        <f t="shared" si="44"/>
        <v>181.05123751753774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3.3015358387117879</v>
      </c>
      <c r="EC36" s="21">
        <f>EXP(-LN(2)/2)*EC35+(1-EXP(-LN(2)/2))/(LN(2)/2)*DW36*DZ36*VLOOKUP('Données projet'!$B$14,Paramètres!$A$1:$I$89,3,0)*0.475*44/12</f>
        <v>2.5278232690710882</v>
      </c>
      <c r="ED36" s="22">
        <f t="shared" si="18"/>
        <v>5.8293591077828761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14.833333333333334</v>
      </c>
      <c r="EJ36" s="12">
        <f>IF('Données projet'!$A$192&gt;35,EJ35+EI36-ER35,IF(A36&lt;'Données projet'!$A$192,$EG$205^A36,IF(A36='Données projet'!$A$192,'Données projet'!$B$192,EJ35+EI36-ER35)))</f>
        <v>229.16666666666671</v>
      </c>
      <c r="EK36" s="17">
        <f>EJ36*VLOOKUP('Données projet'!$B$15,Paramètres!$A$1:$I$89,3,0)*VLOOKUP('Données projet'!$B$15,Paramètres!$A$1:$I$89,5,0)</f>
        <v>137.04166666666671</v>
      </c>
      <c r="EL36" s="13">
        <f t="shared" si="45"/>
        <v>35.618452776877568</v>
      </c>
      <c r="EM36" s="20">
        <f t="shared" si="19"/>
        <v>300.7163746975063</v>
      </c>
      <c r="EN36" s="59">
        <f t="shared" si="20"/>
        <v>594.04970803083961</v>
      </c>
      <c r="EO36" s="59">
        <f ca="1">AVERAGE(OFFSET($EN$3,0,0,'Données projet'!$E$15+1,1))-AVERAGE(OFFSET($H$3,0,0,'Données projet'!$E$15+1,1))</f>
        <v>168.08890945052406</v>
      </c>
      <c r="EP36" s="59">
        <f t="shared" si="46"/>
        <v>182.52462557642343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5.8539276004725442</v>
      </c>
      <c r="EW36" s="21">
        <f>EXP(-LN(2)/25)*EW35+(1-EXP(-LN(2)/25))/(LN(2)/25)*Calculateur!ER36*Calculateur!ET36*VLOOKUP('Données projet'!$B$15,Paramètres!$A$1:$I$89,3,0)*0.475*44/12</f>
        <v>11.346725569559176</v>
      </c>
      <c r="EX36" s="21">
        <f>EXP(-LN(2)/2)*EX35+(1-EXP(-LN(2)/2))/(LN(2)/2)*ER36*EU36*VLOOKUP('Données projet'!$B$15,Paramètres!$A$1:$I$89,3,0)*0.475*44/12</f>
        <v>1.9253430029818506</v>
      </c>
      <c r="EY36" s="22">
        <f t="shared" si="21"/>
        <v>19.125996173013572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10.199999999999999</v>
      </c>
      <c r="FE36" s="12">
        <f>IF('Données projet'!$A$218&gt;35,FE35+FD36-FM35,IF(A36&lt;'Données projet'!$A$218,$FB$205^A36,IF(A36='Données projet'!$A$218,'Données projet'!$B$218,FE35+FD36-FM35)))</f>
        <v>148.59999999999994</v>
      </c>
      <c r="FF36" s="17">
        <f>FE36*VLOOKUP('Données projet'!$B$16,Paramètres!$A$1:$I$89,3,0)*VLOOKUP('Données projet'!$B$16,Paramètres!$A$1:$I$89,5,0)</f>
        <v>99.680879999999959</v>
      </c>
      <c r="FG36" s="13">
        <f t="shared" si="47"/>
        <v>26.885957471977871</v>
      </c>
      <c r="FH36" s="20">
        <f t="shared" si="22"/>
        <v>220.43724193036135</v>
      </c>
      <c r="FI36" s="59">
        <f t="shared" si="23"/>
        <v>513.7705752636947</v>
      </c>
      <c r="FJ36" s="59">
        <f ca="1">AVERAGE(OFFSET($FI$3,0,0,'Données projet'!$E$16+1,1))-AVERAGE(OFFSET($H$3,0,0,'Données projet'!$E$16+1,1))</f>
        <v>156.63226020379989</v>
      </c>
      <c r="FK36" s="59">
        <f t="shared" si="48"/>
        <v>196.0481096619543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7.9779906319453771</v>
      </c>
      <c r="FS36" s="21">
        <f>EXP(-LN(2)/2)*FS35+(1-EXP(-LN(2)/2))/(LN(2)/2)*FM36*FP36*VLOOKUP('Données projet'!$B$16,Paramètres!$A$1:$I$89,3,0)*0.475*44/12</f>
        <v>3.207956366541016</v>
      </c>
      <c r="FT36" s="22">
        <f t="shared" si="24"/>
        <v>11.185946998486394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13.7</v>
      </c>
      <c r="FZ36" s="12">
        <f>IF('Données projet'!$A$244&gt;35,FZ35+FY36-GH35,IF(A36&lt;'Données projet'!$A$244,$FW$205^A36,IF(A36='Données projet'!$A$244,'Données projet'!$B$244,FZ35+FY36-GH35)))</f>
        <v>189.09999999999997</v>
      </c>
      <c r="GA36" s="17">
        <f>FZ36*VLOOKUP('Données projet'!$B$17,Paramètres!$A$1:$I$89,3,0)*VLOOKUP('Données projet'!$B$17,Paramètres!$A$1:$I$89,5,0)</f>
        <v>113.08179999999999</v>
      </c>
      <c r="GB36" s="13">
        <f t="shared" si="49"/>
        <v>30.055908915657483</v>
      </c>
      <c r="GC36" s="20">
        <f t="shared" si="25"/>
        <v>249.29817636143676</v>
      </c>
      <c r="GD36" s="59">
        <f t="shared" si="26"/>
        <v>542.6315096947701</v>
      </c>
      <c r="GE36" s="59">
        <f ca="1">AVERAGE(OFFSET($GD$3,0,0,'Données projet'!$E$17+1,1))-AVERAGE(OFFSET($H$3,0,0,'Données projet'!$E$17+1,1))</f>
        <v>216.94426559495264</v>
      </c>
      <c r="GF36" s="59">
        <f t="shared" si="50"/>
        <v>225.33715877618704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11.82373364003692</v>
      </c>
      <c r="GN36" s="21">
        <f>EXP(-LN(2)/2)*GN35+(1-EXP(-LN(2)/2))/(LN(2)/2)*GH36*GK36*VLOOKUP('Données projet'!$B$17,Paramètres!$A$1:$I$89,3,0)*0.475*44/12</f>
        <v>8.389595639996676</v>
      </c>
      <c r="GO36" s="21">
        <f t="shared" si="27"/>
        <v>20.213329280033598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8.1999999999999993</v>
      </c>
      <c r="GU36" s="12">
        <f>IF('Données projet'!$A$270&gt;35,GU35+GT36-HC35,IF(A36&lt;'Données projet'!$A$270,$GR$205^A36,IF(A36='Données projet'!$A$270,'Données projet'!$B$270,GU35+GT36-HC35)))</f>
        <v>100.59999999999998</v>
      </c>
      <c r="GV36" s="17">
        <f>GU36*VLOOKUP('Données projet'!$B$18,Paramètres!$A$1:$I$89,3,0)*VLOOKUP('Données projet'!$B$18,Paramètres!$A$1:$I$89,5,0)</f>
        <v>97.300319999999985</v>
      </c>
      <c r="GW36" s="13">
        <f t="shared" si="51"/>
        <v>26.317815171934939</v>
      </c>
      <c r="GX36" s="20">
        <f t="shared" si="28"/>
        <v>215.30158542445329</v>
      </c>
      <c r="GY36" s="59">
        <f t="shared" si="29"/>
        <v>508.63491875778664</v>
      </c>
      <c r="GZ36" s="59">
        <f ca="1">AVERAGE(OFFSET($GY$3,0,0,'Données projet'!$E$18+1,1))-AVERAGE(OFFSET($H$3,0,0,'Données projet'!$E$18+1,1))</f>
        <v>261.22357949323879</v>
      </c>
      <c r="HA36" s="59">
        <f t="shared" si="52"/>
        <v>163.41029152029387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3.0551525671661315</v>
      </c>
      <c r="HI36" s="21">
        <f>EXP(-LN(2)/2)*HI35+(1-EXP(-LN(2)/2))/(LN(2)/2)*HC36*HF36*VLOOKUP('Données projet'!$B$18,Paramètres!$A$1:$I$89,3,0)*0.475*44/12</f>
        <v>2.339179741528469</v>
      </c>
      <c r="HJ36" s="22">
        <f t="shared" si="30"/>
        <v>5.3943323086946009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237.22177246688199</v>
      </c>
      <c r="T37" s="59">
        <f t="shared" si="34"/>
        <v>149.27472147904302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143.39999999999989</v>
      </c>
      <c r="AJ37" s="13">
        <f>AI37*VLOOKUP('Données projet'!$B$10,Paramètres!$A$1:$I$89,3,0)*VLOOKUP('Données projet'!$B$10,Paramètres!$A$1:$I$89,5,0)</f>
        <v>125.27423999999992</v>
      </c>
      <c r="AK37" s="13">
        <f t="shared" si="35"/>
        <v>32.902032783270968</v>
      </c>
      <c r="AL37" s="20">
        <f t="shared" si="4"/>
        <v>275.49034176419678</v>
      </c>
      <c r="AM37" s="59">
        <f t="shared" si="5"/>
        <v>568.8236750975301</v>
      </c>
      <c r="AN37" s="59">
        <f ca="1">AVERAGE(OFFSET($AM$3,0,0,'Données projet'!$E$10+1,1))-AVERAGE(OFFSET($H$3,0,0,'Données projet'!$E$10+1,1))</f>
        <v>210.07838338464626</v>
      </c>
      <c r="AO37" s="59">
        <f t="shared" si="36"/>
        <v>241.76003724236273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4.896551101807523</v>
      </c>
      <c r="AV37" s="21">
        <f>EXP(-LN(2)/25)*AV36+(1-EXP(-LN(2)/25))/(LN(2)/25)*Calculateur!AQ37*Calculateur!AS37*VLOOKUP('Données projet'!$B$10,Paramètres!$A$1:$I$89,3,0)*0.475*44/12</f>
        <v>12.136456660692142</v>
      </c>
      <c r="AW37" s="21">
        <f>EXP(-LN(2)/2)*AW36+(1-EXP(-LN(2)/2))/(LN(2)/2)*AQ37*AT37*VLOOKUP('Données projet'!$B$10,Paramètres!$A$1:$I$89,3,0)*0.475*44/12</f>
        <v>3.9928561177123103</v>
      </c>
      <c r="AX37" s="21">
        <f t="shared" si="6"/>
        <v>21.025863880211975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13.3</v>
      </c>
      <c r="BD37" s="12">
        <f>IF('Données projet'!$A$88&gt;35,BD36+BC37-BL36,IF(A37&lt;'Données projet'!$A$88,$BA$205^A37,IF(A37='Données projet'!$A$88,'Données projet'!$B$88,BD36+BC37-BL36)))</f>
        <v>203.2000000000001</v>
      </c>
      <c r="BE37" s="13">
        <f>BD37*VLOOKUP('Données projet'!$B$11,Paramètres!$A$1:$I$89,3,0)*VLOOKUP('Données projet'!$B$11,Paramètres!$A$1:$I$89,5,0)</f>
        <v>126.79680000000006</v>
      </c>
      <c r="BF37" s="13">
        <f t="shared" si="37"/>
        <v>33.25512256626952</v>
      </c>
      <c r="BG37" s="20">
        <f t="shared" si="7"/>
        <v>278.7570984695862</v>
      </c>
      <c r="BH37" s="59">
        <f t="shared" si="8"/>
        <v>572.09043180291951</v>
      </c>
      <c r="BI37" s="59">
        <f ca="1">AVERAGE(OFFSET($BH$3,0,0,'Données projet'!$E$11+1,1))-AVERAGE(OFFSET($H$3,0,0,'Données projet'!$E$11+1,1))</f>
        <v>209.93608079129638</v>
      </c>
      <c r="BJ37" s="59">
        <f t="shared" si="38"/>
        <v>240.15652428700969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6.4237525649943752</v>
      </c>
      <c r="BQ37" s="21">
        <f>EXP(-LN(2)/25)*BQ36+(1-EXP(-LN(2)/25))/(LN(2)/25)*Calculateur!BL37*Calculateur!BN37*VLOOKUP('Données projet'!$B$11,Paramètres!$A$1:$I$89,3,0)*0.475*44/12</f>
        <v>18.605699241923226</v>
      </c>
      <c r="BR37" s="21">
        <f>EXP(-LN(2)/2)*BR36+(1-EXP(-LN(2)/2))/(LN(2)/2)*BL37*BO37*VLOOKUP('Données projet'!$B$11,Paramètres!$A$1:$I$89,3,0)*0.475*44/12</f>
        <v>5.0477038759287725</v>
      </c>
      <c r="BS37" s="22">
        <f t="shared" si="9"/>
        <v>30.077155682846371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10.000000000000004</v>
      </c>
      <c r="BY37" s="12">
        <f>IF('Données projet'!$A$114&gt;35,BY36+BX37-CG36,IF(A37&lt;'Données projet'!$A$114,$BV$205^A37,IF(A37='Données projet'!$A$114,'Données projet'!$B$114,BY36+BX37-CG36)))</f>
        <v>231.59999999999988</v>
      </c>
      <c r="BZ37" s="13">
        <f>BY37*VLOOKUP('Données projet'!$B$12,Paramètres!$A$1:$I$89,3,0)*VLOOKUP('Données projet'!$B$12,Paramètres!$A$1:$I$89,5,0)</f>
        <v>108.38879999999993</v>
      </c>
      <c r="CA37" s="13">
        <f t="shared" si="39"/>
        <v>28.951047900249165</v>
      </c>
      <c r="CB37" s="20">
        <f t="shared" si="10"/>
        <v>239.20023509293381</v>
      </c>
      <c r="CC37" s="59">
        <f t="shared" si="11"/>
        <v>532.53356842626715</v>
      </c>
      <c r="CD37" s="59">
        <f ca="1">AVERAGE(OFFSET($CC$3,0,0,'Données projet'!$E$12+1,1))-AVERAGE(OFFSET($H$3,0,0,'Données projet'!$E$12+1,1))</f>
        <v>215.23235148064941</v>
      </c>
      <c r="CE37" s="59">
        <f t="shared" si="40"/>
        <v>184.07239726900434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2.895850598272911</v>
      </c>
      <c r="CL37" s="21">
        <f>EXP(-LN(2)/25)*CL36+(1-EXP(-LN(2)/25))/(LN(2)/25)*Calculateur!CG37*Calculateur!CI37*VLOOKUP('Données projet'!$B$12,Paramètres!$A$1:$I$89,3,0)*0.475*44/12</f>
        <v>7.0308375406049475</v>
      </c>
      <c r="CM37" s="21">
        <f>EXP(-LN(2)/2)*CM36+(1-EXP(-LN(2)/2))/(LN(2)/2)*CG37*CJ37*VLOOKUP('Données projet'!$B$12,Paramètres!$A$1:$I$89,3,0)*0.475*44/12</f>
        <v>2.4580441200739975</v>
      </c>
      <c r="CN37" s="22">
        <f t="shared" si="12"/>
        <v>12.384732258951857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8.1999999999999993</v>
      </c>
      <c r="CT37" s="12">
        <f>IF('Données projet'!$A$140&gt;35,CT36+CS37-DB36,IF(A37&lt;'Données projet'!$A$140,$CQ$205^A37,IF(A37='Données projet'!$A$140,'Données projet'!$B$140,CT36+CS37-DB36)))</f>
        <v>108.79999999999998</v>
      </c>
      <c r="CU37" s="17">
        <f>CT37*VLOOKUP('Données projet'!$B$13,Paramètres!$A$1:$I$89,3,0)*VLOOKUP('Données projet'!$B$13,Paramètres!$A$1:$I$89,5,0)</f>
        <v>110.32319999999999</v>
      </c>
      <c r="CV37" s="13">
        <f t="shared" si="41"/>
        <v>29.407120006092025</v>
      </c>
      <c r="CW37" s="20">
        <f t="shared" si="13"/>
        <v>243.36364067727686</v>
      </c>
      <c r="CX37" s="59">
        <f t="shared" si="14"/>
        <v>536.69697401061012</v>
      </c>
      <c r="CY37" s="59">
        <f ca="1">AVERAGE(OFFSET($CX$3,0,0,'Données projet'!$E$13+1,1))-AVERAGE(OFFSET($H$3,0,0,'Données projet'!$E$13+1,1))</f>
        <v>279.20364724206644</v>
      </c>
      <c r="CZ37" s="59">
        <f t="shared" si="42"/>
        <v>173.99850582760712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3.1153968043705866</v>
      </c>
      <c r="DH37" s="21">
        <f>EXP(-LN(2)/2)*DH36+(1-EXP(-LN(2)/2))/(LN(2)/2)*DB37*DE37*VLOOKUP('Données projet'!$B$13,Paramètres!$A$1:$I$89,3,0)*0.475*44/12</f>
        <v>1.7340845281803781</v>
      </c>
      <c r="DI37" s="22">
        <f t="shared" si="15"/>
        <v>4.8494813325509645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8.1999999999999993</v>
      </c>
      <c r="DO37" s="12">
        <f>IF('Données projet'!$A$166&gt;35,DO36+DN37-DW36,IF(A37&lt;'Données projet'!$A$166,$DL$205^A37,IF(A37='Données projet'!$A$166,'Données projet'!$B$166,DO36+DN37-DW36)))</f>
        <v>108.79999999999998</v>
      </c>
      <c r="DP37" s="17">
        <f>DO37*VLOOKUP('Données projet'!$B$14,Paramètres!$A$1:$I$89,3,0)*VLOOKUP('Données projet'!$B$14,Paramètres!$A$1:$I$89,5,0)</f>
        <v>113.71775999999998</v>
      </c>
      <c r="DQ37" s="13">
        <f t="shared" si="43"/>
        <v>30.205216127389896</v>
      </c>
      <c r="DR37" s="20">
        <f t="shared" si="16"/>
        <v>250.66585008853735</v>
      </c>
      <c r="DS37" s="59">
        <f t="shared" si="17"/>
        <v>543.99918342187061</v>
      </c>
      <c r="DT37" s="59">
        <f ca="1">AVERAGE(OFFSET($DS$3,0,0,'Données projet'!$E$14+1,1))-AVERAGE(OFFSET($H$3,0,0,'Données projet'!$E$14+1,1))</f>
        <v>291.18074901939718</v>
      </c>
      <c r="DU37" s="59">
        <f t="shared" si="44"/>
        <v>181.05123751753774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3.21125516758199</v>
      </c>
      <c r="EC37" s="21">
        <f>EXP(-LN(2)/2)*EC36+(1-EXP(-LN(2)/2))/(LN(2)/2)*DW37*DZ37*VLOOKUP('Données projet'!$B$14,Paramètres!$A$1:$I$89,3,0)*0.475*44/12</f>
        <v>1.7874409752013134</v>
      </c>
      <c r="ED37" s="22">
        <f t="shared" si="18"/>
        <v>4.9986961427833032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244</v>
      </c>
      <c r="EH37" s="12">
        <f>VLOOKUP(A37,'Données projet'!$A$191:$I$211,9,0)</f>
        <v>14.833333333333334</v>
      </c>
      <c r="EI37" s="12">
        <f t="array" ref="EI37">INDEX(EH:EH,MIN(IF(ISNUMBER(EH37:EH233),ROW(EH37:EH233),"")))</f>
        <v>14.833333333333334</v>
      </c>
      <c r="EJ37" s="12">
        <f>IF('Données projet'!$A$192&gt;35,EJ36+EI37-ER36,IF(A37&lt;'Données projet'!$A$192,$EG$205^A37,IF(A37='Données projet'!$A$192,'Données projet'!$B$192,EJ36+EI37-ER36)))</f>
        <v>244.00000000000006</v>
      </c>
      <c r="EK37" s="17">
        <f>EJ37*VLOOKUP('Données projet'!$B$15,Paramètres!$A$1:$I$89,3,0)*VLOOKUP('Données projet'!$B$15,Paramètres!$A$1:$I$89,5,0)</f>
        <v>145.91200000000006</v>
      </c>
      <c r="EL37" s="13">
        <f t="shared" si="45"/>
        <v>37.648084239987625</v>
      </c>
      <c r="EM37" s="20">
        <f t="shared" si="19"/>
        <v>319.7004800513119</v>
      </c>
      <c r="EN37" s="59">
        <f t="shared" si="20"/>
        <v>613.03381338464521</v>
      </c>
      <c r="EO37" s="59">
        <f ca="1">AVERAGE(OFFSET($EN$3,0,0,'Données projet'!$E$15+1,1))-AVERAGE(OFFSET($H$3,0,0,'Données projet'!$E$15+1,1))</f>
        <v>168.08890945052406</v>
      </c>
      <c r="EP37" s="59">
        <f t="shared" si="46"/>
        <v>182.52462557642343</v>
      </c>
      <c r="EQ37" s="15">
        <f>IF(ISNA(VLOOKUP(A37,'Données projet'!$A$191:$I$211,3,0)),0,VLOOKUP(A37,'Données projet'!$A$191:$I$211,3,0))</f>
        <v>5</v>
      </c>
      <c r="ER37" s="15">
        <f>IF(ISNA(VLOOKUP(A37,'Données projet'!$A$191:$I$211,4,0)),0,VLOOKUP(A37,'Données projet'!$A$191:$I$211,4,0))</f>
        <v>46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5.7391356507705522</v>
      </c>
      <c r="EW37" s="21">
        <f>EXP(-LN(2)/25)*EW36+(1-EXP(-LN(2)/25))/(LN(2)/25)*Calculateur!ER37*Calculateur!ET37*VLOOKUP('Données projet'!$B$15,Paramètres!$A$1:$I$89,3,0)*0.475*44/12</f>
        <v>11.036448762161216</v>
      </c>
      <c r="EX37" s="21">
        <f>EXP(-LN(2)/2)*EX36+(1-EXP(-LN(2)/2))/(LN(2)/2)*ER37*EU37*VLOOKUP('Données projet'!$B$15,Paramètres!$A$1:$I$89,3,0)*0.475*44/12</f>
        <v>1.3614230935185379</v>
      </c>
      <c r="EY37" s="22">
        <f t="shared" si="21"/>
        <v>18.137007506450306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10.199999999999999</v>
      </c>
      <c r="FE37" s="12">
        <f>IF('Données projet'!$A$218&gt;35,FE36+FD37-FM36,IF(A37&lt;'Données projet'!$A$218,$FB$205^A37,IF(A37='Données projet'!$A$218,'Données projet'!$B$218,FE36+FD37-FM36)))</f>
        <v>158.79999999999993</v>
      </c>
      <c r="FF37" s="17">
        <f>FE37*VLOOKUP('Données projet'!$B$16,Paramètres!$A$1:$I$89,3,0)*VLOOKUP('Données projet'!$B$16,Paramètres!$A$1:$I$89,5,0)</f>
        <v>106.52303999999995</v>
      </c>
      <c r="FG37" s="13">
        <f t="shared" si="47"/>
        <v>28.510260627094947</v>
      </c>
      <c r="FH37" s="20">
        <f t="shared" si="22"/>
        <v>235.18299859219027</v>
      </c>
      <c r="FI37" s="59">
        <f t="shared" si="23"/>
        <v>528.51633192552356</v>
      </c>
      <c r="FJ37" s="59">
        <f ca="1">AVERAGE(OFFSET($FI$3,0,0,'Données projet'!$E$16+1,1))-AVERAGE(OFFSET($H$3,0,0,'Données projet'!$E$16+1,1))</f>
        <v>156.63226020379989</v>
      </c>
      <c r="FK37" s="59">
        <f t="shared" si="48"/>
        <v>196.0481096619543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7.7598320585705371</v>
      </c>
      <c r="FS37" s="21">
        <f>EXP(-LN(2)/2)*FS36+(1-EXP(-LN(2)/2))/(LN(2)/2)*FM37*FP37*VLOOKUP('Données projet'!$B$16,Paramètres!$A$1:$I$89,3,0)*0.475*44/12</f>
        <v>2.2683677005317104</v>
      </c>
      <c r="FT37" s="22">
        <f t="shared" si="24"/>
        <v>10.028199759102247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13.7</v>
      </c>
      <c r="FZ37" s="12">
        <f>IF('Données projet'!$A$244&gt;35,FZ36+FY37-GH36,IF(A37&lt;'Données projet'!$A$244,$FW$205^A37,IF(A37='Données projet'!$A$244,'Données projet'!$B$244,FZ36+FY37-GH36)))</f>
        <v>202.79999999999995</v>
      </c>
      <c r="GA37" s="17">
        <f>FZ37*VLOOKUP('Données projet'!$B$17,Paramètres!$A$1:$I$89,3,0)*VLOOKUP('Données projet'!$B$17,Paramètres!$A$1:$I$89,5,0)</f>
        <v>121.27439999999999</v>
      </c>
      <c r="GB37" s="13">
        <f t="shared" si="49"/>
        <v>31.972049173215385</v>
      </c>
      <c r="GC37" s="20">
        <f t="shared" si="25"/>
        <v>266.90423231001677</v>
      </c>
      <c r="GD37" s="59">
        <f t="shared" si="26"/>
        <v>560.23756564335008</v>
      </c>
      <c r="GE37" s="59">
        <f ca="1">AVERAGE(OFFSET($GD$3,0,0,'Données projet'!$E$17+1,1))-AVERAGE(OFFSET($H$3,0,0,'Données projet'!$E$17+1,1))</f>
        <v>216.94426559495264</v>
      </c>
      <c r="GF37" s="59">
        <f t="shared" si="50"/>
        <v>225.33715877618704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11.500413021866981</v>
      </c>
      <c r="GN37" s="21">
        <f>EXP(-LN(2)/2)*GN36+(1-EXP(-LN(2)/2))/(LN(2)/2)*GH37*GK37*VLOOKUP('Données projet'!$B$17,Paramètres!$A$1:$I$89,3,0)*0.475*44/12</f>
        <v>5.9323399684547429</v>
      </c>
      <c r="GO37" s="21">
        <f t="shared" si="27"/>
        <v>17.432752990321724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8.1999999999999993</v>
      </c>
      <c r="GU37" s="12">
        <f>IF('Données projet'!$A$270&gt;35,GU36+GT37-HC36,IF(A37&lt;'Données projet'!$A$270,$GR$205^A37,IF(A37='Données projet'!$A$270,'Données projet'!$B$270,GU36+GT37-HC36)))</f>
        <v>108.79999999999998</v>
      </c>
      <c r="GV37" s="17">
        <f>GU37*VLOOKUP('Données projet'!$B$18,Paramètres!$A$1:$I$89,3,0)*VLOOKUP('Données projet'!$B$18,Paramètres!$A$1:$I$89,5,0)</f>
        <v>105.23135999999998</v>
      </c>
      <c r="GW37" s="13">
        <f t="shared" si="51"/>
        <v>28.204574272897808</v>
      </c>
      <c r="GX37" s="20">
        <f t="shared" si="28"/>
        <v>232.40091885863032</v>
      </c>
      <c r="GY37" s="59">
        <f t="shared" si="29"/>
        <v>525.73425219196361</v>
      </c>
      <c r="GZ37" s="59">
        <f ca="1">AVERAGE(OFFSET($GY$3,0,0,'Données projet'!$E$18+1,1))-AVERAGE(OFFSET($H$3,0,0,'Données projet'!$E$18+1,1))</f>
        <v>261.22357949323879</v>
      </c>
      <c r="HA37" s="59">
        <f t="shared" si="52"/>
        <v>163.41029152029387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2.9716092595534827</v>
      </c>
      <c r="HI37" s="21">
        <f>EXP(-LN(2)/2)*HI36+(1-EXP(-LN(2)/2))/(LN(2)/2)*HC37*HF37*VLOOKUP('Données projet'!$B$18,Paramètres!$A$1:$I$89,3,0)*0.475*44/12</f>
        <v>1.6540498576489759</v>
      </c>
      <c r="HJ37" s="22">
        <f t="shared" si="30"/>
        <v>4.6256591172024581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237.22177246688199</v>
      </c>
      <c r="T38" s="59">
        <f t="shared" si="34"/>
        <v>149.27472147904302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151.49999999999989</v>
      </c>
      <c r="AJ38" s="13">
        <f>AI38*VLOOKUP('Données projet'!$B$10,Paramètres!$A$1:$I$89,3,0)*VLOOKUP('Données projet'!$B$10,Paramètres!$A$1:$I$89,5,0)</f>
        <v>132.35039999999992</v>
      </c>
      <c r="AK38" s="13">
        <f t="shared" si="35"/>
        <v>34.538900082505833</v>
      </c>
      <c r="AL38" s="20">
        <f t="shared" si="4"/>
        <v>290.66553097703087</v>
      </c>
      <c r="AM38" s="59">
        <f t="shared" si="5"/>
        <v>583.99886431036418</v>
      </c>
      <c r="AN38" s="59">
        <f ca="1">AVERAGE(OFFSET($AM$3,0,0,'Données projet'!$E$10+1,1))-AVERAGE(OFFSET($H$3,0,0,'Données projet'!$E$10+1,1))</f>
        <v>210.07838338464626</v>
      </c>
      <c r="AO38" s="59">
        <f t="shared" si="36"/>
        <v>241.76003724236273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4.8005327213023472</v>
      </c>
      <c r="AV38" s="21">
        <f>EXP(-LN(2)/25)*AV37+(1-EXP(-LN(2)/25))/(LN(2)/25)*Calculateur!AQ38*Calculateur!AS38*VLOOKUP('Données projet'!$B$10,Paramètres!$A$1:$I$89,3,0)*0.475*44/12</f>
        <v>11.804584615076998</v>
      </c>
      <c r="AW38" s="21">
        <f>EXP(-LN(2)/2)*AW37+(1-EXP(-LN(2)/2))/(LN(2)/2)*AQ38*AT38*VLOOKUP('Données projet'!$B$10,Paramètres!$A$1:$I$89,3,0)*0.475*44/12</f>
        <v>2.8233756371365666</v>
      </c>
      <c r="AX38" s="21">
        <f t="shared" si="6"/>
        <v>19.428492973515912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13.3</v>
      </c>
      <c r="BD38" s="12">
        <f>IF('Données projet'!$A$88&gt;35,BD37+BC38-BL37,IF(A38&lt;'Données projet'!$A$88,$BA$205^A38,IF(A38='Données projet'!$A$88,'Données projet'!$B$88,BD37+BC38-BL37)))</f>
        <v>216.50000000000011</v>
      </c>
      <c r="BE38" s="13">
        <f>BD38*VLOOKUP('Données projet'!$B$11,Paramètres!$A$1:$I$89,3,0)*VLOOKUP('Données projet'!$B$11,Paramètres!$A$1:$I$89,5,0)</f>
        <v>135.09600000000006</v>
      </c>
      <c r="BF38" s="13">
        <f t="shared" si="37"/>
        <v>35.171247228284784</v>
      </c>
      <c r="BG38" s="20">
        <f t="shared" si="7"/>
        <v>296.54878892259609</v>
      </c>
      <c r="BH38" s="59">
        <f t="shared" si="8"/>
        <v>589.8821222559294</v>
      </c>
      <c r="BI38" s="59">
        <f ca="1">AVERAGE(OFFSET($BH$3,0,0,'Données projet'!$E$11+1,1))-AVERAGE(OFFSET($H$3,0,0,'Données projet'!$E$11+1,1))</f>
        <v>209.93608079129638</v>
      </c>
      <c r="BJ38" s="59">
        <f t="shared" si="38"/>
        <v>240.15652428700969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6.2977866952970194</v>
      </c>
      <c r="BQ38" s="21">
        <f>EXP(-LN(2)/25)*BQ37+(1-EXP(-LN(2)/25))/(LN(2)/25)*Calculateur!BL38*Calculateur!BN38*VLOOKUP('Données projet'!$B$11,Paramètres!$A$1:$I$89,3,0)*0.475*44/12</f>
        <v>18.096925417721636</v>
      </c>
      <c r="BR38" s="21">
        <f>EXP(-LN(2)/2)*BR37+(1-EXP(-LN(2)/2))/(LN(2)/2)*BL38*BO38*VLOOKUP('Données projet'!$B$11,Paramètres!$A$1:$I$89,3,0)*0.475*44/12</f>
        <v>3.5692656400908547</v>
      </c>
      <c r="BS38" s="22">
        <f t="shared" si="9"/>
        <v>27.963977753109511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10.000000000000004</v>
      </c>
      <c r="BY38" s="12">
        <f>IF('Données projet'!$A$114&gt;35,BY37+BX38-CG37,IF(A38&lt;'Données projet'!$A$114,$BV$205^A38,IF(A38='Données projet'!$A$114,'Données projet'!$B$114,BY37+BX38-CG37)))</f>
        <v>241.59999999999988</v>
      </c>
      <c r="BZ38" s="13">
        <f>BY38*VLOOKUP('Données projet'!$B$12,Paramètres!$A$1:$I$89,3,0)*VLOOKUP('Données projet'!$B$12,Paramètres!$A$1:$I$89,5,0)</f>
        <v>113.06879999999995</v>
      </c>
      <c r="CA38" s="13">
        <f t="shared" si="39"/>
        <v>30.052855829090237</v>
      </c>
      <c r="CB38" s="20">
        <f t="shared" si="10"/>
        <v>249.27021723566543</v>
      </c>
      <c r="CC38" s="59">
        <f t="shared" si="11"/>
        <v>542.6035505689988</v>
      </c>
      <c r="CD38" s="59">
        <f ca="1">AVERAGE(OFFSET($CC$3,0,0,'Données projet'!$E$12+1,1))-AVERAGE(OFFSET($H$3,0,0,'Données projet'!$E$12+1,1))</f>
        <v>215.23235148064941</v>
      </c>
      <c r="CE38" s="59">
        <f t="shared" si="40"/>
        <v>184.07239726900434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2.8390647343352371</v>
      </c>
      <c r="CL38" s="21">
        <f>EXP(-LN(2)/25)*CL37+(1-EXP(-LN(2)/25))/(LN(2)/25)*Calculateur!CG38*Calculateur!CI38*VLOOKUP('Données projet'!$B$12,Paramètres!$A$1:$I$89,3,0)*0.475*44/12</f>
        <v>6.8385789183214278</v>
      </c>
      <c r="CM38" s="21">
        <f>EXP(-LN(2)/2)*CM37+(1-EXP(-LN(2)/2))/(LN(2)/2)*CG38*CJ38*VLOOKUP('Données projet'!$B$12,Paramètres!$A$1:$I$89,3,0)*0.475*44/12</f>
        <v>1.738099665760044</v>
      </c>
      <c r="CN38" s="22">
        <f t="shared" si="12"/>
        <v>11.415743318416709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8.1999999999999993</v>
      </c>
      <c r="CT38" s="12">
        <f>IF('Données projet'!$A$140&gt;35,CT37+CS38-DB37,IF(A38&lt;'Données projet'!$A$140,$CQ$205^A38,IF(A38='Données projet'!$A$140,'Données projet'!$B$140,CT37+CS38-DB37)))</f>
        <v>116.99999999999999</v>
      </c>
      <c r="CU38" s="17">
        <f>CT38*VLOOKUP('Données projet'!$B$13,Paramètres!$A$1:$I$89,3,0)*VLOOKUP('Données projet'!$B$13,Paramètres!$A$1:$I$89,5,0)</f>
        <v>118.63800000000001</v>
      </c>
      <c r="CV38" s="13">
        <f t="shared" si="41"/>
        <v>31.357124429643687</v>
      </c>
      <c r="CW38" s="20">
        <f t="shared" si="13"/>
        <v>261.24150838162944</v>
      </c>
      <c r="CX38" s="59">
        <f t="shared" si="14"/>
        <v>554.57484171496276</v>
      </c>
      <c r="CY38" s="59">
        <f ca="1">AVERAGE(OFFSET($CX$3,0,0,'Données projet'!$E$13+1,1))-AVERAGE(OFFSET($H$3,0,0,'Données projet'!$E$13+1,1))</f>
        <v>279.20364724206644</v>
      </c>
      <c r="CZ38" s="59">
        <f t="shared" si="42"/>
        <v>173.99850582760712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3.0302061149234754</v>
      </c>
      <c r="DH38" s="21">
        <f>EXP(-LN(2)/2)*DH37+(1-EXP(-LN(2)/2))/(LN(2)/2)*DB38*DE38*VLOOKUP('Données projet'!$B$13,Paramètres!$A$1:$I$89,3,0)*0.475*44/12</f>
        <v>1.2261829290270201</v>
      </c>
      <c r="DI38" s="22">
        <f t="shared" si="15"/>
        <v>4.2563890439504952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8.1999999999999993</v>
      </c>
      <c r="DO38" s="12">
        <f>IF('Données projet'!$A$166&gt;35,DO37+DN38-DW37,IF(A38&lt;'Données projet'!$A$166,$DL$205^A38,IF(A38='Données projet'!$A$166,'Données projet'!$B$166,DO37+DN38-DW37)))</f>
        <v>116.99999999999999</v>
      </c>
      <c r="DP38" s="17">
        <f>DO38*VLOOKUP('Données projet'!$B$14,Paramètres!$A$1:$I$89,3,0)*VLOOKUP('Données projet'!$B$14,Paramètres!$A$1:$I$89,5,0)</f>
        <v>122.28840000000001</v>
      </c>
      <c r="DQ38" s="13">
        <f t="shared" si="43"/>
        <v>32.20814280128868</v>
      </c>
      <c r="DR38" s="20">
        <f t="shared" si="16"/>
        <v>269.08147871224446</v>
      </c>
      <c r="DS38" s="59">
        <f t="shared" si="17"/>
        <v>562.41481204557772</v>
      </c>
      <c r="DT38" s="59">
        <f ca="1">AVERAGE(OFFSET($DS$3,0,0,'Données projet'!$E$14+1,1))-AVERAGE(OFFSET($H$3,0,0,'Données projet'!$E$14+1,1))</f>
        <v>291.18074901939718</v>
      </c>
      <c r="DU38" s="59">
        <f t="shared" si="44"/>
        <v>181.05123751753774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3.1234432261518905</v>
      </c>
      <c r="EC38" s="21">
        <f>EXP(-LN(2)/2)*EC37+(1-EXP(-LN(2)/2))/(LN(2)/2)*DW38*DZ38*VLOOKUP('Données projet'!$B$14,Paramètres!$A$1:$I$89,3,0)*0.475*44/12</f>
        <v>1.2639116345355443</v>
      </c>
      <c r="ED38" s="22">
        <f t="shared" si="18"/>
        <v>4.3873548606874344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12.833333333333334</v>
      </c>
      <c r="EJ38" s="12">
        <f>IF('Données projet'!$A$192&gt;35,EJ37+EI38-ER37,IF(A38&lt;'Données projet'!$A$192,$EG$205^A38,IF(A38='Données projet'!$A$192,'Données projet'!$B$192,EJ37+EI38-ER37)))</f>
        <v>210.83333333333337</v>
      </c>
      <c r="EK38" s="17">
        <f>EJ38*VLOOKUP('Données projet'!$B$15,Paramètres!$A$1:$I$89,3,0)*VLOOKUP('Données projet'!$B$15,Paramètres!$A$1:$I$89,5,0)</f>
        <v>126.07833333333336</v>
      </c>
      <c r="EL38" s="13">
        <f t="shared" si="45"/>
        <v>33.08856817390501</v>
      </c>
      <c r="EM38" s="20">
        <f t="shared" si="19"/>
        <v>277.21568679177352</v>
      </c>
      <c r="EN38" s="59">
        <f t="shared" si="20"/>
        <v>570.54902012510684</v>
      </c>
      <c r="EO38" s="59">
        <f ca="1">AVERAGE(OFFSET($EN$3,0,0,'Données projet'!$E$15+1,1))-AVERAGE(OFFSET($H$3,0,0,'Données projet'!$E$15+1,1))</f>
        <v>168.08890945052406</v>
      </c>
      <c r="EP38" s="59">
        <f t="shared" si="46"/>
        <v>182.52462557642343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5.6265947011860407</v>
      </c>
      <c r="EW38" s="21">
        <f>EXP(-LN(2)/25)*EW37+(1-EXP(-LN(2)/25))/(LN(2)/25)*Calculateur!ER38*Calculateur!ET38*VLOOKUP('Données projet'!$B$15,Paramètres!$A$1:$I$89,3,0)*0.475*44/12</f>
        <v>10.734656490378301</v>
      </c>
      <c r="EX38" s="21">
        <f>EXP(-LN(2)/2)*EX37+(1-EXP(-LN(2)/2))/(LN(2)/2)*ER38*EU38*VLOOKUP('Données projet'!$B$15,Paramètres!$A$1:$I$89,3,0)*0.475*44/12</f>
        <v>0.9626715014909254</v>
      </c>
      <c r="EY38" s="22">
        <f t="shared" si="21"/>
        <v>17.323922693055266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10.199999999999999</v>
      </c>
      <c r="FE38" s="12">
        <f>IF('Données projet'!$A$218&gt;35,FE37+FD38-FM37,IF(A38&lt;'Données projet'!$A$218,$FB$205^A38,IF(A38='Données projet'!$A$218,'Données projet'!$B$218,FE37+FD38-FM37)))</f>
        <v>168.99999999999991</v>
      </c>
      <c r="FF38" s="17">
        <f>FE38*VLOOKUP('Données projet'!$B$16,Paramètres!$A$1:$I$89,3,0)*VLOOKUP('Données projet'!$B$16,Paramètres!$A$1:$I$89,5,0)</f>
        <v>113.36519999999994</v>
      </c>
      <c r="FG38" s="13">
        <f t="shared" si="47"/>
        <v>30.122456058687586</v>
      </c>
      <c r="FH38" s="20">
        <f t="shared" si="22"/>
        <v>249.90766763554743</v>
      </c>
      <c r="FI38" s="59">
        <f t="shared" si="23"/>
        <v>543.24100096888071</v>
      </c>
      <c r="FJ38" s="59">
        <f ca="1">AVERAGE(OFFSET($FI$3,0,0,'Données projet'!$E$16+1,1))-AVERAGE(OFFSET($H$3,0,0,'Données projet'!$E$16+1,1))</f>
        <v>156.63226020379989</v>
      </c>
      <c r="FK38" s="59">
        <f t="shared" si="48"/>
        <v>196.0481096619543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7.5476390428570932</v>
      </c>
      <c r="FS38" s="21">
        <f>EXP(-LN(2)/2)*FS37+(1-EXP(-LN(2)/2))/(LN(2)/2)*FM38*FP38*VLOOKUP('Données projet'!$B$16,Paramètres!$A$1:$I$89,3,0)*0.475*44/12</f>
        <v>1.6039781832705082</v>
      </c>
      <c r="FT38" s="22">
        <f t="shared" si="24"/>
        <v>9.1516172261276019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13.7</v>
      </c>
      <c r="FZ38" s="12">
        <f>IF('Données projet'!$A$244&gt;35,FZ37+FY38-GH37,IF(A38&lt;'Données projet'!$A$244,$FW$205^A38,IF(A38='Données projet'!$A$244,'Données projet'!$B$244,FZ37+FY38-GH37)))</f>
        <v>216.49999999999994</v>
      </c>
      <c r="GA38" s="17">
        <f>FZ38*VLOOKUP('Données projet'!$B$17,Paramètres!$A$1:$I$89,3,0)*VLOOKUP('Données projet'!$B$17,Paramètres!$A$1:$I$89,5,0)</f>
        <v>129.46699999999998</v>
      </c>
      <c r="GB38" s="13">
        <f t="shared" si="49"/>
        <v>33.873169248083329</v>
      </c>
      <c r="GC38" s="20">
        <f t="shared" si="25"/>
        <v>284.48412810707845</v>
      </c>
      <c r="GD38" s="59">
        <f t="shared" si="26"/>
        <v>577.81746144041176</v>
      </c>
      <c r="GE38" s="59">
        <f ca="1">AVERAGE(OFFSET($GD$3,0,0,'Données projet'!$E$17+1,1))-AVERAGE(OFFSET($H$3,0,0,'Données projet'!$E$17+1,1))</f>
        <v>216.94426559495264</v>
      </c>
      <c r="GF38" s="59">
        <f t="shared" si="50"/>
        <v>225.33715877618704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11.185933623003592</v>
      </c>
      <c r="GN38" s="21">
        <f>EXP(-LN(2)/2)*GN37+(1-EXP(-LN(2)/2))/(LN(2)/2)*GH38*GK38*VLOOKUP('Données projet'!$B$17,Paramètres!$A$1:$I$89,3,0)*0.475*44/12</f>
        <v>4.194797819998338</v>
      </c>
      <c r="GO38" s="21">
        <f t="shared" si="27"/>
        <v>15.380731443001931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8.1999999999999993</v>
      </c>
      <c r="GU38" s="12">
        <f>IF('Données projet'!$A$270&gt;35,GU37+GT38-HC37,IF(A38&lt;'Données projet'!$A$270,$GR$205^A38,IF(A38='Données projet'!$A$270,'Données projet'!$B$270,GU37+GT38-HC37)))</f>
        <v>116.99999999999999</v>
      </c>
      <c r="GV38" s="17">
        <f>GU38*VLOOKUP('Données projet'!$B$18,Paramètres!$A$1:$I$89,3,0)*VLOOKUP('Données projet'!$B$18,Paramètres!$A$1:$I$89,5,0)</f>
        <v>113.16239999999999</v>
      </c>
      <c r="GW38" s="13">
        <f t="shared" si="51"/>
        <v>30.07483714070494</v>
      </c>
      <c r="GX38" s="20">
        <f t="shared" si="28"/>
        <v>249.47152135339442</v>
      </c>
      <c r="GY38" s="59">
        <f t="shared" si="29"/>
        <v>542.80485468672771</v>
      </c>
      <c r="GZ38" s="59">
        <f ca="1">AVERAGE(OFFSET($GY$3,0,0,'Données projet'!$E$18+1,1))-AVERAGE(OFFSET($H$3,0,0,'Données projet'!$E$18+1,1))</f>
        <v>261.22357949323879</v>
      </c>
      <c r="HA38" s="59">
        <f t="shared" si="52"/>
        <v>163.41029152029387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2.8903504480808535</v>
      </c>
      <c r="HI38" s="21">
        <f>EXP(-LN(2)/2)*HI37+(1-EXP(-LN(2)/2))/(LN(2)/2)*HC38*HF38*VLOOKUP('Données projet'!$B$18,Paramètres!$A$1:$I$89,3,0)*0.475*44/12</f>
        <v>1.1695898707642345</v>
      </c>
      <c r="HJ38" s="22">
        <f t="shared" si="30"/>
        <v>4.0599403188450882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237.22177246688199</v>
      </c>
      <c r="T39" s="59">
        <f t="shared" si="34"/>
        <v>149.27472147904302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159.59999999999988</v>
      </c>
      <c r="AJ39" s="13">
        <f>AI39*VLOOKUP('Données projet'!$B$10,Paramètres!$A$1:$I$89,3,0)*VLOOKUP('Données projet'!$B$10,Paramètres!$A$1:$I$89,5,0)</f>
        <v>139.42655999999991</v>
      </c>
      <c r="AK39" s="13">
        <f t="shared" si="35"/>
        <v>36.165607079455789</v>
      </c>
      <c r="AL39" s="20">
        <f t="shared" si="4"/>
        <v>305.82302433005196</v>
      </c>
      <c r="AM39" s="59">
        <f t="shared" si="5"/>
        <v>599.15635766338528</v>
      </c>
      <c r="AN39" s="59">
        <f ca="1">AVERAGE(OFFSET($AM$3,0,0,'Données projet'!$E$10+1,1))-AVERAGE(OFFSET($H$3,0,0,'Données projet'!$E$10+1,1))</f>
        <v>210.07838338464626</v>
      </c>
      <c r="AO39" s="59">
        <f t="shared" si="36"/>
        <v>241.76003724236273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4.7063972026734486</v>
      </c>
      <c r="AV39" s="21">
        <f>EXP(-LN(2)/25)*AV38+(1-EXP(-LN(2)/25))/(LN(2)/25)*Calculateur!AQ39*Calculateur!AS39*VLOOKUP('Données projet'!$B$10,Paramètres!$A$1:$I$89,3,0)*0.475*44/12</f>
        <v>11.481787628001593</v>
      </c>
      <c r="AW39" s="21">
        <f>EXP(-LN(2)/2)*AW38+(1-EXP(-LN(2)/2))/(LN(2)/2)*AQ39*AT39*VLOOKUP('Données projet'!$B$10,Paramètres!$A$1:$I$89,3,0)*0.475*44/12</f>
        <v>1.9964280588561556</v>
      </c>
      <c r="AX39" s="21">
        <f t="shared" si="6"/>
        <v>18.184612889531198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13.3</v>
      </c>
      <c r="BD39" s="12">
        <f>IF('Données projet'!$A$88&gt;35,BD38+BC39-BL38,IF(A39&lt;'Données projet'!$A$88,$BA$205^A39,IF(A39='Données projet'!$A$88,'Données projet'!$B$88,BD38+BC39-BL38)))</f>
        <v>229.80000000000013</v>
      </c>
      <c r="BE39" s="13">
        <f>BD39*VLOOKUP('Données projet'!$B$11,Paramètres!$A$1:$I$89,3,0)*VLOOKUP('Données projet'!$B$11,Paramètres!$A$1:$I$89,5,0)</f>
        <v>143.39520000000007</v>
      </c>
      <c r="BF39" s="13">
        <f t="shared" si="37"/>
        <v>37.073710117899822</v>
      </c>
      <c r="BG39" s="20">
        <f t="shared" si="7"/>
        <v>314.31668512200895</v>
      </c>
      <c r="BH39" s="59">
        <f t="shared" si="8"/>
        <v>607.65001845534221</v>
      </c>
      <c r="BI39" s="59">
        <f ca="1">AVERAGE(OFFSET($BH$3,0,0,'Données projet'!$E$11+1,1))-AVERAGE(OFFSET($H$3,0,0,'Données projet'!$E$11+1,1))</f>
        <v>209.93608079129638</v>
      </c>
      <c r="BJ39" s="59">
        <f t="shared" si="38"/>
        <v>240.15652428700969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6.1742909394728347</v>
      </c>
      <c r="BQ39" s="21">
        <f>EXP(-LN(2)/25)*BQ38+(1-EXP(-LN(2)/25))/(LN(2)/25)*Calculateur!BL39*Calculateur!BN39*VLOOKUP('Données projet'!$B$11,Paramètres!$A$1:$I$89,3,0)*0.475*44/12</f>
        <v>17.602064040498092</v>
      </c>
      <c r="BR39" s="21">
        <f>EXP(-LN(2)/2)*BR38+(1-EXP(-LN(2)/2))/(LN(2)/2)*BL39*BO39*VLOOKUP('Données projet'!$B$11,Paramètres!$A$1:$I$89,3,0)*0.475*44/12</f>
        <v>2.5238519379643867</v>
      </c>
      <c r="BS39" s="22">
        <f t="shared" si="9"/>
        <v>26.300206917935313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10.000000000000004</v>
      </c>
      <c r="BY39" s="12">
        <f>IF('Données projet'!$A$114&gt;35,BY38+BX39-CG38,IF(A39&lt;'Données projet'!$A$114,$BV$205^A39,IF(A39='Données projet'!$A$114,'Données projet'!$B$114,BY38+BX39-CG38)))</f>
        <v>251.59999999999988</v>
      </c>
      <c r="BZ39" s="13">
        <f>BY39*VLOOKUP('Données projet'!$B$12,Paramètres!$A$1:$I$89,3,0)*VLOOKUP('Données projet'!$B$12,Paramètres!$A$1:$I$89,5,0)</f>
        <v>117.74879999999995</v>
      </c>
      <c r="CA39" s="13">
        <f t="shared" si="39"/>
        <v>31.149366548366</v>
      </c>
      <c r="CB39" s="20">
        <f t="shared" si="10"/>
        <v>259.33097340507067</v>
      </c>
      <c r="CC39" s="59">
        <f t="shared" si="11"/>
        <v>552.66430673840398</v>
      </c>
      <c r="CD39" s="59">
        <f ca="1">AVERAGE(OFFSET($CC$3,0,0,'Données projet'!$E$12+1,1))-AVERAGE(OFFSET($H$3,0,0,'Données projet'!$E$12+1,1))</f>
        <v>215.23235148064941</v>
      </c>
      <c r="CE39" s="59">
        <f t="shared" si="40"/>
        <v>184.07239726900434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2.7833924065534239</v>
      </c>
      <c r="CL39" s="21">
        <f>EXP(-LN(2)/25)*CL38+(1-EXP(-LN(2)/25))/(LN(2)/25)*Calculateur!CG39*Calculateur!CI39*VLOOKUP('Données projet'!$B$12,Paramètres!$A$1:$I$89,3,0)*0.475*44/12</f>
        <v>6.6515776181746933</v>
      </c>
      <c r="CM39" s="21">
        <f>EXP(-LN(2)/2)*CM38+(1-EXP(-LN(2)/2))/(LN(2)/2)*CG39*CJ39*VLOOKUP('Données projet'!$B$12,Paramètres!$A$1:$I$89,3,0)*0.475*44/12</f>
        <v>1.229022060036999</v>
      </c>
      <c r="CN39" s="22">
        <f t="shared" si="12"/>
        <v>10.663992084765116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8.1999999999999993</v>
      </c>
      <c r="CT39" s="12">
        <f>IF('Données projet'!$A$140&gt;35,CT38+CS39-DB38,IF(A39&lt;'Données projet'!$A$140,$CQ$205^A39,IF(A39='Données projet'!$A$140,'Données projet'!$B$140,CT38+CS39-DB38)))</f>
        <v>125.19999999999999</v>
      </c>
      <c r="CU39" s="17">
        <f>CT39*VLOOKUP('Données projet'!$B$13,Paramètres!$A$1:$I$89,3,0)*VLOOKUP('Données projet'!$B$13,Paramètres!$A$1:$I$89,5,0)</f>
        <v>126.9528</v>
      </c>
      <c r="CV39" s="13">
        <f t="shared" si="41"/>
        <v>33.291271832047542</v>
      </c>
      <c r="CW39" s="20">
        <f t="shared" si="13"/>
        <v>279.09175844081614</v>
      </c>
      <c r="CX39" s="59">
        <f t="shared" si="14"/>
        <v>572.42509177414945</v>
      </c>
      <c r="CY39" s="59">
        <f ca="1">AVERAGE(OFFSET($CX$3,0,0,'Données projet'!$E$13+1,1))-AVERAGE(OFFSET($H$3,0,0,'Données projet'!$E$13+1,1))</f>
        <v>279.20364724206644</v>
      </c>
      <c r="CZ39" s="59">
        <f t="shared" si="42"/>
        <v>173.99850582760712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2.9473449693592788</v>
      </c>
      <c r="DH39" s="21">
        <f>EXP(-LN(2)/2)*DH38+(1-EXP(-LN(2)/2))/(LN(2)/2)*DB39*DE39*VLOOKUP('Données projet'!$B$13,Paramètres!$A$1:$I$89,3,0)*0.475*44/12</f>
        <v>0.86704226409018903</v>
      </c>
      <c r="DI39" s="22">
        <f t="shared" si="15"/>
        <v>3.8143872334494677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8.1999999999999993</v>
      </c>
      <c r="DO39" s="12">
        <f>IF('Données projet'!$A$166&gt;35,DO38+DN39-DW38,IF(A39&lt;'Données projet'!$A$166,$DL$205^A39,IF(A39='Données projet'!$A$166,'Données projet'!$B$166,DO38+DN39-DW38)))</f>
        <v>125.19999999999999</v>
      </c>
      <c r="DP39" s="17">
        <f>DO39*VLOOKUP('Données projet'!$B$14,Paramètres!$A$1:$I$89,3,0)*VLOOKUP('Données projet'!$B$14,Paramètres!$A$1:$I$89,5,0)</f>
        <v>130.85903999999999</v>
      </c>
      <c r="DQ39" s="13">
        <f t="shared" si="43"/>
        <v>34.194782101557983</v>
      </c>
      <c r="DR39" s="20">
        <f t="shared" si="16"/>
        <v>287.46874016021349</v>
      </c>
      <c r="DS39" s="59">
        <f t="shared" si="17"/>
        <v>580.8020734935468</v>
      </c>
      <c r="DT39" s="59">
        <f ca="1">AVERAGE(OFFSET($DS$3,0,0,'Données projet'!$E$14+1,1))-AVERAGE(OFFSET($H$3,0,0,'Données projet'!$E$14+1,1))</f>
        <v>291.18074901939718</v>
      </c>
      <c r="DU39" s="59">
        <f t="shared" si="44"/>
        <v>181.05123751753774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3.0380325068780265</v>
      </c>
      <c r="EC39" s="21">
        <f>EXP(-LN(2)/2)*EC38+(1-EXP(-LN(2)/2))/(LN(2)/2)*DW39*DZ39*VLOOKUP('Données projet'!$B$14,Paramètres!$A$1:$I$89,3,0)*0.475*44/12</f>
        <v>0.89372048760065681</v>
      </c>
      <c r="ED39" s="22">
        <f t="shared" si="18"/>
        <v>3.9317529944786833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12.833333333333334</v>
      </c>
      <c r="EJ39" s="12">
        <f>IF('Données projet'!$A$192&gt;35,EJ38+EI39-ER38,IF(A39&lt;'Données projet'!$A$192,$EG$205^A39,IF(A39='Données projet'!$A$192,'Données projet'!$B$192,EJ38+EI39-ER38)))</f>
        <v>223.66666666666671</v>
      </c>
      <c r="EK39" s="17">
        <f>EJ39*VLOOKUP('Données projet'!$B$15,Paramètres!$A$1:$I$89,3,0)*VLOOKUP('Données projet'!$B$15,Paramètres!$A$1:$I$89,5,0)</f>
        <v>133.75266666666673</v>
      </c>
      <c r="EL39" s="13">
        <f t="shared" si="45"/>
        <v>34.86204901776788</v>
      </c>
      <c r="EM39" s="20">
        <f t="shared" si="19"/>
        <v>293.67062981705698</v>
      </c>
      <c r="EN39" s="59">
        <f t="shared" si="20"/>
        <v>587.00396315039029</v>
      </c>
      <c r="EO39" s="59">
        <f ca="1">AVERAGE(OFFSET($EN$3,0,0,'Données projet'!$E$15+1,1))-AVERAGE(OFFSET($H$3,0,0,'Données projet'!$E$15+1,1))</f>
        <v>168.08890945052406</v>
      </c>
      <c r="EP39" s="59">
        <f t="shared" si="46"/>
        <v>182.52462557642343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5.5162606109796801</v>
      </c>
      <c r="EW39" s="21">
        <f>EXP(-LN(2)/25)*EW38+(1-EXP(-LN(2)/25))/(LN(2)/25)*Calculateur!ER39*Calculateur!ET39*VLOOKUP('Données projet'!$B$15,Paramètres!$A$1:$I$89,3,0)*0.475*44/12</f>
        <v>10.441116744137856</v>
      </c>
      <c r="EX39" s="21">
        <f>EXP(-LN(2)/2)*EX38+(1-EXP(-LN(2)/2))/(LN(2)/2)*ER39*EU39*VLOOKUP('Données projet'!$B$15,Paramètres!$A$1:$I$89,3,0)*0.475*44/12</f>
        <v>0.68071154675926904</v>
      </c>
      <c r="EY39" s="22">
        <f t="shared" si="21"/>
        <v>16.638088901876806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10.199999999999999</v>
      </c>
      <c r="FE39" s="12">
        <f>IF('Données projet'!$A$218&gt;35,FE38+FD39-FM38,IF(A39&lt;'Données projet'!$A$218,$FB$205^A39,IF(A39='Données projet'!$A$218,'Données projet'!$B$218,FE38+FD39-FM38)))</f>
        <v>179.1999999999999</v>
      </c>
      <c r="FF39" s="17">
        <f>FE39*VLOOKUP('Données projet'!$B$16,Paramètres!$A$1:$I$89,3,0)*VLOOKUP('Données projet'!$B$16,Paramètres!$A$1:$I$89,5,0)</f>
        <v>120.20735999999994</v>
      </c>
      <c r="FG39" s="13">
        <f t="shared" si="47"/>
        <v>31.72335774813088</v>
      </c>
      <c r="FH39" s="20">
        <f t="shared" si="22"/>
        <v>264.61266674466111</v>
      </c>
      <c r="FI39" s="59">
        <f t="shared" si="23"/>
        <v>557.94600007799443</v>
      </c>
      <c r="FJ39" s="59">
        <f ca="1">AVERAGE(OFFSET($FI$3,0,0,'Données projet'!$E$16+1,1))-AVERAGE(OFFSET($H$3,0,0,'Données projet'!$E$16+1,1))</f>
        <v>156.63226020379989</v>
      </c>
      <c r="FK39" s="59">
        <f t="shared" si="48"/>
        <v>196.0481096619543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7.3412484563170795</v>
      </c>
      <c r="FS39" s="21">
        <f>EXP(-LN(2)/2)*FS38+(1-EXP(-LN(2)/2))/(LN(2)/2)*FM39*FP39*VLOOKUP('Données projet'!$B$16,Paramètres!$A$1:$I$89,3,0)*0.475*44/12</f>
        <v>1.1341838502658554</v>
      </c>
      <c r="FT39" s="22">
        <f t="shared" si="24"/>
        <v>8.4754323065829347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13.7</v>
      </c>
      <c r="FZ39" s="12">
        <f>IF('Données projet'!$A$244&gt;35,FZ38+FY39-GH38,IF(A39&lt;'Données projet'!$A$244,$FW$205^A39,IF(A39='Données projet'!$A$244,'Données projet'!$B$244,FZ38+FY39-GH38)))</f>
        <v>230.19999999999993</v>
      </c>
      <c r="GA39" s="17">
        <f>FZ39*VLOOKUP('Données projet'!$B$17,Paramètres!$A$1:$I$89,3,0)*VLOOKUP('Données projet'!$B$17,Paramètres!$A$1:$I$89,5,0)</f>
        <v>137.65959999999995</v>
      </c>
      <c r="GB39" s="13">
        <f t="shared" si="49"/>
        <v>35.760327802577585</v>
      </c>
      <c r="GC39" s="20">
        <f t="shared" si="25"/>
        <v>302.03970758948918</v>
      </c>
      <c r="GD39" s="59">
        <f t="shared" si="26"/>
        <v>595.3730409228225</v>
      </c>
      <c r="GE39" s="59">
        <f ca="1">AVERAGE(OFFSET($GD$3,0,0,'Données projet'!$E$17+1,1))-AVERAGE(OFFSET($H$3,0,0,'Données projet'!$E$17+1,1))</f>
        <v>216.94426559495264</v>
      </c>
      <c r="GF39" s="59">
        <f t="shared" si="50"/>
        <v>225.33715877618704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10.880053679839875</v>
      </c>
      <c r="GN39" s="21">
        <f>EXP(-LN(2)/2)*GN38+(1-EXP(-LN(2)/2))/(LN(2)/2)*GH39*GK39*VLOOKUP('Données projet'!$B$17,Paramètres!$A$1:$I$89,3,0)*0.475*44/12</f>
        <v>2.9661699842273714</v>
      </c>
      <c r="GO39" s="21">
        <f t="shared" si="27"/>
        <v>13.846223664067246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8.1999999999999993</v>
      </c>
      <c r="GU39" s="12">
        <f>IF('Données projet'!$A$270&gt;35,GU38+GT39-HC38,IF(A39&lt;'Données projet'!$A$270,$GR$205^A39,IF(A39='Données projet'!$A$270,'Données projet'!$B$270,GU38+GT39-HC38)))</f>
        <v>125.19999999999999</v>
      </c>
      <c r="GV39" s="17">
        <f>GU39*VLOOKUP('Données projet'!$B$18,Paramètres!$A$1:$I$89,3,0)*VLOOKUP('Données projet'!$B$18,Paramètres!$A$1:$I$89,5,0)</f>
        <v>121.09344</v>
      </c>
      <c r="GW39" s="13">
        <f t="shared" si="51"/>
        <v>31.929891428732152</v>
      </c>
      <c r="GX39" s="20">
        <f t="shared" si="28"/>
        <v>266.51563557170846</v>
      </c>
      <c r="GY39" s="59">
        <f t="shared" si="29"/>
        <v>559.84896890504183</v>
      </c>
      <c r="GZ39" s="59">
        <f ca="1">AVERAGE(OFFSET($GY$3,0,0,'Données projet'!$E$18+1,1))-AVERAGE(OFFSET($H$3,0,0,'Données projet'!$E$18+1,1))</f>
        <v>261.22357949323879</v>
      </c>
      <c r="HA39" s="59">
        <f t="shared" si="52"/>
        <v>163.41029152029387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2.8113136630811586</v>
      </c>
      <c r="HI39" s="21">
        <f>EXP(-LN(2)/2)*HI38+(1-EXP(-LN(2)/2))/(LN(2)/2)*HC39*HF39*VLOOKUP('Données projet'!$B$18,Paramètres!$A$1:$I$89,3,0)*0.475*44/12</f>
        <v>0.82702492882448797</v>
      </c>
      <c r="HJ39" s="22">
        <f t="shared" si="30"/>
        <v>3.6383385919056463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237.22177246688199</v>
      </c>
      <c r="T40" s="59">
        <f t="shared" si="34"/>
        <v>149.27472147904302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167.69999999999987</v>
      </c>
      <c r="AJ40" s="13">
        <f>AI40*VLOOKUP('Données projet'!$B$10,Paramètres!$A$1:$I$89,3,0)*VLOOKUP('Données projet'!$B$10,Paramètres!$A$1:$I$89,5,0)</f>
        <v>146.5027199999999</v>
      </c>
      <c r="AK40" s="13">
        <f t="shared" si="35"/>
        <v>37.782728258994219</v>
      </c>
      <c r="AL40" s="20">
        <f t="shared" si="4"/>
        <v>320.9638223844147</v>
      </c>
      <c r="AM40" s="59">
        <f t="shared" si="5"/>
        <v>614.29715571774796</v>
      </c>
      <c r="AN40" s="59">
        <f ca="1">AVERAGE(OFFSET($AM$3,0,0,'Données projet'!$E$10+1,1))-AVERAGE(OFFSET($H$3,0,0,'Données projet'!$E$10+1,1))</f>
        <v>210.07838338464626</v>
      </c>
      <c r="AO40" s="59">
        <f t="shared" si="36"/>
        <v>241.76003724236273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4.6141076241478656</v>
      </c>
      <c r="AV40" s="21">
        <f>EXP(-LN(2)/25)*AV39+(1-EXP(-LN(2)/25))/(LN(2)/25)*Calculateur!AQ40*Calculateur!AS40*VLOOKUP('Données projet'!$B$10,Paramètres!$A$1:$I$89,3,0)*0.475*44/12</f>
        <v>11.167817541512919</v>
      </c>
      <c r="AW40" s="21">
        <f>EXP(-LN(2)/2)*AW39+(1-EXP(-LN(2)/2))/(LN(2)/2)*AQ40*AT40*VLOOKUP('Données projet'!$B$10,Paramètres!$A$1:$I$89,3,0)*0.475*44/12</f>
        <v>1.4116878185682835</v>
      </c>
      <c r="AX40" s="21">
        <f t="shared" si="6"/>
        <v>17.193612984229066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13.3</v>
      </c>
      <c r="BD40" s="12">
        <f>IF('Données projet'!$A$88&gt;35,BD39+BC40-BL39,IF(A40&lt;'Données projet'!$A$88,$BA$205^A40,IF(A40='Données projet'!$A$88,'Données projet'!$B$88,BD39+BC40-BL39)))</f>
        <v>243.10000000000014</v>
      </c>
      <c r="BE40" s="13">
        <f>BD40*VLOOKUP('Données projet'!$B$11,Paramètres!$A$1:$I$89,3,0)*VLOOKUP('Données projet'!$B$11,Paramètres!$A$1:$I$89,5,0)</f>
        <v>151.69440000000009</v>
      </c>
      <c r="BF40" s="13">
        <f t="shared" si="37"/>
        <v>38.963392010880654</v>
      </c>
      <c r="BG40" s="20">
        <f t="shared" si="7"/>
        <v>332.06232108561727</v>
      </c>
      <c r="BH40" s="59">
        <f t="shared" si="8"/>
        <v>625.39565441895058</v>
      </c>
      <c r="BI40" s="59">
        <f ca="1">AVERAGE(OFFSET($BH$3,0,0,'Données projet'!$E$11+1,1))-AVERAGE(OFFSET($H$3,0,0,'Données projet'!$E$11+1,1))</f>
        <v>209.93608079129638</v>
      </c>
      <c r="BJ40" s="59">
        <f t="shared" si="38"/>
        <v>240.15652428700969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6.0532168600953895</v>
      </c>
      <c r="BQ40" s="21">
        <f>EXP(-LN(2)/25)*BQ39+(1-EXP(-LN(2)/25))/(LN(2)/25)*Calculateur!BL40*Calculateur!BN40*VLOOKUP('Données projet'!$B$11,Paramètres!$A$1:$I$89,3,0)*0.475*44/12</f>
        <v>17.120734673658355</v>
      </c>
      <c r="BR40" s="21">
        <f>EXP(-LN(2)/2)*BR39+(1-EXP(-LN(2)/2))/(LN(2)/2)*BL40*BO40*VLOOKUP('Données projet'!$B$11,Paramètres!$A$1:$I$89,3,0)*0.475*44/12</f>
        <v>1.7846328200454276</v>
      </c>
      <c r="BS40" s="22">
        <f t="shared" si="9"/>
        <v>24.958584353799171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10.000000000000004</v>
      </c>
      <c r="BY40" s="12">
        <f>IF('Données projet'!$A$114&gt;35,BY39+BX40-CG39,IF(A40&lt;'Données projet'!$A$114,$BV$205^A40,IF(A40='Données projet'!$A$114,'Données projet'!$B$114,BY39+BX40-CG39)))</f>
        <v>261.59999999999991</v>
      </c>
      <c r="BZ40" s="13">
        <f>BY40*VLOOKUP('Données projet'!$B$12,Paramètres!$A$1:$I$89,3,0)*VLOOKUP('Données projet'!$B$12,Paramètres!$A$1:$I$89,5,0)</f>
        <v>122.42879999999995</v>
      </c>
      <c r="CA40" s="13">
        <f t="shared" si="39"/>
        <v>32.240814688958388</v>
      </c>
      <c r="CB40" s="20">
        <f t="shared" si="10"/>
        <v>269.38291224993577</v>
      </c>
      <c r="CC40" s="59">
        <f t="shared" si="11"/>
        <v>562.71624558326903</v>
      </c>
      <c r="CD40" s="59">
        <f ca="1">AVERAGE(OFFSET($CC$3,0,0,'Données projet'!$E$12+1,1))-AVERAGE(OFFSET($H$3,0,0,'Données projet'!$E$12+1,1))</f>
        <v>215.23235148064941</v>
      </c>
      <c r="CE40" s="59">
        <f t="shared" si="40"/>
        <v>184.07239726900434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2.7288117791626449</v>
      </c>
      <c r="CL40" s="21">
        <f>EXP(-LN(2)/25)*CL39+(1-EXP(-LN(2)/25))/(LN(2)/25)*Calculateur!CG40*Calculateur!CI40*VLOOKUP('Données projet'!$B$12,Paramètres!$A$1:$I$89,3,0)*0.475*44/12</f>
        <v>6.4696898784144414</v>
      </c>
      <c r="CM40" s="21">
        <f>EXP(-LN(2)/2)*CM39+(1-EXP(-LN(2)/2))/(LN(2)/2)*CG40*CJ40*VLOOKUP('Données projet'!$B$12,Paramètres!$A$1:$I$89,3,0)*0.475*44/12</f>
        <v>0.86904983288002213</v>
      </c>
      <c r="CN40" s="22">
        <f t="shared" si="12"/>
        <v>10.067551490457108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8.1999999999999993</v>
      </c>
      <c r="CT40" s="12">
        <f>IF('Données projet'!$A$140&gt;35,CT39+CS40-DB39,IF(A40&lt;'Données projet'!$A$140,$CQ$205^A40,IF(A40='Données projet'!$A$140,'Données projet'!$B$140,CT39+CS40-DB39)))</f>
        <v>133.39999999999998</v>
      </c>
      <c r="CU40" s="17">
        <f>CT40*VLOOKUP('Données projet'!$B$13,Paramètres!$A$1:$I$89,3,0)*VLOOKUP('Données projet'!$B$13,Paramètres!$A$1:$I$89,5,0)</f>
        <v>135.26759999999999</v>
      </c>
      <c r="CV40" s="13">
        <f t="shared" si="41"/>
        <v>35.210718959789133</v>
      </c>
      <c r="CW40" s="20">
        <f t="shared" si="13"/>
        <v>296.91640552163273</v>
      </c>
      <c r="CX40" s="59">
        <f t="shared" si="14"/>
        <v>590.24973885496604</v>
      </c>
      <c r="CY40" s="59">
        <f ca="1">AVERAGE(OFFSET($CX$3,0,0,'Données projet'!$E$13+1,1))-AVERAGE(OFFSET($H$3,0,0,'Données projet'!$E$13+1,1))</f>
        <v>279.20364724206644</v>
      </c>
      <c r="CZ40" s="59">
        <f t="shared" si="42"/>
        <v>173.99850582760712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2.8667496661780136</v>
      </c>
      <c r="DH40" s="21">
        <f>EXP(-LN(2)/2)*DH39+(1-EXP(-LN(2)/2))/(LN(2)/2)*DB40*DE40*VLOOKUP('Données projet'!$B$13,Paramètres!$A$1:$I$89,3,0)*0.475*44/12</f>
        <v>0.61309146451351004</v>
      </c>
      <c r="DI40" s="22">
        <f t="shared" si="15"/>
        <v>3.4798411306915238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8.1999999999999993</v>
      </c>
      <c r="DO40" s="12">
        <f>IF('Données projet'!$A$166&gt;35,DO39+DN40-DW39,IF(A40&lt;'Données projet'!$A$166,$DL$205^A40,IF(A40='Données projet'!$A$166,'Données projet'!$B$166,DO39+DN40-DW39)))</f>
        <v>133.39999999999998</v>
      </c>
      <c r="DP40" s="17">
        <f>DO40*VLOOKUP('Données projet'!$B$14,Paramètres!$A$1:$I$89,3,0)*VLOOKUP('Données projet'!$B$14,Paramètres!$A$1:$I$89,5,0)</f>
        <v>139.42967999999999</v>
      </c>
      <c r="DQ40" s="13">
        <f t="shared" si="43"/>
        <v>36.166322168267101</v>
      </c>
      <c r="DR40" s="20">
        <f t="shared" si="16"/>
        <v>305.8297037763985</v>
      </c>
      <c r="DS40" s="59">
        <f t="shared" si="17"/>
        <v>599.16303710973182</v>
      </c>
      <c r="DT40" s="59">
        <f ca="1">AVERAGE(OFFSET($DS$3,0,0,'Données projet'!$E$14+1,1))-AVERAGE(OFFSET($H$3,0,0,'Données projet'!$E$14+1,1))</f>
        <v>291.18074901939718</v>
      </c>
      <c r="DU40" s="59">
        <f t="shared" si="44"/>
        <v>181.05123751753774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2.9549573482142608</v>
      </c>
      <c r="EC40" s="21">
        <f>EXP(-LN(2)/2)*EC39+(1-EXP(-LN(2)/2))/(LN(2)/2)*DW40*DZ40*VLOOKUP('Données projet'!$B$14,Paramètres!$A$1:$I$89,3,0)*0.475*44/12</f>
        <v>0.63195581726777228</v>
      </c>
      <c r="ED40" s="22">
        <f t="shared" si="18"/>
        <v>3.586913165482033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12.833333333333334</v>
      </c>
      <c r="EJ40" s="12">
        <f>IF('Données projet'!$A$192&gt;35,EJ39+EI40-ER39,IF(A40&lt;'Données projet'!$A$192,$EG$205^A40,IF(A40='Données projet'!$A$192,'Données projet'!$B$192,EJ39+EI40-ER39)))</f>
        <v>236.50000000000006</v>
      </c>
      <c r="EK40" s="17">
        <f>EJ40*VLOOKUP('Données projet'!$B$15,Paramètres!$A$1:$I$89,3,0)*VLOOKUP('Données projet'!$B$15,Paramètres!$A$1:$I$89,5,0)</f>
        <v>141.42700000000005</v>
      </c>
      <c r="EL40" s="13">
        <f t="shared" si="45"/>
        <v>36.623717959686019</v>
      </c>
      <c r="EM40" s="20">
        <f t="shared" si="19"/>
        <v>310.10500044645323</v>
      </c>
      <c r="EN40" s="59">
        <f t="shared" si="20"/>
        <v>603.43833377978649</v>
      </c>
      <c r="EO40" s="59">
        <f ca="1">AVERAGE(OFFSET($EN$3,0,0,'Données projet'!$E$15+1,1))-AVERAGE(OFFSET($H$3,0,0,'Données projet'!$E$15+1,1))</f>
        <v>168.08890945052406</v>
      </c>
      <c r="EP40" s="59">
        <f t="shared" si="46"/>
        <v>182.52462557642343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5.4080901049851162</v>
      </c>
      <c r="EW40" s="21">
        <f>EXP(-LN(2)/25)*EW39+(1-EXP(-LN(2)/25))/(LN(2)/25)*Calculateur!ER40*Calculateur!ET40*VLOOKUP('Données projet'!$B$15,Paramètres!$A$1:$I$89,3,0)*0.475*44/12</f>
        <v>10.15560385769494</v>
      </c>
      <c r="EX40" s="21">
        <f>EXP(-LN(2)/2)*EX39+(1-EXP(-LN(2)/2))/(LN(2)/2)*ER40*EU40*VLOOKUP('Données projet'!$B$15,Paramètres!$A$1:$I$89,3,0)*0.475*44/12</f>
        <v>0.48133575074546281</v>
      </c>
      <c r="EY40" s="22">
        <f t="shared" si="21"/>
        <v>16.045029713425517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10.199999999999999</v>
      </c>
      <c r="FE40" s="12">
        <f>IF('Données projet'!$A$218&gt;35,FE39+FD40-FM39,IF(A40&lt;'Données projet'!$A$218,$FB$205^A40,IF(A40='Données projet'!$A$218,'Données projet'!$B$218,FE39+FD40-FM39)))</f>
        <v>189.39999999999989</v>
      </c>
      <c r="FF40" s="17">
        <f>FE40*VLOOKUP('Données projet'!$B$16,Paramètres!$A$1:$I$89,3,0)*VLOOKUP('Données projet'!$B$16,Paramètres!$A$1:$I$89,5,0)</f>
        <v>127.04951999999993</v>
      </c>
      <c r="FG40" s="13">
        <f t="shared" si="47"/>
        <v>33.313681779925446</v>
      </c>
      <c r="FH40" s="20">
        <f t="shared" si="22"/>
        <v>279.29924310003668</v>
      </c>
      <c r="FI40" s="59">
        <f t="shared" si="23"/>
        <v>572.63257643336999</v>
      </c>
      <c r="FJ40" s="59">
        <f ca="1">AVERAGE(OFFSET($FI$3,0,0,'Données projet'!$E$16+1,1))-AVERAGE(OFFSET($H$3,0,0,'Données projet'!$E$16+1,1))</f>
        <v>156.63226020379989</v>
      </c>
      <c r="FK40" s="59">
        <f t="shared" si="48"/>
        <v>196.0481096619543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7.1405016312196112</v>
      </c>
      <c r="FS40" s="21">
        <f>EXP(-LN(2)/2)*FS39+(1-EXP(-LN(2)/2))/(LN(2)/2)*FM40*FP40*VLOOKUP('Données projet'!$B$16,Paramètres!$A$1:$I$89,3,0)*0.475*44/12</f>
        <v>0.80198909163525423</v>
      </c>
      <c r="FT40" s="22">
        <f t="shared" si="24"/>
        <v>7.9424907228548651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13.7</v>
      </c>
      <c r="FZ40" s="12">
        <f>IF('Données projet'!$A$244&gt;35,FZ39+FY40-GH39,IF(A40&lt;'Données projet'!$A$244,$FW$205^A40,IF(A40='Données projet'!$A$244,'Données projet'!$B$244,FZ39+FY40-GH39)))</f>
        <v>243.89999999999992</v>
      </c>
      <c r="GA40" s="17">
        <f>FZ40*VLOOKUP('Données projet'!$B$17,Paramètres!$A$1:$I$89,3,0)*VLOOKUP('Données projet'!$B$17,Paramètres!$A$1:$I$89,5,0)</f>
        <v>145.85219999999998</v>
      </c>
      <c r="GB40" s="13">
        <f t="shared" si="49"/>
        <v>37.634450370795903</v>
      </c>
      <c r="GC40" s="20">
        <f t="shared" si="25"/>
        <v>319.57258272913612</v>
      </c>
      <c r="GD40" s="59">
        <f t="shared" si="26"/>
        <v>612.90591606246949</v>
      </c>
      <c r="GE40" s="59">
        <f ca="1">AVERAGE(OFFSET($GD$3,0,0,'Données projet'!$E$17+1,1))-AVERAGE(OFFSET($H$3,0,0,'Données projet'!$E$17+1,1))</f>
        <v>216.94426559495264</v>
      </c>
      <c r="GF40" s="59">
        <f t="shared" si="50"/>
        <v>225.33715877618704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10.582538039807497</v>
      </c>
      <c r="GN40" s="21">
        <f>EXP(-LN(2)/2)*GN39+(1-EXP(-LN(2)/2))/(LN(2)/2)*GH40*GK40*VLOOKUP('Données projet'!$B$17,Paramètres!$A$1:$I$89,3,0)*0.475*44/12</f>
        <v>2.097398909999169</v>
      </c>
      <c r="GO40" s="21">
        <f t="shared" si="27"/>
        <v>12.679936949806667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8.1999999999999993</v>
      </c>
      <c r="GU40" s="12">
        <f>IF('Données projet'!$A$270&gt;35,GU39+GT40-HC39,IF(A40&lt;'Données projet'!$A$270,$GR$205^A40,IF(A40='Données projet'!$A$270,'Données projet'!$B$270,GU39+GT40-HC39)))</f>
        <v>133.39999999999998</v>
      </c>
      <c r="GV40" s="17">
        <f>GU40*VLOOKUP('Données projet'!$B$18,Paramètres!$A$1:$I$89,3,0)*VLOOKUP('Données projet'!$B$18,Paramètres!$A$1:$I$89,5,0)</f>
        <v>129.02447999999998</v>
      </c>
      <c r="GW40" s="13">
        <f t="shared" si="51"/>
        <v>33.770846580616251</v>
      </c>
      <c r="GX40" s="20">
        <f t="shared" si="28"/>
        <v>283.53519379457327</v>
      </c>
      <c r="GY40" s="59">
        <f t="shared" si="29"/>
        <v>576.86852712790665</v>
      </c>
      <c r="GZ40" s="59">
        <f ca="1">AVERAGE(OFFSET($GY$3,0,0,'Données projet'!$E$18+1,1))-AVERAGE(OFFSET($H$3,0,0,'Données projet'!$E$18+1,1))</f>
        <v>261.22357949323879</v>
      </c>
      <c r="HA40" s="59">
        <f t="shared" si="52"/>
        <v>163.41029152029387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2.734438143123644</v>
      </c>
      <c r="HI40" s="21">
        <f>EXP(-LN(2)/2)*HI39+(1-EXP(-LN(2)/2))/(LN(2)/2)*HC40*HF40*VLOOKUP('Données projet'!$B$18,Paramètres!$A$1:$I$89,3,0)*0.475*44/12</f>
        <v>0.58479493538211724</v>
      </c>
      <c r="HJ40" s="22">
        <f t="shared" si="30"/>
        <v>3.3192330785057611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237.22177246688199</v>
      </c>
      <c r="T41" s="59">
        <f t="shared" si="34"/>
        <v>149.27472147904302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175.79999999999987</v>
      </c>
      <c r="AJ41" s="13">
        <f>AI41*VLOOKUP('Données projet'!$B$10,Paramètres!$A$1:$I$89,3,0)*VLOOKUP('Données projet'!$B$10,Paramètres!$A$1:$I$89,5,0)</f>
        <v>153.57887999999991</v>
      </c>
      <c r="AK41" s="13">
        <f t="shared" si="35"/>
        <v>39.390779474606113</v>
      </c>
      <c r="AL41" s="20">
        <f t="shared" si="4"/>
        <v>336.08882358493878</v>
      </c>
      <c r="AM41" s="59">
        <f t="shared" si="5"/>
        <v>629.42215691827209</v>
      </c>
      <c r="AN41" s="59">
        <f ca="1">AVERAGE(OFFSET($AM$3,0,0,'Données projet'!$E$10+1,1))-AVERAGE(OFFSET($H$3,0,0,'Données projet'!$E$10+1,1))</f>
        <v>210.07838338464626</v>
      </c>
      <c r="AO41" s="59">
        <f t="shared" si="36"/>
        <v>241.76003724236273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4.5236277879660847</v>
      </c>
      <c r="AV41" s="21">
        <f>EXP(-LN(2)/25)*AV40+(1-EXP(-LN(2)/25))/(LN(2)/25)*Calculateur!AQ41*Calculateur!AS41*VLOOKUP('Données projet'!$B$10,Paramètres!$A$1:$I$89,3,0)*0.475*44/12</f>
        <v>10.862432983550248</v>
      </c>
      <c r="AW41" s="21">
        <f>EXP(-LN(2)/2)*AW40+(1-EXP(-LN(2)/2))/(LN(2)/2)*AQ41*AT41*VLOOKUP('Données projet'!$B$10,Paramètres!$A$1:$I$89,3,0)*0.475*44/12</f>
        <v>0.99821402942807791</v>
      </c>
      <c r="AX41" s="21">
        <f t="shared" si="6"/>
        <v>16.384274800944411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13.3</v>
      </c>
      <c r="BD41" s="12">
        <f>IF('Données projet'!$A$88&gt;35,BD40+BC41-BL40,IF(A41&lt;'Données projet'!$A$88,$BA$205^A41,IF(A41='Données projet'!$A$88,'Données projet'!$B$88,BD40+BC41-BL40)))</f>
        <v>256.40000000000015</v>
      </c>
      <c r="BE41" s="13">
        <f>BD41*VLOOKUP('Données projet'!$B$11,Paramètres!$A$1:$I$89,3,0)*VLOOKUP('Données projet'!$B$11,Paramètres!$A$1:$I$89,5,0)</f>
        <v>159.99360000000007</v>
      </c>
      <c r="BF41" s="13">
        <f t="shared" si="37"/>
        <v>40.841071865470695</v>
      </c>
      <c r="BG41" s="20">
        <f t="shared" si="7"/>
        <v>349.78705349902822</v>
      </c>
      <c r="BH41" s="59">
        <f t="shared" si="8"/>
        <v>643.12038683236153</v>
      </c>
      <c r="BI41" s="59">
        <f ca="1">AVERAGE(OFFSET($BH$3,0,0,'Données projet'!$E$11+1,1))-AVERAGE(OFFSET($H$3,0,0,'Données projet'!$E$11+1,1))</f>
        <v>209.93608079129638</v>
      </c>
      <c r="BJ41" s="59">
        <f t="shared" si="38"/>
        <v>240.15652428700969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5.9345169695666389</v>
      </c>
      <c r="BQ41" s="21">
        <f>EXP(-LN(2)/25)*BQ40+(1-EXP(-LN(2)/25))/(LN(2)/25)*Calculateur!BL41*Calculateur!BN41*VLOOKUP('Données projet'!$B$11,Paramètres!$A$1:$I$89,3,0)*0.475*44/12</f>
        <v>16.652567283666862</v>
      </c>
      <c r="BR41" s="21">
        <f>EXP(-LN(2)/2)*BR40+(1-EXP(-LN(2)/2))/(LN(2)/2)*BL41*BO41*VLOOKUP('Données projet'!$B$11,Paramètres!$A$1:$I$89,3,0)*0.475*44/12</f>
        <v>1.2619259689821936</v>
      </c>
      <c r="BS41" s="22">
        <f t="shared" si="9"/>
        <v>23.849010222215693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10.000000000000004</v>
      </c>
      <c r="BY41" s="12">
        <f>IF('Données projet'!$A$114&gt;35,BY40+BX41-CG40,IF(A41&lt;'Données projet'!$A$114,$BV$205^A41,IF(A41='Données projet'!$A$114,'Données projet'!$B$114,BY40+BX41-CG40)))</f>
        <v>271.59999999999991</v>
      </c>
      <c r="BZ41" s="13">
        <f>BY41*VLOOKUP('Données projet'!$B$12,Paramètres!$A$1:$I$89,3,0)*VLOOKUP('Données projet'!$B$12,Paramètres!$A$1:$I$89,5,0)</f>
        <v>127.10879999999996</v>
      </c>
      <c r="CA41" s="13">
        <f t="shared" si="39"/>
        <v>33.32741592766736</v>
      </c>
      <c r="CB41" s="20">
        <f t="shared" si="10"/>
        <v>279.4264094073539</v>
      </c>
      <c r="CC41" s="59">
        <f t="shared" si="11"/>
        <v>572.75974274068722</v>
      </c>
      <c r="CD41" s="59">
        <f ca="1">AVERAGE(OFFSET($CC$3,0,0,'Données projet'!$E$12+1,1))-AVERAGE(OFFSET($H$3,0,0,'Données projet'!$E$12+1,1))</f>
        <v>215.23235148064941</v>
      </c>
      <c r="CE41" s="59">
        <f t="shared" si="40"/>
        <v>184.07239726900434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2.6753014445841039</v>
      </c>
      <c r="CL41" s="21">
        <f>EXP(-LN(2)/25)*CL40+(1-EXP(-LN(2)/25))/(LN(2)/25)*Calculateur!CG41*Calculateur!CI41*VLOOKUP('Données projet'!$B$12,Paramètres!$A$1:$I$89,3,0)*0.475*44/12</f>
        <v>6.2927758684629946</v>
      </c>
      <c r="CM41" s="21">
        <f>EXP(-LN(2)/2)*CM40+(1-EXP(-LN(2)/2))/(LN(2)/2)*CG41*CJ41*VLOOKUP('Données projet'!$B$12,Paramètres!$A$1:$I$89,3,0)*0.475*44/12</f>
        <v>0.61451103001849949</v>
      </c>
      <c r="CN41" s="22">
        <f t="shared" si="12"/>
        <v>9.5825883430655985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8.1999999999999993</v>
      </c>
      <c r="CT41" s="12">
        <f>IF('Données projet'!$A$140&gt;35,CT40+CS41-DB40,IF(A41&lt;'Données projet'!$A$140,$CQ$205^A41,IF(A41='Données projet'!$A$140,'Données projet'!$B$140,CT40+CS41-DB40)))</f>
        <v>141.59999999999997</v>
      </c>
      <c r="CU41" s="17">
        <f>CT41*VLOOKUP('Données projet'!$B$13,Paramètres!$A$1:$I$89,3,0)*VLOOKUP('Données projet'!$B$13,Paramètres!$A$1:$I$89,5,0)</f>
        <v>143.58239999999998</v>
      </c>
      <c r="CV41" s="13">
        <f t="shared" si="41"/>
        <v>37.116472314400653</v>
      </c>
      <c r="CW41" s="20">
        <f t="shared" si="13"/>
        <v>314.71720261424775</v>
      </c>
      <c r="CX41" s="59">
        <f t="shared" si="14"/>
        <v>608.05053594758101</v>
      </c>
      <c r="CY41" s="59">
        <f ca="1">AVERAGE(OFFSET($CX$3,0,0,'Données projet'!$E$13+1,1))-AVERAGE(OFFSET($H$3,0,0,'Données projet'!$E$13+1,1))</f>
        <v>279.20364724206644</v>
      </c>
      <c r="CZ41" s="59">
        <f t="shared" si="42"/>
        <v>173.99850582760712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2.7883582458005631</v>
      </c>
      <c r="DH41" s="21">
        <f>EXP(-LN(2)/2)*DH40+(1-EXP(-LN(2)/2))/(LN(2)/2)*DB41*DE41*VLOOKUP('Données projet'!$B$13,Paramètres!$A$1:$I$89,3,0)*0.475*44/12</f>
        <v>0.43352113204509451</v>
      </c>
      <c r="DI41" s="22">
        <f t="shared" si="15"/>
        <v>3.2218793778456578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8.1999999999999993</v>
      </c>
      <c r="DO41" s="12">
        <f>IF('Données projet'!$A$166&gt;35,DO40+DN41-DW40,IF(A41&lt;'Données projet'!$A$166,$DL$205^A41,IF(A41='Données projet'!$A$166,'Données projet'!$B$166,DO40+DN41-DW40)))</f>
        <v>141.59999999999997</v>
      </c>
      <c r="DP41" s="17">
        <f>DO41*VLOOKUP('Données projet'!$B$14,Paramètres!$A$1:$I$89,3,0)*VLOOKUP('Données projet'!$B$14,Paramètres!$A$1:$I$89,5,0)</f>
        <v>148.00031999999999</v>
      </c>
      <c r="DQ41" s="13">
        <f t="shared" si="43"/>
        <v>38.123796818950815</v>
      </c>
      <c r="DR41" s="20">
        <f t="shared" si="16"/>
        <v>324.1661701263393</v>
      </c>
      <c r="DS41" s="59">
        <f t="shared" si="17"/>
        <v>617.49950345967261</v>
      </c>
      <c r="DT41" s="59">
        <f ca="1">AVERAGE(OFFSET($DS$3,0,0,'Données projet'!$E$14+1,1))-AVERAGE(OFFSET($H$3,0,0,'Données projet'!$E$14+1,1))</f>
        <v>291.18074901939718</v>
      </c>
      <c r="DU41" s="59">
        <f t="shared" si="44"/>
        <v>181.05123751753774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2.8741538841328884</v>
      </c>
      <c r="EC41" s="21">
        <f>EXP(-LN(2)/2)*EC40+(1-EXP(-LN(2)/2))/(LN(2)/2)*DW41*DZ41*VLOOKUP('Données projet'!$B$14,Paramètres!$A$1:$I$89,3,0)*0.475*44/12</f>
        <v>0.44686024380032852</v>
      </c>
      <c r="ED41" s="22">
        <f t="shared" si="18"/>
        <v>3.3210141279332168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12.833333333333334</v>
      </c>
      <c r="EJ41" s="12">
        <f>IF('Données projet'!$A$192&gt;35,EJ40+EI41-ER40,IF(A41&lt;'Données projet'!$A$192,$EG$205^A41,IF(A41='Données projet'!$A$192,'Données projet'!$B$192,EJ40+EI41-ER40)))</f>
        <v>249.3333333333334</v>
      </c>
      <c r="EK41" s="17">
        <f>EJ41*VLOOKUP('Données projet'!$B$15,Paramètres!$A$1:$I$89,3,0)*VLOOKUP('Données projet'!$B$15,Paramètres!$A$1:$I$89,5,0)</f>
        <v>149.1013333333334</v>
      </c>
      <c r="EL41" s="13">
        <f t="shared" si="45"/>
        <v>38.37428902704788</v>
      </c>
      <c r="EM41" s="20">
        <f t="shared" si="19"/>
        <v>326.52004227766406</v>
      </c>
      <c r="EN41" s="59">
        <f t="shared" si="20"/>
        <v>619.85337561099732</v>
      </c>
      <c r="EO41" s="59">
        <f ca="1">AVERAGE(OFFSET($EN$3,0,0,'Données projet'!$E$15+1,1))-AVERAGE(OFFSET($H$3,0,0,'Données projet'!$E$15+1,1))</f>
        <v>168.08890945052406</v>
      </c>
      <c r="EP41" s="59">
        <f t="shared" si="46"/>
        <v>182.52462557642343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5.3020407566356118</v>
      </c>
      <c r="EW41" s="21">
        <f>EXP(-LN(2)/25)*EW40+(1-EXP(-LN(2)/25))/(LN(2)/25)*Calculateur!ER41*Calculateur!ET41*VLOOKUP('Données projet'!$B$15,Paramètres!$A$1:$I$89,3,0)*0.475*44/12</f>
        <v>9.8778983361462753</v>
      </c>
      <c r="EX41" s="21">
        <f>EXP(-LN(2)/2)*EX40+(1-EXP(-LN(2)/2))/(LN(2)/2)*ER41*EU41*VLOOKUP('Données projet'!$B$15,Paramètres!$A$1:$I$89,3,0)*0.475*44/12</f>
        <v>0.34035577337963457</v>
      </c>
      <c r="EY41" s="22">
        <f t="shared" si="21"/>
        <v>15.520294866161521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10.199999999999999</v>
      </c>
      <c r="FE41" s="12">
        <f>IF('Données projet'!$A$218&gt;35,FE40+FD41-FM40,IF(A41&lt;'Données projet'!$A$218,$FB$205^A41,IF(A41='Données projet'!$A$218,'Données projet'!$B$218,FE40+FD41-FM40)))</f>
        <v>199.59999999999988</v>
      </c>
      <c r="FF41" s="17">
        <f>FE41*VLOOKUP('Données projet'!$B$16,Paramètres!$A$1:$I$89,3,0)*VLOOKUP('Données projet'!$B$16,Paramètres!$A$1:$I$89,5,0)</f>
        <v>133.89167999999992</v>
      </c>
      <c r="FG41" s="13">
        <f t="shared" si="47"/>
        <v>34.894062754078419</v>
      </c>
      <c r="FH41" s="20">
        <f t="shared" si="22"/>
        <v>293.96850196335311</v>
      </c>
      <c r="FI41" s="59">
        <f t="shared" si="23"/>
        <v>587.30183529668648</v>
      </c>
      <c r="FJ41" s="59">
        <f ca="1">AVERAGE(OFFSET($FI$3,0,0,'Données projet'!$E$16+1,1))-AVERAGE(OFFSET($H$3,0,0,'Données projet'!$E$16+1,1))</f>
        <v>156.63226020379989</v>
      </c>
      <c r="FK41" s="59">
        <f t="shared" si="48"/>
        <v>196.0481096619543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6.9452442386112496</v>
      </c>
      <c r="FS41" s="21">
        <f>EXP(-LN(2)/2)*FS40+(1-EXP(-LN(2)/2))/(LN(2)/2)*FM41*FP41*VLOOKUP('Données projet'!$B$16,Paramètres!$A$1:$I$89,3,0)*0.475*44/12</f>
        <v>0.56709192513292772</v>
      </c>
      <c r="FT41" s="22">
        <f t="shared" si="24"/>
        <v>7.5123361637441777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13.7</v>
      </c>
      <c r="FZ41" s="12">
        <f>IF('Données projet'!$A$244&gt;35,FZ40+FY41-GH40,IF(A41&lt;'Données projet'!$A$244,$FW$205^A41,IF(A41='Données projet'!$A$244,'Données projet'!$B$244,FZ40+FY41-GH40)))</f>
        <v>257.59999999999991</v>
      </c>
      <c r="GA41" s="17">
        <f>FZ41*VLOOKUP('Données projet'!$B$17,Paramètres!$A$1:$I$89,3,0)*VLOOKUP('Données projet'!$B$17,Paramètres!$A$1:$I$89,5,0)</f>
        <v>154.04479999999995</v>
      </c>
      <c r="GB41" s="13">
        <f t="shared" si="49"/>
        <v>39.496352638742984</v>
      </c>
      <c r="GC41" s="20">
        <f t="shared" si="25"/>
        <v>337.08417417914399</v>
      </c>
      <c r="GD41" s="59">
        <f t="shared" si="26"/>
        <v>630.4175075124773</v>
      </c>
      <c r="GE41" s="59">
        <f ca="1">AVERAGE(OFFSET($GD$3,0,0,'Données projet'!$E$17+1,1))-AVERAGE(OFFSET($H$3,0,0,'Données projet'!$E$17+1,1))</f>
        <v>216.94426559495264</v>
      </c>
      <c r="GF41" s="59">
        <f t="shared" si="50"/>
        <v>225.33715877618704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10.293157980597472</v>
      </c>
      <c r="GN41" s="21">
        <f>EXP(-LN(2)/2)*GN40+(1-EXP(-LN(2)/2))/(LN(2)/2)*GH41*GK41*VLOOKUP('Données projet'!$B$17,Paramètres!$A$1:$I$89,3,0)*0.475*44/12</f>
        <v>1.4830849921136857</v>
      </c>
      <c r="GO41" s="21">
        <f t="shared" si="27"/>
        <v>11.776242972711158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8.1999999999999993</v>
      </c>
      <c r="GU41" s="12">
        <f>IF('Données projet'!$A$270&gt;35,GU40+GT41-HC40,IF(A41&lt;'Données projet'!$A$270,$GR$205^A41,IF(A41='Données projet'!$A$270,'Données projet'!$B$270,GU40+GT41-HC40)))</f>
        <v>141.59999999999997</v>
      </c>
      <c r="GV41" s="17">
        <f>GU41*VLOOKUP('Données projet'!$B$18,Paramètres!$A$1:$I$89,3,0)*VLOOKUP('Données projet'!$B$18,Paramètres!$A$1:$I$89,5,0)</f>
        <v>136.95551999999995</v>
      </c>
      <c r="GW41" s="13">
        <f t="shared" si="51"/>
        <v>35.598667939009403</v>
      </c>
      <c r="GX41" s="20">
        <f t="shared" si="28"/>
        <v>300.53187732710791</v>
      </c>
      <c r="GY41" s="59">
        <f t="shared" si="29"/>
        <v>593.86521066044122</v>
      </c>
      <c r="GZ41" s="59">
        <f ca="1">AVERAGE(OFFSET($GY$3,0,0,'Données projet'!$E$18+1,1))-AVERAGE(OFFSET($H$3,0,0,'Données projet'!$E$18+1,1))</f>
        <v>261.22357949323879</v>
      </c>
      <c r="HA41" s="59">
        <f t="shared" si="52"/>
        <v>163.41029152029387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2.6596647883020754</v>
      </c>
      <c r="HI41" s="21">
        <f>EXP(-LN(2)/2)*HI40+(1-EXP(-LN(2)/2))/(LN(2)/2)*HC41*HF41*VLOOKUP('Données projet'!$B$18,Paramètres!$A$1:$I$89,3,0)*0.475*44/12</f>
        <v>0.41351246441224399</v>
      </c>
      <c r="HJ41" s="22">
        <f t="shared" si="30"/>
        <v>3.0731772527143195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237.22177246688199</v>
      </c>
      <c r="T42" s="59">
        <f t="shared" si="34"/>
        <v>149.27472147904302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183.89999999999986</v>
      </c>
      <c r="AJ42" s="13">
        <f>AI42*VLOOKUP('Données projet'!$B$10,Paramètres!$A$1:$I$89,3,0)*VLOOKUP('Données projet'!$B$10,Paramètres!$A$1:$I$89,5,0)</f>
        <v>160.6550399999999</v>
      </c>
      <c r="AK42" s="13">
        <f t="shared" si="35"/>
        <v>40.990226357066575</v>
      </c>
      <c r="AL42" s="20">
        <f t="shared" si="4"/>
        <v>351.19883890522402</v>
      </c>
      <c r="AM42" s="59">
        <f t="shared" si="5"/>
        <v>644.53217223855734</v>
      </c>
      <c r="AN42" s="59">
        <f ca="1">AVERAGE(OFFSET($AM$3,0,0,'Données projet'!$E$10+1,1))-AVERAGE(OFFSET($H$3,0,0,'Données projet'!$E$10+1,1))</f>
        <v>210.07838338464626</v>
      </c>
      <c r="AO42" s="59">
        <f t="shared" si="36"/>
        <v>241.76003724236273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4.4349222061845781</v>
      </c>
      <c r="AV42" s="21">
        <f>EXP(-LN(2)/25)*AV41+(1-EXP(-LN(2)/25))/(LN(2)/25)*Calculateur!AQ42*Calculateur!AS42*VLOOKUP('Données projet'!$B$10,Paramètres!$A$1:$I$89,3,0)*0.475*44/12</f>
        <v>10.565399182384542</v>
      </c>
      <c r="AW42" s="21">
        <f>EXP(-LN(2)/2)*AW41+(1-EXP(-LN(2)/2))/(LN(2)/2)*AQ42*AT42*VLOOKUP('Données projet'!$B$10,Paramètres!$A$1:$I$89,3,0)*0.475*44/12</f>
        <v>0.70584390928414187</v>
      </c>
      <c r="AX42" s="21">
        <f t="shared" si="6"/>
        <v>15.706165297853261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13.3</v>
      </c>
      <c r="BD42" s="12">
        <f>IF('Données projet'!$A$88&gt;35,BD41+BC42-BL41,IF(A42&lt;'Données projet'!$A$88,$BA$205^A42,IF(A42='Données projet'!$A$88,'Données projet'!$B$88,BD41+BC42-BL41)))</f>
        <v>269.70000000000016</v>
      </c>
      <c r="BE42" s="13">
        <f>BD42*VLOOKUP('Données projet'!$B$11,Paramètres!$A$1:$I$89,3,0)*VLOOKUP('Données projet'!$B$11,Paramètres!$A$1:$I$89,5,0)</f>
        <v>168.29280000000011</v>
      </c>
      <c r="BF42" s="13">
        <f t="shared" si="37"/>
        <v>42.707443263135104</v>
      </c>
      <c r="BG42" s="20">
        <f t="shared" si="7"/>
        <v>367.49209034996051</v>
      </c>
      <c r="BH42" s="59">
        <f t="shared" si="8"/>
        <v>660.82542368329382</v>
      </c>
      <c r="BI42" s="59">
        <f ca="1">AVERAGE(OFFSET($BH$3,0,0,'Données projet'!$E$11+1,1))-AVERAGE(OFFSET($H$3,0,0,'Données projet'!$E$11+1,1))</f>
        <v>209.93608079129638</v>
      </c>
      <c r="BJ42" s="59">
        <f t="shared" si="38"/>
        <v>240.15652428700969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5.8181447114913727</v>
      </c>
      <c r="BQ42" s="21">
        <f>EXP(-LN(2)/25)*BQ41+(1-EXP(-LN(2)/25))/(LN(2)/25)*Calculateur!BL42*Calculateur!BN42*VLOOKUP('Données projet'!$B$11,Paramètres!$A$1:$I$89,3,0)*0.475*44/12</f>
        <v>16.197201955574538</v>
      </c>
      <c r="BR42" s="21">
        <f>EXP(-LN(2)/2)*BR41+(1-EXP(-LN(2)/2))/(LN(2)/2)*BL42*BO42*VLOOKUP('Données projet'!$B$11,Paramètres!$A$1:$I$89,3,0)*0.475*44/12</f>
        <v>0.892316410022714</v>
      </c>
      <c r="BS42" s="22">
        <f t="shared" si="9"/>
        <v>22.907663077088628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10.000000000000004</v>
      </c>
      <c r="BY42" s="12">
        <f>IF('Données projet'!$A$114&gt;35,BY41+BX42-CG41,IF(A42&lt;'Données projet'!$A$114,$BV$205^A42,IF(A42='Données projet'!$A$114,'Données projet'!$B$114,BY41+BX42-CG41)))</f>
        <v>281.59999999999991</v>
      </c>
      <c r="BZ42" s="13">
        <f>BY42*VLOOKUP('Données projet'!$B$12,Paramètres!$A$1:$I$89,3,0)*VLOOKUP('Données projet'!$B$12,Paramètres!$A$1:$I$89,5,0)</f>
        <v>131.78879999999995</v>
      </c>
      <c r="CA42" s="13">
        <f t="shared" si="39"/>
        <v>34.409369159409614</v>
      </c>
      <c r="CB42" s="20">
        <f t="shared" si="10"/>
        <v>289.46181128597163</v>
      </c>
      <c r="CC42" s="59">
        <f t="shared" si="11"/>
        <v>582.79514461930489</v>
      </c>
      <c r="CD42" s="59">
        <f ca="1">AVERAGE(OFFSET($CC$3,0,0,'Données projet'!$E$12+1,1))-AVERAGE(OFFSET($H$3,0,0,'Données projet'!$E$12+1,1))</f>
        <v>215.23235148064941</v>
      </c>
      <c r="CE42" s="59">
        <f t="shared" si="40"/>
        <v>184.07239726900434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2.6228404150285667</v>
      </c>
      <c r="CL42" s="21">
        <f>EXP(-LN(2)/25)*CL41+(1-EXP(-LN(2)/25))/(LN(2)/25)*Calculateur!CG42*Calculateur!CI42*VLOOKUP('Données projet'!$B$12,Paramètres!$A$1:$I$89,3,0)*0.475*44/12</f>
        <v>6.1206995814171732</v>
      </c>
      <c r="CM42" s="21">
        <f>EXP(-LN(2)/2)*CM41+(1-EXP(-LN(2)/2))/(LN(2)/2)*CG42*CJ42*VLOOKUP('Données projet'!$B$12,Paramètres!$A$1:$I$89,3,0)*0.475*44/12</f>
        <v>0.43452491644001107</v>
      </c>
      <c r="CN42" s="22">
        <f t="shared" si="12"/>
        <v>9.1780649128857519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8.1999999999999993</v>
      </c>
      <c r="CT42" s="12">
        <f>IF('Données projet'!$A$140&gt;35,CT41+CS42-DB41,IF(A42&lt;'Données projet'!$A$140,$CQ$205^A42,IF(A42='Données projet'!$A$140,'Données projet'!$B$140,CT41+CS42-DB41)))</f>
        <v>149.79999999999995</v>
      </c>
      <c r="CU42" s="17">
        <f>CT42*VLOOKUP('Données projet'!$B$13,Paramètres!$A$1:$I$89,3,0)*VLOOKUP('Données projet'!$B$13,Paramètres!$A$1:$I$89,5,0)</f>
        <v>151.89719999999997</v>
      </c>
      <c r="CV42" s="13">
        <f t="shared" si="41"/>
        <v>39.009415240495969</v>
      </c>
      <c r="CW42" s="20">
        <f t="shared" si="13"/>
        <v>332.49568821053043</v>
      </c>
      <c r="CX42" s="59">
        <f t="shared" si="14"/>
        <v>625.82902154386375</v>
      </c>
      <c r="CY42" s="59">
        <f ca="1">AVERAGE(OFFSET($CX$3,0,0,'Données projet'!$E$13+1,1))-AVERAGE(OFFSET($H$3,0,0,'Données projet'!$E$13+1,1))</f>
        <v>279.20364724206644</v>
      </c>
      <c r="CZ42" s="59">
        <f t="shared" si="42"/>
        <v>173.99850582760712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2.7121104429357596</v>
      </c>
      <c r="DH42" s="21">
        <f>EXP(-LN(2)/2)*DH41+(1-EXP(-LN(2)/2))/(LN(2)/2)*DB42*DE42*VLOOKUP('Données projet'!$B$13,Paramètres!$A$1:$I$89,3,0)*0.475*44/12</f>
        <v>0.30654573225675502</v>
      </c>
      <c r="DI42" s="22">
        <f t="shared" si="15"/>
        <v>3.0186561751925147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8.1999999999999993</v>
      </c>
      <c r="DO42" s="12">
        <f>IF('Données projet'!$A$166&gt;35,DO41+DN42-DW41,IF(A42&lt;'Données projet'!$A$166,$DL$205^A42,IF(A42='Données projet'!$A$166,'Données projet'!$B$166,DO41+DN42-DW41)))</f>
        <v>149.79999999999995</v>
      </c>
      <c r="DP42" s="17">
        <f>DO42*VLOOKUP('Données projet'!$B$14,Paramètres!$A$1:$I$89,3,0)*VLOOKUP('Données projet'!$B$14,Paramètres!$A$1:$I$89,5,0)</f>
        <v>156.57095999999996</v>
      </c>
      <c r="DQ42" s="13">
        <f t="shared" si="43"/>
        <v>40.068113371801864</v>
      </c>
      <c r="DR42" s="20">
        <f t="shared" si="16"/>
        <v>342.47971945588819</v>
      </c>
      <c r="DS42" s="59">
        <f t="shared" si="17"/>
        <v>635.8130527892215</v>
      </c>
      <c r="DT42" s="59">
        <f ca="1">AVERAGE(OFFSET($DS$3,0,0,'Données projet'!$E$14+1,1))-AVERAGE(OFFSET($H$3,0,0,'Données projet'!$E$14+1,1))</f>
        <v>291.18074901939718</v>
      </c>
      <c r="DU42" s="59">
        <f t="shared" si="44"/>
        <v>181.05123751753774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2.7955599950260908</v>
      </c>
      <c r="EC42" s="21">
        <f>EXP(-LN(2)/2)*EC41+(1-EXP(-LN(2)/2))/(LN(2)/2)*DW42*DZ42*VLOOKUP('Données projet'!$B$14,Paramètres!$A$1:$I$89,3,0)*0.475*44/12</f>
        <v>0.3159779086338862</v>
      </c>
      <c r="ED42" s="22">
        <f t="shared" si="18"/>
        <v>3.1115379036599768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12.833333333333334</v>
      </c>
      <c r="EJ42" s="12">
        <f>IF('Données projet'!$A$192&gt;35,EJ41+EI42-ER41,IF(A42&lt;'Données projet'!$A$192,$EG$205^A42,IF(A42='Données projet'!$A$192,'Données projet'!$B$192,EJ41+EI42-ER41)))</f>
        <v>262.16666666666674</v>
      </c>
      <c r="EK42" s="17">
        <f>EJ42*VLOOKUP('Données projet'!$B$15,Paramètres!$A$1:$I$89,3,0)*VLOOKUP('Données projet'!$B$15,Paramètres!$A$1:$I$89,5,0)</f>
        <v>156.77566666666672</v>
      </c>
      <c r="EL42" s="13">
        <f t="shared" si="45"/>
        <v>40.114398592763365</v>
      </c>
      <c r="EM42" s="20">
        <f t="shared" si="19"/>
        <v>342.9168636601741</v>
      </c>
      <c r="EN42" s="59">
        <f t="shared" si="20"/>
        <v>636.25019699350742</v>
      </c>
      <c r="EO42" s="59">
        <f ca="1">AVERAGE(OFFSET($EN$3,0,0,'Données projet'!$E$15+1,1))-AVERAGE(OFFSET($H$3,0,0,'Données projet'!$E$15+1,1))</f>
        <v>168.08890945052406</v>
      </c>
      <c r="EP42" s="59">
        <f t="shared" si="46"/>
        <v>182.52462557642343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5.1980709713235251</v>
      </c>
      <c r="EW42" s="21">
        <f>EXP(-LN(2)/25)*EW41+(1-EXP(-LN(2)/25))/(LN(2)/25)*Calculateur!ER42*Calculateur!ET42*VLOOKUP('Données projet'!$B$15,Paramètres!$A$1:$I$89,3,0)*0.475*44/12</f>
        <v>9.6077866866882573</v>
      </c>
      <c r="EX42" s="21">
        <f>EXP(-LN(2)/2)*EX41+(1-EXP(-LN(2)/2))/(LN(2)/2)*ER42*EU42*VLOOKUP('Données projet'!$B$15,Paramètres!$A$1:$I$89,3,0)*0.475*44/12</f>
        <v>0.24066787537273143</v>
      </c>
      <c r="EY42" s="22">
        <f t="shared" si="21"/>
        <v>15.046525533384512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10.199999999999999</v>
      </c>
      <c r="FE42" s="12">
        <f>IF('Données projet'!$A$218&gt;35,FE41+FD42-FM41,IF(A42&lt;'Données projet'!$A$218,$FB$205^A42,IF(A42='Données projet'!$A$218,'Données projet'!$B$218,FE41+FD42-FM41)))</f>
        <v>209.79999999999987</v>
      </c>
      <c r="FF42" s="17">
        <f>FE42*VLOOKUP('Données projet'!$B$16,Paramètres!$A$1:$I$89,3,0)*VLOOKUP('Données projet'!$B$16,Paramètres!$A$1:$I$89,5,0)</f>
        <v>140.7338399999999</v>
      </c>
      <c r="FG42" s="13">
        <f t="shared" si="47"/>
        <v>36.465066748163046</v>
      </c>
      <c r="FH42" s="20">
        <f t="shared" si="22"/>
        <v>308.62142925305045</v>
      </c>
      <c r="FI42" s="59">
        <f t="shared" si="23"/>
        <v>601.95476258638382</v>
      </c>
      <c r="FJ42" s="59">
        <f ca="1">AVERAGE(OFFSET($FI$3,0,0,'Données projet'!$E$16+1,1))-AVERAGE(OFFSET($H$3,0,0,'Données projet'!$E$16+1,1))</f>
        <v>156.63226020379989</v>
      </c>
      <c r="FK42" s="59">
        <f t="shared" si="48"/>
        <v>196.0481096619543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6.7553261696719042</v>
      </c>
      <c r="FS42" s="21">
        <f>EXP(-LN(2)/2)*FS41+(1-EXP(-LN(2)/2))/(LN(2)/2)*FM42*FP42*VLOOKUP('Données projet'!$B$16,Paramètres!$A$1:$I$89,3,0)*0.475*44/12</f>
        <v>0.40099454581762711</v>
      </c>
      <c r="FT42" s="22">
        <f t="shared" si="24"/>
        <v>7.1563207154895316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13.7</v>
      </c>
      <c r="FZ42" s="12">
        <f>IF('Données projet'!$A$244&gt;35,FZ41+FY42-GH41,IF(A42&lt;'Données projet'!$A$244,$FW$205^A42,IF(A42='Données projet'!$A$244,'Données projet'!$B$244,FZ41+FY42-GH41)))</f>
        <v>271.2999999999999</v>
      </c>
      <c r="GA42" s="17">
        <f>FZ42*VLOOKUP('Données projet'!$B$17,Paramètres!$A$1:$I$89,3,0)*VLOOKUP('Données projet'!$B$17,Paramètres!$A$1:$I$89,5,0)</f>
        <v>162.23739999999995</v>
      </c>
      <c r="GB42" s="13">
        <f t="shared" si="49"/>
        <v>41.346758630600348</v>
      </c>
      <c r="GC42" s="20">
        <f t="shared" si="25"/>
        <v>354.57574294829556</v>
      </c>
      <c r="GD42" s="59">
        <f t="shared" si="26"/>
        <v>647.90907628162881</v>
      </c>
      <c r="GE42" s="59">
        <f ca="1">AVERAGE(OFFSET($GD$3,0,0,'Données projet'!$E$17+1,1))-AVERAGE(OFFSET($H$3,0,0,'Données projet'!$E$17+1,1))</f>
        <v>216.94426559495264</v>
      </c>
      <c r="GF42" s="59">
        <f t="shared" si="50"/>
        <v>225.33715877618704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10.011691034324382</v>
      </c>
      <c r="GN42" s="21">
        <f>EXP(-LN(2)/2)*GN41+(1-EXP(-LN(2)/2))/(LN(2)/2)*GH42*GK42*VLOOKUP('Données projet'!$B$17,Paramètres!$A$1:$I$89,3,0)*0.475*44/12</f>
        <v>1.0486994549995845</v>
      </c>
      <c r="GO42" s="21">
        <f t="shared" si="27"/>
        <v>11.060390489323966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8.1999999999999993</v>
      </c>
      <c r="GU42" s="12">
        <f>IF('Données projet'!$A$270&gt;35,GU41+GT42-HC41,IF(A42&lt;'Données projet'!$A$270,$GR$205^A42,IF(A42='Données projet'!$A$270,'Données projet'!$B$270,GU41+GT42-HC41)))</f>
        <v>149.79999999999995</v>
      </c>
      <c r="GV42" s="17">
        <f>GU42*VLOOKUP('Données projet'!$B$18,Paramètres!$A$1:$I$89,3,0)*VLOOKUP('Données projet'!$B$18,Paramètres!$A$1:$I$89,5,0)</f>
        <v>144.88655999999997</v>
      </c>
      <c r="GW42" s="13">
        <f t="shared" si="51"/>
        <v>37.414202725902875</v>
      </c>
      <c r="GX42" s="20">
        <f t="shared" si="28"/>
        <v>317.50716174761413</v>
      </c>
      <c r="GY42" s="59">
        <f t="shared" si="29"/>
        <v>610.84049508094745</v>
      </c>
      <c r="GZ42" s="59">
        <f ca="1">AVERAGE(OFFSET($GY$3,0,0,'Données projet'!$E$18+1,1))-AVERAGE(OFFSET($H$3,0,0,'Données projet'!$E$18+1,1))</f>
        <v>261.22357949323879</v>
      </c>
      <c r="HA42" s="59">
        <f t="shared" si="52"/>
        <v>163.41029152029387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2.5869361148002628</v>
      </c>
      <c r="HI42" s="21">
        <f>EXP(-LN(2)/2)*HI41+(1-EXP(-LN(2)/2))/(LN(2)/2)*HC42*HF42*VLOOKUP('Données projet'!$B$18,Paramètres!$A$1:$I$89,3,0)*0.475*44/12</f>
        <v>0.29239746769105862</v>
      </c>
      <c r="HJ42" s="22">
        <f t="shared" si="30"/>
        <v>2.8793335824913213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237.22177246688199</v>
      </c>
      <c r="T43" s="59">
        <f t="shared" si="34"/>
        <v>149.27472147904302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191.99999999999986</v>
      </c>
      <c r="AJ43" s="13">
        <f>AI43*VLOOKUP('Données projet'!$B$10,Paramètres!$A$1:$I$89,3,0)*VLOOKUP('Données projet'!$B$10,Paramètres!$A$1:$I$89,5,0)</f>
        <v>167.73119999999989</v>
      </c>
      <c r="AK43" s="13">
        <f t="shared" si="35"/>
        <v>42.581491199832655</v>
      </c>
      <c r="AL43" s="20">
        <f t="shared" si="4"/>
        <v>366.29460383970832</v>
      </c>
      <c r="AM43" s="59">
        <f t="shared" si="5"/>
        <v>659.62793717304157</v>
      </c>
      <c r="AN43" s="59">
        <f ca="1">AVERAGE(OFFSET($AM$3,0,0,'Données projet'!$E$10+1,1))-AVERAGE(OFFSET($H$3,0,0,'Données projet'!$E$10+1,1))</f>
        <v>210.07838338464626</v>
      </c>
      <c r="AO43" s="59">
        <f t="shared" si="36"/>
        <v>241.76003724236273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4.3479560867567439</v>
      </c>
      <c r="AV43" s="21">
        <f>EXP(-LN(2)/25)*AV42+(1-EXP(-LN(2)/25))/(LN(2)/25)*Calculateur!AQ43*Calculateur!AS43*VLOOKUP('Données projet'!$B$10,Paramètres!$A$1:$I$89,3,0)*0.475*44/12</f>
        <v>10.276487786132041</v>
      </c>
      <c r="AW43" s="21">
        <f>EXP(-LN(2)/2)*AW42+(1-EXP(-LN(2)/2))/(LN(2)/2)*AQ43*AT43*VLOOKUP('Données projet'!$B$10,Paramètres!$A$1:$I$89,3,0)*0.475*44/12</f>
        <v>0.49910701471403907</v>
      </c>
      <c r="AX43" s="21">
        <f t="shared" si="6"/>
        <v>15.123550887602823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283</v>
      </c>
      <c r="BB43" s="12">
        <f>VLOOKUP(A43,'Données projet'!$A$87:$I$107,9,0)</f>
        <v>13.3</v>
      </c>
      <c r="BC43" s="12">
        <f t="array" ref="BC43">INDEX(BB:BB,MIN(IF(ISNUMBER(BB43:BB239),ROW(BB43:BB239),"")))</f>
        <v>13.3</v>
      </c>
      <c r="BD43" s="12">
        <f>IF('Données projet'!$A$88&gt;35,BD42+BC43-BL42,IF(A43&lt;'Données projet'!$A$88,$BA$205^A43,IF(A43='Données projet'!$A$88,'Données projet'!$B$88,BD42+BC43-BL42)))</f>
        <v>283.00000000000017</v>
      </c>
      <c r="BE43" s="13">
        <f>BD43*VLOOKUP('Données projet'!$B$11,Paramètres!$A$1:$I$89,3,0)*VLOOKUP('Données projet'!$B$11,Paramètres!$A$1:$I$89,5,0)</f>
        <v>176.59200000000013</v>
      </c>
      <c r="BF43" s="13">
        <f t="shared" si="37"/>
        <v>44.56312751418794</v>
      </c>
      <c r="BG43" s="20">
        <f t="shared" si="7"/>
        <v>385.1785137538775</v>
      </c>
      <c r="BH43" s="59">
        <f t="shared" si="8"/>
        <v>678.51184708721075</v>
      </c>
      <c r="BI43" s="59">
        <f ca="1">AVERAGE(OFFSET($BH$3,0,0,'Données projet'!$E$11+1,1))-AVERAGE(OFFSET($H$3,0,0,'Données projet'!$E$11+1,1))</f>
        <v>209.93608079129638</v>
      </c>
      <c r="BJ43" s="59">
        <f t="shared" si="38"/>
        <v>240.15652428700969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5.7040544424168944</v>
      </c>
      <c r="BQ43" s="21">
        <f>EXP(-LN(2)/25)*BQ42+(1-EXP(-LN(2)/25))/(LN(2)/25)*Calculateur!BL43*Calculateur!BN43*VLOOKUP('Données projet'!$B$11,Paramètres!$A$1:$I$89,3,0)*0.475*44/12</f>
        <v>15.754288616325521</v>
      </c>
      <c r="BR43" s="21">
        <f>EXP(-LN(2)/2)*BR42+(1-EXP(-LN(2)/2))/(LN(2)/2)*BL43*BO43*VLOOKUP('Données projet'!$B$11,Paramètres!$A$1:$I$89,3,0)*0.475*44/12</f>
        <v>0.63096298449109689</v>
      </c>
      <c r="BS43" s="22">
        <f t="shared" si="9"/>
        <v>22.089306043233513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291.60000000000002</v>
      </c>
      <c r="BW43" s="12">
        <f>VLOOKUP(A43,'Données projet'!$A$113:$I$133,9,0)</f>
        <v>10.000000000000004</v>
      </c>
      <c r="BX43" s="12">
        <f t="array" ref="BX43">INDEX(BW:BW,MIN(IF(ISNUMBER(BW43:BW239),ROW(BW43:BW239),"")))</f>
        <v>10.000000000000004</v>
      </c>
      <c r="BY43" s="12">
        <f>IF('Données projet'!$A$114&gt;35,BY42+BX43-CG42,IF(A43&lt;'Données projet'!$A$114,$BV$205^A43,IF(A43='Données projet'!$A$114,'Données projet'!$B$114,BY42+BX43-CG42)))</f>
        <v>291.59999999999991</v>
      </c>
      <c r="BZ43" s="13">
        <f>BY43*VLOOKUP('Données projet'!$B$12,Paramètres!$A$1:$I$89,3,0)*VLOOKUP('Données projet'!$B$12,Paramètres!$A$1:$I$89,5,0)</f>
        <v>136.46879999999996</v>
      </c>
      <c r="CA43" s="13">
        <f t="shared" si="39"/>
        <v>35.486858352195874</v>
      </c>
      <c r="CB43" s="20">
        <f t="shared" si="10"/>
        <v>299.48943829674107</v>
      </c>
      <c r="CC43" s="59">
        <f t="shared" si="11"/>
        <v>592.82277163007439</v>
      </c>
      <c r="CD43" s="59">
        <f ca="1">AVERAGE(OFFSET($CC$3,0,0,'Données projet'!$E$12+1,1))-AVERAGE(OFFSET($H$3,0,0,'Données projet'!$E$12+1,1))</f>
        <v>215.23235148064941</v>
      </c>
      <c r="CE43" s="59">
        <f t="shared" si="40"/>
        <v>184.07239726900434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83.4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2.5714081142645449</v>
      </c>
      <c r="CL43" s="21">
        <f>EXP(-LN(2)/25)*CL42+(1-EXP(-LN(2)/25))/(LN(2)/25)*Calculateur!CG43*Calculateur!CI43*VLOOKUP('Données projet'!$B$12,Paramètres!$A$1:$I$89,3,0)*0.475*44/12</f>
        <v>5.9533287294897184</v>
      </c>
      <c r="CM43" s="21">
        <f>EXP(-LN(2)/2)*CM42+(1-EXP(-LN(2)/2))/(LN(2)/2)*CG43*CJ43*VLOOKUP('Données projet'!$B$12,Paramètres!$A$1:$I$89,3,0)*0.475*44/12</f>
        <v>0.30725551500924975</v>
      </c>
      <c r="CN43" s="22">
        <f t="shared" si="12"/>
        <v>8.8319923587635127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158</v>
      </c>
      <c r="CR43" s="12">
        <f>VLOOKUP(A43,'Données projet'!$A$139:$I$159,9,0)</f>
        <v>8.1999999999999993</v>
      </c>
      <c r="CS43" s="12">
        <f t="array" ref="CS43">INDEX(CR:CR,MIN(IF(ISNUMBER(CR43:CR239),ROW(CR43:CR239),"")))</f>
        <v>8.1999999999999993</v>
      </c>
      <c r="CT43" s="12">
        <f>IF('Données projet'!$A$140&gt;35,CT42+CS43-DB42,IF(A43&lt;'Données projet'!$A$140,$CQ$205^A43,IF(A43='Données projet'!$A$140,'Données projet'!$B$140,CT42+CS43-DB42)))</f>
        <v>157.99999999999994</v>
      </c>
      <c r="CU43" s="17">
        <f>CT43*VLOOKUP('Données projet'!$B$13,Paramètres!$A$1:$I$89,3,0)*VLOOKUP('Données projet'!$B$13,Paramètres!$A$1:$I$89,5,0)</f>
        <v>160.21199999999993</v>
      </c>
      <c r="CV43" s="13">
        <f t="shared" si="41"/>
        <v>40.890328912852695</v>
      </c>
      <c r="CW43" s="20">
        <f t="shared" si="13"/>
        <v>350.25322285655164</v>
      </c>
      <c r="CX43" s="59">
        <f t="shared" si="14"/>
        <v>643.58655618988496</v>
      </c>
      <c r="CY43" s="59">
        <f ca="1">AVERAGE(OFFSET($CX$3,0,0,'Données projet'!$E$13+1,1))-AVERAGE(OFFSET($H$3,0,0,'Données projet'!$E$13+1,1))</f>
        <v>279.20364724206644</v>
      </c>
      <c r="CZ43" s="59">
        <f t="shared" si="42"/>
        <v>173.99850582760712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2.6379476402499917</v>
      </c>
      <c r="DH43" s="21">
        <f>EXP(-LN(2)/2)*DH42+(1-EXP(-LN(2)/2))/(LN(2)/2)*DB43*DE43*VLOOKUP('Données projet'!$B$13,Paramètres!$A$1:$I$89,3,0)*0.475*44/12</f>
        <v>0.21676056602254726</v>
      </c>
      <c r="DI43" s="22">
        <f t="shared" si="15"/>
        <v>2.8547082062725391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158</v>
      </c>
      <c r="DM43" s="12">
        <f>VLOOKUP(A43,'Données projet'!$A$165:$I$185,9,0)</f>
        <v>8.1999999999999993</v>
      </c>
      <c r="DN43" s="12">
        <f t="array" ref="DN43">INDEX(DM:DM,MIN(IF(ISNUMBER(DM43:DM239),ROW(DM43:DM239),"")))</f>
        <v>8.1999999999999993</v>
      </c>
      <c r="DO43" s="12">
        <f>IF('Données projet'!$A$166&gt;35,DO42+DN43-DW42,IF(A43&lt;'Données projet'!$A$166,$DL$205^A43,IF(A43='Données projet'!$A$166,'Données projet'!$B$166,DO42+DN43-DW42)))</f>
        <v>157.99999999999994</v>
      </c>
      <c r="DP43" s="17">
        <f>DO43*VLOOKUP('Données projet'!$B$14,Paramètres!$A$1:$I$89,3,0)*VLOOKUP('Données projet'!$B$14,Paramètres!$A$1:$I$89,5,0)</f>
        <v>165.14159999999995</v>
      </c>
      <c r="DQ43" s="13">
        <f t="shared" si="43"/>
        <v>42.000074202332975</v>
      </c>
      <c r="DR43" s="20">
        <f t="shared" si="16"/>
        <v>360.77174923572983</v>
      </c>
      <c r="DS43" s="59">
        <f t="shared" si="17"/>
        <v>654.10508256906314</v>
      </c>
      <c r="DT43" s="59">
        <f ca="1">AVERAGE(OFFSET($DS$3,0,0,'Données projet'!$E$14+1,1))-AVERAGE(OFFSET($H$3,0,0,'Données projet'!$E$14+1,1))</f>
        <v>291.18074901939718</v>
      </c>
      <c r="DU43" s="59">
        <f t="shared" si="44"/>
        <v>181.05123751753774</v>
      </c>
      <c r="DV43" s="15">
        <f>IF(ISNA(VLOOKUP(A43,'Données projet'!$A$165:$I$185,3,0)),0,VLOOKUP(A43,'Données projet'!$A$165:$I$185,3,0))</f>
        <v>2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2.7191152599499917</v>
      </c>
      <c r="EC43" s="21">
        <f>EXP(-LN(2)/2)*EC42+(1-EXP(-LN(2)/2))/(LN(2)/2)*DW43*DZ43*VLOOKUP('Données projet'!$B$14,Paramètres!$A$1:$I$89,3,0)*0.475*44/12</f>
        <v>0.22343012190016429</v>
      </c>
      <c r="ED43" s="22">
        <f t="shared" si="18"/>
        <v>2.9425453818501559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275</v>
      </c>
      <c r="EH43" s="12">
        <f>VLOOKUP(A43,'Données projet'!$A$191:$I$211,9,0)</f>
        <v>12.833333333333334</v>
      </c>
      <c r="EI43" s="12">
        <f t="array" ref="EI43">INDEX(EH:EH,MIN(IF(ISNUMBER(EH43:EH239),ROW(EH43:EH239),"")))</f>
        <v>12.833333333333334</v>
      </c>
      <c r="EJ43" s="12">
        <f>IF('Données projet'!$A$192&gt;35,EJ42+EI43-ER42,IF(A43&lt;'Données projet'!$A$192,$EG$205^A43,IF(A43='Données projet'!$A$192,'Données projet'!$B$192,EJ42+EI43-ER42)))</f>
        <v>275.00000000000006</v>
      </c>
      <c r="EK43" s="17">
        <f>EJ43*VLOOKUP('Données projet'!$B$15,Paramètres!$A$1:$I$89,3,0)*VLOOKUP('Données projet'!$B$15,Paramètres!$A$1:$I$89,5,0)</f>
        <v>164.45000000000005</v>
      </c>
      <c r="EL43" s="13">
        <f t="shared" si="45"/>
        <v>41.844617207687371</v>
      </c>
      <c r="EM43" s="20">
        <f t="shared" si="19"/>
        <v>359.29645830338887</v>
      </c>
      <c r="EN43" s="59">
        <f t="shared" si="20"/>
        <v>652.62979163672219</v>
      </c>
      <c r="EO43" s="59">
        <f ca="1">AVERAGE(OFFSET($EN$3,0,0,'Données projet'!$E$15+1,1))-AVERAGE(OFFSET($H$3,0,0,'Données projet'!$E$15+1,1))</f>
        <v>168.08890945052406</v>
      </c>
      <c r="EP43" s="59">
        <f t="shared" si="46"/>
        <v>182.52462557642343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41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5.0961399700861012</v>
      </c>
      <c r="EW43" s="21">
        <f>EXP(-LN(2)/25)*EW42+(1-EXP(-LN(2)/25))/(LN(2)/25)*Calculateur!ER43*Calculateur!ET43*VLOOKUP('Données projet'!$B$15,Paramètres!$A$1:$I$89,3,0)*0.475*44/12</f>
        <v>9.3450612544892238</v>
      </c>
      <c r="EX43" s="21">
        <f>EXP(-LN(2)/2)*EX42+(1-EXP(-LN(2)/2))/(LN(2)/2)*ER43*EU43*VLOOKUP('Données projet'!$B$15,Paramètres!$A$1:$I$89,3,0)*0.475*44/12</f>
        <v>0.17017788668981731</v>
      </c>
      <c r="EY43" s="22">
        <f t="shared" si="21"/>
        <v>14.611379111265142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220</v>
      </c>
      <c r="FC43" s="12">
        <f>VLOOKUP(A43,'Données projet'!$A$217:$I$237,9,0)</f>
        <v>10.199999999999999</v>
      </c>
      <c r="FD43" s="12">
        <f t="array" ref="FD43">INDEX(FC:FC,MIN(IF(ISNUMBER(FC43:FC239),ROW(FC43:FC239),"")))</f>
        <v>10.199999999999999</v>
      </c>
      <c r="FE43" s="12">
        <f>IF('Données projet'!$A$218&gt;35,FE42+FD43-FM42,IF(A43&lt;'Données projet'!$A$218,$FB$205^A43,IF(A43='Données projet'!$A$218,'Données projet'!$B$218,FE42+FD43-FM42)))</f>
        <v>219.99999999999986</v>
      </c>
      <c r="FF43" s="17">
        <f>FE43*VLOOKUP('Données projet'!$B$16,Paramètres!$A$1:$I$89,3,0)*VLOOKUP('Données projet'!$B$16,Paramètres!$A$1:$I$89,5,0)</f>
        <v>147.57599999999991</v>
      </c>
      <c r="FG43" s="13">
        <f t="shared" si="47"/>
        <v>38.027201687128048</v>
      </c>
      <c r="FH43" s="20">
        <f t="shared" si="22"/>
        <v>323.25890960508121</v>
      </c>
      <c r="FI43" s="59">
        <f t="shared" si="23"/>
        <v>616.59224293841453</v>
      </c>
      <c r="FJ43" s="59">
        <f ca="1">AVERAGE(OFFSET($FI$3,0,0,'Données projet'!$E$16+1,1))-AVERAGE(OFFSET($H$3,0,0,'Données projet'!$E$16+1,1))</f>
        <v>156.63226020379989</v>
      </c>
      <c r="FK43" s="59">
        <f t="shared" si="48"/>
        <v>196.0481096619543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56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6.5706014203150627</v>
      </c>
      <c r="FS43" s="21">
        <f>EXP(-LN(2)/2)*FS42+(1-EXP(-LN(2)/2))/(LN(2)/2)*FM43*FP43*VLOOKUP('Données projet'!$B$16,Paramètres!$A$1:$I$89,3,0)*0.475*44/12</f>
        <v>0.28354596256646386</v>
      </c>
      <c r="FT43" s="22">
        <f t="shared" si="24"/>
        <v>6.8541473828815267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285</v>
      </c>
      <c r="FX43" s="12">
        <f>VLOOKUP(A43,'Données projet'!$A$243:$I$263,9,0)</f>
        <v>13.7</v>
      </c>
      <c r="FY43" s="12">
        <f t="array" ref="FY43">INDEX(FX:FX,MIN(IF(ISNUMBER(FX43:FX239),ROW(FX43:FX239),"")))</f>
        <v>13.7</v>
      </c>
      <c r="FZ43" s="12">
        <f>IF('Données projet'!$A$244&gt;35,FZ42+FY43-GH42,IF(A43&lt;'Données projet'!$A$244,$FW$205^A43,IF(A43='Données projet'!$A$244,'Données projet'!$B$244,FZ42+FY43-GH42)))</f>
        <v>284.99999999999989</v>
      </c>
      <c r="GA43" s="17">
        <f>FZ43*VLOOKUP('Données projet'!$B$17,Paramètres!$A$1:$I$89,3,0)*VLOOKUP('Données projet'!$B$17,Paramètres!$A$1:$I$89,5,0)</f>
        <v>170.42999999999995</v>
      </c>
      <c r="GB43" s="13">
        <f t="shared" si="49"/>
        <v>43.186315117079396</v>
      </c>
      <c r="GC43" s="20">
        <f t="shared" si="25"/>
        <v>372.04841549557983</v>
      </c>
      <c r="GD43" s="59">
        <f t="shared" si="26"/>
        <v>665.38174882891315</v>
      </c>
      <c r="GE43" s="59">
        <f ca="1">AVERAGE(OFFSET($GD$3,0,0,'Données projet'!$E$17+1,1))-AVERAGE(OFFSET($H$3,0,0,'Données projet'!$E$17+1,1))</f>
        <v>216.94426559495264</v>
      </c>
      <c r="GF43" s="59">
        <f t="shared" si="50"/>
        <v>225.33715877618704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70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9.737920816498832</v>
      </c>
      <c r="GN43" s="21">
        <f>EXP(-LN(2)/2)*GN42+(1-EXP(-LN(2)/2))/(LN(2)/2)*GH43*GK43*VLOOKUP('Données projet'!$B$17,Paramètres!$A$1:$I$89,3,0)*0.475*44/12</f>
        <v>0.74154249605684286</v>
      </c>
      <c r="GO43" s="21">
        <f t="shared" si="27"/>
        <v>10.479463312555675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158</v>
      </c>
      <c r="GS43" s="12">
        <f>VLOOKUP(A43,'Données projet'!$A$269:$I$289,9,0)</f>
        <v>8.1999999999999993</v>
      </c>
      <c r="GT43" s="12">
        <f t="array" ref="GT43">INDEX(GS:GS,MIN(IF(ISNUMBER(GS43:GS239),ROW(GS43:GS239),"")))</f>
        <v>8.1999999999999993</v>
      </c>
      <c r="GU43" s="12">
        <f>IF('Données projet'!$A$270&gt;35,GU42+GT43-HC42,IF(A43&lt;'Données projet'!$A$270,$GR$205^A43,IF(A43='Données projet'!$A$270,'Données projet'!$B$270,GU42+GT43-HC42)))</f>
        <v>157.99999999999994</v>
      </c>
      <c r="GV43" s="17">
        <f>GU43*VLOOKUP('Données projet'!$B$18,Paramètres!$A$1:$I$89,3,0)*VLOOKUP('Données projet'!$B$18,Paramètres!$A$1:$I$89,5,0)</f>
        <v>152.81759999999994</v>
      </c>
      <c r="GW43" s="13">
        <f t="shared" si="51"/>
        <v>39.218200171484192</v>
      </c>
      <c r="GX43" s="20">
        <f t="shared" si="28"/>
        <v>334.46235196533485</v>
      </c>
      <c r="GY43" s="59">
        <f t="shared" si="29"/>
        <v>627.7956852986681</v>
      </c>
      <c r="GZ43" s="59">
        <f ca="1">AVERAGE(OFFSET($GY$3,0,0,'Données projet'!$E$18+1,1))-AVERAGE(OFFSET($H$3,0,0,'Données projet'!$E$18+1,1))</f>
        <v>261.22357949323879</v>
      </c>
      <c r="HA43" s="59">
        <f t="shared" si="52"/>
        <v>163.41029152029387</v>
      </c>
      <c r="HB43" s="15">
        <f>IF(ISNA(VLOOKUP(A43,'Données projet'!$A$269:$I$289,3,0)),0,VLOOKUP(A43,'Données projet'!$A$269:$I$289,3,0))</f>
        <v>2</v>
      </c>
      <c r="HC43" s="15">
        <f>IF(ISNA(VLOOKUP(A43,'Données projet'!$A$269:$I$289,4,0)),0,VLOOKUP(A43,'Données projet'!$A$269:$I$289,4,0))</f>
        <v>42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2.516196210699992</v>
      </c>
      <c r="HI43" s="21">
        <f>EXP(-LN(2)/2)*HI42+(1-EXP(-LN(2)/2))/(LN(2)/2)*HC43*HF43*VLOOKUP('Données projet'!$B$18,Paramètres!$A$1:$I$89,3,0)*0.475*44/12</f>
        <v>0.20675623220612199</v>
      </c>
      <c r="HJ43" s="22">
        <f t="shared" si="30"/>
        <v>2.7229524429061138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237.22177246688199</v>
      </c>
      <c r="T44" s="59">
        <f t="shared" si="34"/>
        <v>149.27472147904302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6.8</v>
      </c>
      <c r="AI44" s="13">
        <f>IF('Données projet'!$A$62&gt;35,AI43+AH44-AQ43,IF(A44&lt;'Données projet'!$A$62,$AF$205^A44,IF(A44='Données projet'!$A$62,'Données projet'!$B$62,AI43+AH44-AQ43)))</f>
        <v>151.79999999999987</v>
      </c>
      <c r="AJ44" s="13">
        <f>AI44*VLOOKUP('Données projet'!$B$10,Paramètres!$A$1:$I$89,3,0)*VLOOKUP('Données projet'!$B$10,Paramètres!$A$1:$I$89,5,0)</f>
        <v>132.61247999999992</v>
      </c>
      <c r="AK44" s="13">
        <f t="shared" si="35"/>
        <v>34.599325938965436</v>
      </c>
      <c r="AL44" s="20">
        <f t="shared" si="4"/>
        <v>291.22722867703129</v>
      </c>
      <c r="AM44" s="59">
        <f t="shared" si="5"/>
        <v>584.56056201036461</v>
      </c>
      <c r="AN44" s="59">
        <f ca="1">AVERAGE(OFFSET($AM$3,0,0,'Données projet'!$E$10+1,1))-AVERAGE(OFFSET($H$3,0,0,'Données projet'!$E$10+1,1))</f>
        <v>210.07838338464626</v>
      </c>
      <c r="AO44" s="59">
        <f t="shared" si="36"/>
        <v>241.76003724236273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4.2626953198867943</v>
      </c>
      <c r="AV44" s="21">
        <f>EXP(-LN(2)/25)*AV43+(1-EXP(-LN(2)/25))/(LN(2)/25)*Calculateur!AQ44*Calculateur!AS44*VLOOKUP('Données projet'!$B$10,Paramètres!$A$1:$I$89,3,0)*0.475*44/12</f>
        <v>9.9954766872032543</v>
      </c>
      <c r="AW44" s="21">
        <f>EXP(-LN(2)/2)*AW43+(1-EXP(-LN(2)/2))/(LN(2)/2)*AQ44*AT44*VLOOKUP('Données projet'!$B$10,Paramètres!$A$1:$I$89,3,0)*0.475*44/12</f>
        <v>0.35292195464207099</v>
      </c>
      <c r="AX44" s="21">
        <f t="shared" si="6"/>
        <v>14.61109396173212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224.00000000000017</v>
      </c>
      <c r="BE44" s="13">
        <f>BD44*VLOOKUP('Données projet'!$B$11,Paramètres!$A$1:$I$89,3,0)*VLOOKUP('Données projet'!$B$11,Paramètres!$A$1:$I$89,5,0)</f>
        <v>139.77600000000012</v>
      </c>
      <c r="BF44" s="13">
        <f t="shared" si="37"/>
        <v>36.245685459195322</v>
      </c>
      <c r="BG44" s="20">
        <f t="shared" si="7"/>
        <v>306.57110217476543</v>
      </c>
      <c r="BH44" s="59">
        <f t="shared" si="8"/>
        <v>599.90443550809869</v>
      </c>
      <c r="BI44" s="59">
        <f ca="1">AVERAGE(OFFSET($BH$3,0,0,'Données projet'!$E$11+1,1))-AVERAGE(OFFSET($H$3,0,0,'Données projet'!$E$11+1,1))</f>
        <v>209.93608079129638</v>
      </c>
      <c r="BJ44" s="59">
        <f t="shared" si="38"/>
        <v>240.15652428700969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5.5922014139307734</v>
      </c>
      <c r="BQ44" s="21">
        <f>EXP(-LN(2)/25)*BQ43+(1-EXP(-LN(2)/25))/(LN(2)/25)*Calculateur!BL44*Calculateur!BN44*VLOOKUP('Données projet'!$B$11,Paramètres!$A$1:$I$89,3,0)*0.475*44/12</f>
        <v>15.323486765630069</v>
      </c>
      <c r="BR44" s="21">
        <f>EXP(-LN(2)/2)*BR43+(1-EXP(-LN(2)/2))/(LN(2)/2)*BL44*BO44*VLOOKUP('Données projet'!$B$11,Paramètres!$A$1:$I$89,3,0)*0.475*44/12</f>
        <v>0.44615820501135706</v>
      </c>
      <c r="BS44" s="22">
        <f t="shared" si="9"/>
        <v>21.3618463845722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11.499999999999996</v>
      </c>
      <c r="BY44" s="12">
        <f>IF('Données projet'!$A$114&gt;35,BY43+BX44-CG43,IF(A44&lt;'Données projet'!$A$114,$BV$205^A44,IF(A44='Données projet'!$A$114,'Données projet'!$B$114,BY43+BX44-CG43)))</f>
        <v>219.6999999999999</v>
      </c>
      <c r="BZ44" s="13">
        <f>BY44*VLOOKUP('Données projet'!$B$12,Paramètres!$A$1:$I$89,3,0)*VLOOKUP('Données projet'!$B$12,Paramètres!$A$1:$I$89,5,0)</f>
        <v>102.81959999999995</v>
      </c>
      <c r="CA44" s="13">
        <f t="shared" si="39"/>
        <v>27.632637448562328</v>
      </c>
      <c r="CB44" s="20">
        <f t="shared" si="10"/>
        <v>227.20431355624598</v>
      </c>
      <c r="CC44" s="59">
        <f t="shared" si="11"/>
        <v>520.53764688957926</v>
      </c>
      <c r="CD44" s="59">
        <f ca="1">AVERAGE(OFFSET($CC$3,0,0,'Données projet'!$E$12+1,1))-AVERAGE(OFFSET($H$3,0,0,'Données projet'!$E$12+1,1))</f>
        <v>215.23235148064941</v>
      </c>
      <c r="CE44" s="59">
        <f t="shared" si="40"/>
        <v>184.07239726900434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2.5209843695478997</v>
      </c>
      <c r="CL44" s="21">
        <f>EXP(-LN(2)/25)*CL43+(1-EXP(-LN(2)/25))/(LN(2)/25)*Calculateur!CG44*Calculateur!CI44*VLOOKUP('Données projet'!$B$12,Paramètres!$A$1:$I$89,3,0)*0.475*44/12</f>
        <v>5.7905346423098703</v>
      </c>
      <c r="CM44" s="21">
        <f>EXP(-LN(2)/2)*CM43+(1-EXP(-LN(2)/2))/(LN(2)/2)*CG44*CJ44*VLOOKUP('Données projet'!$B$12,Paramètres!$A$1:$I$89,3,0)*0.475*44/12</f>
        <v>0.21726245822000553</v>
      </c>
      <c r="CN44" s="22">
        <f t="shared" si="12"/>
        <v>8.5287814700777762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8.3000000000000007</v>
      </c>
      <c r="CT44" s="12">
        <f>IF('Données projet'!$A$140&gt;35,CT43+CS44-DB43,IF(A44&lt;'Données projet'!$A$140,$CQ$205^A44,IF(A44='Données projet'!$A$140,'Données projet'!$B$140,CT43+CS44-DB43)))</f>
        <v>124.29999999999995</v>
      </c>
      <c r="CU44" s="17">
        <f>CT44*VLOOKUP('Données projet'!$B$13,Paramètres!$A$1:$I$89,3,0)*VLOOKUP('Données projet'!$B$13,Paramètres!$A$1:$I$89,5,0)</f>
        <v>126.04019999999996</v>
      </c>
      <c r="CV44" s="13">
        <f t="shared" si="41"/>
        <v>33.079725051468074</v>
      </c>
      <c r="CW44" s="20">
        <f t="shared" si="13"/>
        <v>277.13386946464016</v>
      </c>
      <c r="CX44" s="59">
        <f t="shared" si="14"/>
        <v>570.46720279797341</v>
      </c>
      <c r="CY44" s="59">
        <f ca="1">AVERAGE(OFFSET($CX$3,0,0,'Données projet'!$E$13+1,1))-AVERAGE(OFFSET($H$3,0,0,'Données projet'!$E$13+1,1))</f>
        <v>279.20364724206644</v>
      </c>
      <c r="CZ44" s="59">
        <f t="shared" si="42"/>
        <v>173.99850582760712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2.5658128233037183</v>
      </c>
      <c r="DH44" s="21">
        <f>EXP(-LN(2)/2)*DH43+(1-EXP(-LN(2)/2))/(LN(2)/2)*DB44*DE44*VLOOKUP('Données projet'!$B$13,Paramètres!$A$1:$I$89,3,0)*0.475*44/12</f>
        <v>0.15327286612837751</v>
      </c>
      <c r="DI44" s="22">
        <f t="shared" si="15"/>
        <v>2.7190856894320956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8.3000000000000007</v>
      </c>
      <c r="DO44" s="12">
        <f>IF('Données projet'!$A$166&gt;35,DO43+DN44-DW43,IF(A44&lt;'Données projet'!$A$166,$DL$205^A44,IF(A44='Données projet'!$A$166,'Données projet'!$B$166,DO43+DN44-DW43)))</f>
        <v>124.29999999999995</v>
      </c>
      <c r="DP44" s="17">
        <f>DO44*VLOOKUP('Données projet'!$B$14,Paramètres!$A$1:$I$89,3,0)*VLOOKUP('Données projet'!$B$14,Paramètres!$A$1:$I$89,5,0)</f>
        <v>129.91835999999998</v>
      </c>
      <c r="DQ44" s="13">
        <f t="shared" si="43"/>
        <v>33.977494035704119</v>
      </c>
      <c r="DR44" s="20">
        <f t="shared" si="16"/>
        <v>285.45194577885133</v>
      </c>
      <c r="DS44" s="59">
        <f t="shared" si="17"/>
        <v>578.78527911218464</v>
      </c>
      <c r="DT44" s="59">
        <f ca="1">AVERAGE(OFFSET($DS$3,0,0,'Données projet'!$E$14+1,1))-AVERAGE(OFFSET($H$3,0,0,'Données projet'!$E$14+1,1))</f>
        <v>291.18074901939718</v>
      </c>
      <c r="DU44" s="59">
        <f t="shared" si="44"/>
        <v>181.05123751753774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2.6447609101746021</v>
      </c>
      <c r="EC44" s="21">
        <f>EXP(-LN(2)/2)*EC43+(1-EXP(-LN(2)/2))/(LN(2)/2)*DW44*DZ44*VLOOKUP('Données projet'!$B$14,Paramètres!$A$1:$I$89,3,0)*0.475*44/12</f>
        <v>0.15798895431694313</v>
      </c>
      <c r="ED44" s="22">
        <f t="shared" si="18"/>
        <v>2.8027498644915454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9.8333333333333339</v>
      </c>
      <c r="EJ44" s="12">
        <f>IF('Données projet'!$A$192&gt;35,EJ43+EI44-ER43,IF(A44&lt;'Données projet'!$A$192,$EG$205^A44,IF(A44='Données projet'!$A$192,'Données projet'!$B$192,EJ43+EI44-ER43)))</f>
        <v>243.83333333333337</v>
      </c>
      <c r="EK44" s="17">
        <f>EJ44*VLOOKUP('Données projet'!$B$15,Paramètres!$A$1:$I$89,3,0)*VLOOKUP('Données projet'!$B$15,Paramètres!$A$1:$I$89,5,0)</f>
        <v>145.81233333333336</v>
      </c>
      <c r="EL44" s="13">
        <f t="shared" si="45"/>
        <v>37.625360763194948</v>
      </c>
      <c r="EM44" s="20">
        <f t="shared" si="19"/>
        <v>319.4873172181201</v>
      </c>
      <c r="EN44" s="59">
        <f t="shared" si="20"/>
        <v>612.82065055145335</v>
      </c>
      <c r="EO44" s="59">
        <f ca="1">AVERAGE(OFFSET($EN$3,0,0,'Données projet'!$E$15+1,1))-AVERAGE(OFFSET($H$3,0,0,'Données projet'!$E$15+1,1))</f>
        <v>168.08890945052406</v>
      </c>
      <c r="EP44" s="59">
        <f t="shared" si="46"/>
        <v>182.52462557642343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4.9962077736111716</v>
      </c>
      <c r="EW44" s="21">
        <f>EXP(-LN(2)/25)*EW43+(1-EXP(-LN(2)/25))/(LN(2)/25)*Calculateur!ER44*Calculateur!ET44*VLOOKUP('Données projet'!$B$15,Paramètres!$A$1:$I$89,3,0)*0.475*44/12</f>
        <v>9.0895200630498039</v>
      </c>
      <c r="EX44" s="21">
        <f>EXP(-LN(2)/2)*EX43+(1-EXP(-LN(2)/2))/(LN(2)/2)*ER44*EU44*VLOOKUP('Données projet'!$B$15,Paramètres!$A$1:$I$89,3,0)*0.475*44/12</f>
        <v>0.12033393768636574</v>
      </c>
      <c r="EY44" s="22">
        <f t="shared" si="21"/>
        <v>14.206061774347342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7.7</v>
      </c>
      <c r="FE44" s="12">
        <f>IF('Données projet'!$A$218&gt;35,FE43+FD44-FM43,IF(A44&lt;'Données projet'!$A$218,$FB$205^A44,IF(A44='Données projet'!$A$218,'Données projet'!$B$218,FE43+FD44-FM43)))</f>
        <v>171.69999999999985</v>
      </c>
      <c r="FF44" s="17">
        <f>FE44*VLOOKUP('Données projet'!$B$16,Paramètres!$A$1:$I$89,3,0)*VLOOKUP('Données projet'!$B$16,Paramètres!$A$1:$I$89,5,0)</f>
        <v>115.1763599999999</v>
      </c>
      <c r="FG44" s="13">
        <f t="shared" si="47"/>
        <v>30.547292267481989</v>
      </c>
      <c r="FH44" s="20">
        <f t="shared" si="22"/>
        <v>253.80202769919762</v>
      </c>
      <c r="FI44" s="59">
        <f t="shared" si="23"/>
        <v>547.13536103253091</v>
      </c>
      <c r="FJ44" s="59">
        <f ca="1">AVERAGE(OFFSET($FI$3,0,0,'Données projet'!$E$16+1,1))-AVERAGE(OFFSET($H$3,0,0,'Données projet'!$E$16+1,1))</f>
        <v>156.63226020379989</v>
      </c>
      <c r="FK44" s="59">
        <f t="shared" si="48"/>
        <v>196.0481096619543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6.390927978943636</v>
      </c>
      <c r="FS44" s="21">
        <f>EXP(-LN(2)/2)*FS43+(1-EXP(-LN(2)/2))/(LN(2)/2)*FM44*FP44*VLOOKUP('Données projet'!$B$16,Paramètres!$A$1:$I$89,3,0)*0.475*44/12</f>
        <v>0.20049727290881356</v>
      </c>
      <c r="FT44" s="22">
        <f t="shared" si="24"/>
        <v>6.5914252518524492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12.8</v>
      </c>
      <c r="FZ44" s="12">
        <f>IF('Données projet'!$A$244&gt;35,FZ43+FY44-GH43,IF(A44&lt;'Données projet'!$A$244,$FW$205^A44,IF(A44='Données projet'!$A$244,'Données projet'!$B$244,FZ43+FY44-GH43)))</f>
        <v>227.7999999999999</v>
      </c>
      <c r="GA44" s="17">
        <f>FZ44*VLOOKUP('Données projet'!$B$17,Paramètres!$A$1:$I$89,3,0)*VLOOKUP('Données projet'!$B$17,Paramètres!$A$1:$I$89,5,0)</f>
        <v>136.22439999999995</v>
      </c>
      <c r="GB44" s="13">
        <f t="shared" si="49"/>
        <v>35.430697151629076</v>
      </c>
      <c r="GC44" s="20">
        <f t="shared" si="25"/>
        <v>298.96596087242057</v>
      </c>
      <c r="GD44" s="59">
        <f t="shared" si="26"/>
        <v>592.29929420575388</v>
      </c>
      <c r="GE44" s="59">
        <f ca="1">AVERAGE(OFFSET($GD$3,0,0,'Données projet'!$E$17+1,1))-AVERAGE(OFFSET($H$3,0,0,'Données projet'!$E$17+1,1))</f>
        <v>216.94426559495264</v>
      </c>
      <c r="GF44" s="59">
        <f t="shared" si="50"/>
        <v>225.33715877618704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9.4716368596766713</v>
      </c>
      <c r="GN44" s="21">
        <f>EXP(-LN(2)/2)*GN43+(1-EXP(-LN(2)/2))/(LN(2)/2)*GH44*GK44*VLOOKUP('Données projet'!$B$17,Paramètres!$A$1:$I$89,3,0)*0.475*44/12</f>
        <v>0.52434972749979225</v>
      </c>
      <c r="GO44" s="21">
        <f t="shared" si="27"/>
        <v>9.9959865871764642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8.3000000000000007</v>
      </c>
      <c r="GU44" s="12">
        <f>IF('Données projet'!$A$270&gt;35,GU43+GT44-HC43,IF(A44&lt;'Données projet'!$A$270,$GR$205^A44,IF(A44='Données projet'!$A$270,'Données projet'!$B$270,GU43+GT44-HC43)))</f>
        <v>124.29999999999995</v>
      </c>
      <c r="GV44" s="17">
        <f>GU44*VLOOKUP('Données projet'!$B$18,Paramètres!$A$1:$I$89,3,0)*VLOOKUP('Données projet'!$B$18,Paramètres!$A$1:$I$89,5,0)</f>
        <v>120.22295999999996</v>
      </c>
      <c r="GW44" s="13">
        <f t="shared" si="51"/>
        <v>31.726995433347049</v>
      </c>
      <c r="GX44" s="20">
        <f t="shared" si="28"/>
        <v>264.64617237974602</v>
      </c>
      <c r="GY44" s="59">
        <f t="shared" si="29"/>
        <v>557.97950571307933</v>
      </c>
      <c r="GZ44" s="59">
        <f ca="1">AVERAGE(OFFSET($GY$3,0,0,'Données projet'!$E$18+1,1))-AVERAGE(OFFSET($H$3,0,0,'Données projet'!$E$18+1,1))</f>
        <v>261.22357949323879</v>
      </c>
      <c r="HA44" s="59">
        <f t="shared" si="52"/>
        <v>163.41029152029387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2.4473906929973928</v>
      </c>
      <c r="HI44" s="21">
        <f>EXP(-LN(2)/2)*HI43+(1-EXP(-LN(2)/2))/(LN(2)/2)*HC44*HF44*VLOOKUP('Données projet'!$B$18,Paramètres!$A$1:$I$89,3,0)*0.475*44/12</f>
        <v>0.14619873384552931</v>
      </c>
      <c r="HJ44" s="22">
        <f t="shared" si="30"/>
        <v>2.593589426842922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237.22177246688199</v>
      </c>
      <c r="T45" s="59">
        <f t="shared" si="34"/>
        <v>149.27472147904302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6.8</v>
      </c>
      <c r="AI45" s="13">
        <f>IF('Données projet'!$A$62&gt;35,AI44+AH45-AQ44,IF(A45&lt;'Données projet'!$A$62,$AF$205^A45,IF(A45='Données projet'!$A$62,'Données projet'!$B$62,AI44+AH45-AQ44)))</f>
        <v>158.59999999999988</v>
      </c>
      <c r="AJ45" s="13">
        <f>AI45*VLOOKUP('Données projet'!$B$10,Paramètres!$A$1:$I$89,3,0)*VLOOKUP('Données projet'!$B$10,Paramètres!$A$1:$I$89,5,0)</f>
        <v>138.55295999999993</v>
      </c>
      <c r="AK45" s="13">
        <f t="shared" si="35"/>
        <v>35.965308766301767</v>
      </c>
      <c r="AL45" s="20">
        <f t="shared" si="4"/>
        <v>303.95265143464206</v>
      </c>
      <c r="AM45" s="59">
        <f t="shared" si="5"/>
        <v>597.28598476797538</v>
      </c>
      <c r="AN45" s="59">
        <f ca="1">AVERAGE(OFFSET($AM$3,0,0,'Données projet'!$E$10+1,1))-AVERAGE(OFFSET($H$3,0,0,'Données projet'!$E$10+1,1))</f>
        <v>210.07838338464626</v>
      </c>
      <c r="AO45" s="59">
        <f t="shared" si="36"/>
        <v>241.76003724236273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4.1791064646512321</v>
      </c>
      <c r="AV45" s="21">
        <f>EXP(-LN(2)/25)*AV44+(1-EXP(-LN(2)/25))/(LN(2)/25)*Calculateur!AQ45*Calculateur!AS45*VLOOKUP('Données projet'!$B$10,Paramètres!$A$1:$I$89,3,0)*0.475*44/12</f>
        <v>9.7221498515524072</v>
      </c>
      <c r="AW45" s="21">
        <f>EXP(-LN(2)/2)*AW44+(1-EXP(-LN(2)/2))/(LN(2)/2)*AQ45*AT45*VLOOKUP('Données projet'!$B$10,Paramètres!$A$1:$I$89,3,0)*0.475*44/12</f>
        <v>0.24955350735701956</v>
      </c>
      <c r="AX45" s="21">
        <f t="shared" si="6"/>
        <v>14.150809823560659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235.00000000000017</v>
      </c>
      <c r="BE45" s="13">
        <f>BD45*VLOOKUP('Données projet'!$B$11,Paramètres!$A$1:$I$89,3,0)*VLOOKUP('Données projet'!$B$11,Paramètres!$A$1:$I$89,5,0)</f>
        <v>146.6400000000001</v>
      </c>
      <c r="BF45" s="13">
        <f t="shared" si="37"/>
        <v>37.814009712703054</v>
      </c>
      <c r="BG45" s="20">
        <f t="shared" si="7"/>
        <v>321.25740024962471</v>
      </c>
      <c r="BH45" s="59">
        <f t="shared" si="8"/>
        <v>614.59073358295802</v>
      </c>
      <c r="BI45" s="59">
        <f ca="1">AVERAGE(OFFSET($BH$3,0,0,'Données projet'!$E$11+1,1))-AVERAGE(OFFSET($H$3,0,0,'Données projet'!$E$11+1,1))</f>
        <v>209.93608079129638</v>
      </c>
      <c r="BJ45" s="59">
        <f t="shared" si="38"/>
        <v>240.15652428700969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5.4825417551096542</v>
      </c>
      <c r="BQ45" s="21">
        <f>EXP(-LN(2)/25)*BQ44+(1-EXP(-LN(2)/25))/(LN(2)/25)*Calculateur!BL45*Calculateur!BN45*VLOOKUP('Données projet'!$B$11,Paramètres!$A$1:$I$89,3,0)*0.475*44/12</f>
        <v>14.904465214196767</v>
      </c>
      <c r="BR45" s="21">
        <f>EXP(-LN(2)/2)*BR44+(1-EXP(-LN(2)/2))/(LN(2)/2)*BL45*BO45*VLOOKUP('Données projet'!$B$11,Paramètres!$A$1:$I$89,3,0)*0.475*44/12</f>
        <v>0.3154814922455485</v>
      </c>
      <c r="BS45" s="22">
        <f t="shared" si="9"/>
        <v>20.702488461551969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11.499999999999996</v>
      </c>
      <c r="BY45" s="12">
        <f>IF('Données projet'!$A$114&gt;35,BY44+BX45-CG44,IF(A45&lt;'Données projet'!$A$114,$BV$205^A45,IF(A45='Données projet'!$A$114,'Données projet'!$B$114,BY44+BX45-CG44)))</f>
        <v>231.1999999999999</v>
      </c>
      <c r="BZ45" s="13">
        <f>BY45*VLOOKUP('Données projet'!$B$12,Paramètres!$A$1:$I$89,3,0)*VLOOKUP('Données projet'!$B$12,Paramètres!$A$1:$I$89,5,0)</f>
        <v>108.20159999999994</v>
      </c>
      <c r="CA45" s="13">
        <f t="shared" si="39"/>
        <v>28.906861857161235</v>
      </c>
      <c r="CB45" s="20">
        <f t="shared" si="10"/>
        <v>238.79723773455569</v>
      </c>
      <c r="CC45" s="59">
        <f t="shared" si="11"/>
        <v>532.13057106788904</v>
      </c>
      <c r="CD45" s="59">
        <f ca="1">AVERAGE(OFFSET($CC$3,0,0,'Données projet'!$E$12+1,1))-AVERAGE(OFFSET($H$3,0,0,'Données projet'!$E$12+1,1))</f>
        <v>215.23235148064941</v>
      </c>
      <c r="CE45" s="59">
        <f t="shared" si="40"/>
        <v>184.07239726900434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2.4715494037097008</v>
      </c>
      <c r="CL45" s="21">
        <f>EXP(-LN(2)/25)*CL44+(1-EXP(-LN(2)/25))/(LN(2)/25)*Calculateur!CG45*Calculateur!CI45*VLOOKUP('Données projet'!$B$12,Paramètres!$A$1:$I$89,3,0)*0.475*44/12</f>
        <v>5.6321921680049245</v>
      </c>
      <c r="CM45" s="21">
        <f>EXP(-LN(2)/2)*CM44+(1-EXP(-LN(2)/2))/(LN(2)/2)*CG45*CJ45*VLOOKUP('Données projet'!$B$12,Paramètres!$A$1:$I$89,3,0)*0.475*44/12</f>
        <v>0.15362775750462487</v>
      </c>
      <c r="CN45" s="22">
        <f t="shared" si="12"/>
        <v>8.2573693292192498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8.3000000000000007</v>
      </c>
      <c r="CT45" s="12">
        <f>IF('Données projet'!$A$140&gt;35,CT44+CS45-DB44,IF(A45&lt;'Données projet'!$A$140,$CQ$205^A45,IF(A45='Données projet'!$A$140,'Données projet'!$B$140,CT44+CS45-DB44)))</f>
        <v>132.59999999999997</v>
      </c>
      <c r="CU45" s="17">
        <f>CT45*VLOOKUP('Données projet'!$B$13,Paramètres!$A$1:$I$89,3,0)*VLOOKUP('Données projet'!$B$13,Paramètres!$A$1:$I$89,5,0)</f>
        <v>134.45639999999997</v>
      </c>
      <c r="CV45" s="13">
        <f t="shared" si="41"/>
        <v>35.024073835162383</v>
      </c>
      <c r="CW45" s="20">
        <f t="shared" si="13"/>
        <v>295.17849192957436</v>
      </c>
      <c r="CX45" s="59">
        <f t="shared" si="14"/>
        <v>588.51182526290768</v>
      </c>
      <c r="CY45" s="59">
        <f ca="1">AVERAGE(OFFSET($CX$3,0,0,'Données projet'!$E$13+1,1))-AVERAGE(OFFSET($H$3,0,0,'Données projet'!$E$13+1,1))</f>
        <v>279.20364724206644</v>
      </c>
      <c r="CZ45" s="59">
        <f t="shared" si="42"/>
        <v>173.99850582760712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2.4956505367202459</v>
      </c>
      <c r="DH45" s="21">
        <f>EXP(-LN(2)/2)*DH44+(1-EXP(-LN(2)/2))/(LN(2)/2)*DB45*DE45*VLOOKUP('Données projet'!$B$13,Paramètres!$A$1:$I$89,3,0)*0.475*44/12</f>
        <v>0.10838028301127363</v>
      </c>
      <c r="DI45" s="22">
        <f t="shared" si="15"/>
        <v>2.6040308197315194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8.3000000000000007</v>
      </c>
      <c r="DO45" s="12">
        <f>IF('Données projet'!$A$166&gt;35,DO44+DN45-DW44,IF(A45&lt;'Données projet'!$A$166,$DL$205^A45,IF(A45='Données projet'!$A$166,'Données projet'!$B$166,DO44+DN45-DW44)))</f>
        <v>132.59999999999997</v>
      </c>
      <c r="DP45" s="17">
        <f>DO45*VLOOKUP('Données projet'!$B$14,Paramètres!$A$1:$I$89,3,0)*VLOOKUP('Données projet'!$B$14,Paramètres!$A$1:$I$89,5,0)</f>
        <v>138.59351999999998</v>
      </c>
      <c r="DQ45" s="13">
        <f t="shared" si="43"/>
        <v>35.97461157820225</v>
      </c>
      <c r="DR45" s="20">
        <f t="shared" si="16"/>
        <v>304.03949583203553</v>
      </c>
      <c r="DS45" s="59">
        <f t="shared" si="17"/>
        <v>597.37282916536878</v>
      </c>
      <c r="DT45" s="59">
        <f ca="1">AVERAGE(OFFSET($DS$3,0,0,'Données projet'!$E$14+1,1))-AVERAGE(OFFSET($H$3,0,0,'Données projet'!$E$14+1,1))</f>
        <v>291.18074901939718</v>
      </c>
      <c r="DU45" s="59">
        <f t="shared" si="44"/>
        <v>181.05123751753774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2.5724397840039459</v>
      </c>
      <c r="EC45" s="21">
        <f>EXP(-LN(2)/2)*EC44+(1-EXP(-LN(2)/2))/(LN(2)/2)*DW45*DZ45*VLOOKUP('Données projet'!$B$14,Paramètres!$A$1:$I$89,3,0)*0.475*44/12</f>
        <v>0.11171506095008216</v>
      </c>
      <c r="ED45" s="22">
        <f t="shared" si="18"/>
        <v>2.684154844954028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9.8333333333333339</v>
      </c>
      <c r="EJ45" s="12">
        <f>IF('Données projet'!$A$192&gt;35,EJ44+EI45-ER44,IF(A45&lt;'Données projet'!$A$192,$EG$205^A45,IF(A45='Données projet'!$A$192,'Données projet'!$B$192,EJ44+EI45-ER44)))</f>
        <v>253.66666666666671</v>
      </c>
      <c r="EK45" s="17">
        <f>EJ45*VLOOKUP('Données projet'!$B$15,Paramètres!$A$1:$I$89,3,0)*VLOOKUP('Données projet'!$B$15,Paramètres!$A$1:$I$89,5,0)</f>
        <v>151.6926666666667</v>
      </c>
      <c r="EL45" s="13">
        <f t="shared" si="45"/>
        <v>38.96299861908853</v>
      </c>
      <c r="EM45" s="20">
        <f t="shared" si="19"/>
        <v>332.05861703935699</v>
      </c>
      <c r="EN45" s="59">
        <f t="shared" si="20"/>
        <v>625.3919503726903</v>
      </c>
      <c r="EO45" s="59">
        <f ca="1">AVERAGE(OFFSET($EN$3,0,0,'Données projet'!$E$15+1,1))-AVERAGE(OFFSET($H$3,0,0,'Données projet'!$E$15+1,1))</f>
        <v>168.08890945052406</v>
      </c>
      <c r="EP45" s="59">
        <f t="shared" si="46"/>
        <v>182.52462557642343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4.8982351865564944</v>
      </c>
      <c r="EW45" s="21">
        <f>EXP(-LN(2)/25)*EW44+(1-EXP(-LN(2)/25))/(LN(2)/25)*Calculateur!ER45*Calculateur!ET45*VLOOKUP('Données projet'!$B$15,Paramètres!$A$1:$I$89,3,0)*0.475*44/12</f>
        <v>8.8409666589286218</v>
      </c>
      <c r="EX45" s="21">
        <f>EXP(-LN(2)/2)*EX44+(1-EXP(-LN(2)/2))/(LN(2)/2)*ER45*EU45*VLOOKUP('Données projet'!$B$15,Paramètres!$A$1:$I$89,3,0)*0.475*44/12</f>
        <v>8.5088943344908671E-2</v>
      </c>
      <c r="EY45" s="22">
        <f t="shared" si="21"/>
        <v>13.824290788830025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7.7</v>
      </c>
      <c r="FE45" s="12">
        <f>IF('Données projet'!$A$218&gt;35,FE44+FD45-FM44,IF(A45&lt;'Données projet'!$A$218,$FB$205^A45,IF(A45='Données projet'!$A$218,'Données projet'!$B$218,FE44+FD45-FM44)))</f>
        <v>179.39999999999984</v>
      </c>
      <c r="FF45" s="17">
        <f>FE45*VLOOKUP('Données projet'!$B$16,Paramètres!$A$1:$I$89,3,0)*VLOOKUP('Données projet'!$B$16,Paramètres!$A$1:$I$89,5,0)</f>
        <v>120.34151999999989</v>
      </c>
      <c r="FG45" s="13">
        <f t="shared" si="47"/>
        <v>31.754640046026022</v>
      </c>
      <c r="FH45" s="20">
        <f t="shared" si="22"/>
        <v>264.90081208016181</v>
      </c>
      <c r="FI45" s="59">
        <f t="shared" si="23"/>
        <v>558.23414541349507</v>
      </c>
      <c r="FJ45" s="59">
        <f ca="1">AVERAGE(OFFSET($FI$3,0,0,'Données projet'!$E$16+1,1))-AVERAGE(OFFSET($H$3,0,0,'Données projet'!$E$16+1,1))</f>
        <v>156.63226020379989</v>
      </c>
      <c r="FK45" s="59">
        <f t="shared" si="48"/>
        <v>196.0481096619543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6.2161677172751268</v>
      </c>
      <c r="FS45" s="21">
        <f>EXP(-LN(2)/2)*FS44+(1-EXP(-LN(2)/2))/(LN(2)/2)*FM45*FP45*VLOOKUP('Données projet'!$B$16,Paramètres!$A$1:$I$89,3,0)*0.475*44/12</f>
        <v>0.14177298128323193</v>
      </c>
      <c r="FT45" s="22">
        <f t="shared" si="24"/>
        <v>6.3579406985583589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12.8</v>
      </c>
      <c r="FZ45" s="12">
        <f>IF('Données projet'!$A$244&gt;35,FZ44+FY45-GH44,IF(A45&lt;'Données projet'!$A$244,$FW$205^A45,IF(A45='Données projet'!$A$244,'Données projet'!$B$244,FZ44+FY45-GH44)))</f>
        <v>240.59999999999991</v>
      </c>
      <c r="GA45" s="17">
        <f>FZ45*VLOOKUP('Données projet'!$B$17,Paramètres!$A$1:$I$89,3,0)*VLOOKUP('Données projet'!$B$17,Paramètres!$A$1:$I$89,5,0)</f>
        <v>143.87879999999996</v>
      </c>
      <c r="GB45" s="13">
        <f t="shared" si="49"/>
        <v>37.184165858158067</v>
      </c>
      <c r="GC45" s="20">
        <f t="shared" si="25"/>
        <v>315.35133220295853</v>
      </c>
      <c r="GD45" s="59">
        <f t="shared" si="26"/>
        <v>608.68466553629185</v>
      </c>
      <c r="GE45" s="59">
        <f ca="1">AVERAGE(OFFSET($GD$3,0,0,'Données projet'!$E$17+1,1))-AVERAGE(OFFSET($H$3,0,0,'Données projet'!$E$17+1,1))</f>
        <v>216.94426559495264</v>
      </c>
      <c r="GF45" s="59">
        <f t="shared" si="50"/>
        <v>225.33715877618704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9.2126344516570775</v>
      </c>
      <c r="GN45" s="21">
        <f>EXP(-LN(2)/2)*GN44+(1-EXP(-LN(2)/2))/(LN(2)/2)*GH45*GK45*VLOOKUP('Données projet'!$B$17,Paramètres!$A$1:$I$89,3,0)*0.475*44/12</f>
        <v>0.37077124802842143</v>
      </c>
      <c r="GO45" s="21">
        <f t="shared" si="27"/>
        <v>9.5834056996854997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8.3000000000000007</v>
      </c>
      <c r="GU45" s="12">
        <f>IF('Données projet'!$A$270&gt;35,GU44+GT45-HC44,IF(A45&lt;'Données projet'!$A$270,$GR$205^A45,IF(A45='Données projet'!$A$270,'Données projet'!$B$270,GU44+GT45-HC44)))</f>
        <v>132.59999999999997</v>
      </c>
      <c r="GV45" s="17">
        <f>GU45*VLOOKUP('Données projet'!$B$18,Paramètres!$A$1:$I$89,3,0)*VLOOKUP('Données projet'!$B$18,Paramètres!$A$1:$I$89,5,0)</f>
        <v>128.25071999999997</v>
      </c>
      <c r="GW45" s="13">
        <f t="shared" si="51"/>
        <v>33.591833937449593</v>
      </c>
      <c r="GX45" s="20">
        <f t="shared" si="28"/>
        <v>281.875781441058</v>
      </c>
      <c r="GY45" s="59">
        <f t="shared" si="29"/>
        <v>575.20911477439131</v>
      </c>
      <c r="GZ45" s="59">
        <f ca="1">AVERAGE(OFFSET($GY$3,0,0,'Données projet'!$E$18+1,1))-AVERAGE(OFFSET($H$3,0,0,'Données projet'!$E$18+1,1))</f>
        <v>261.22357949323879</v>
      </c>
      <c r="HA45" s="59">
        <f t="shared" si="52"/>
        <v>163.41029152029387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2.380466665794696</v>
      </c>
      <c r="HI45" s="21">
        <f>EXP(-LN(2)/2)*HI44+(1-EXP(-LN(2)/2))/(LN(2)/2)*HC45*HF45*VLOOKUP('Données projet'!$B$18,Paramètres!$A$1:$I$89,3,0)*0.475*44/12</f>
        <v>0.103378116103061</v>
      </c>
      <c r="HJ45" s="22">
        <f t="shared" si="30"/>
        <v>2.4838447818977571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237.22177246688199</v>
      </c>
      <c r="T46" s="59">
        <f t="shared" si="34"/>
        <v>149.27472147904302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6.8</v>
      </c>
      <c r="AI46" s="13">
        <f>IF('Données projet'!$A$62&gt;35,AI45+AH46-AQ45,IF(A46&lt;'Données projet'!$A$62,$AF$205^A46,IF(A46='Données projet'!$A$62,'Données projet'!$B$62,AI45+AH46-AQ45)))</f>
        <v>165.39999999999989</v>
      </c>
      <c r="AJ46" s="13">
        <f>AI46*VLOOKUP('Données projet'!$B$10,Paramètres!$A$1:$I$89,3,0)*VLOOKUP('Données projet'!$B$10,Paramètres!$A$1:$I$89,5,0)</f>
        <v>144.49343999999994</v>
      </c>
      <c r="AK46" s="13">
        <f t="shared" si="35"/>
        <v>37.324489208332842</v>
      </c>
      <c r="AL46" s="20">
        <f t="shared" si="4"/>
        <v>316.66622670451289</v>
      </c>
      <c r="AM46" s="59">
        <f t="shared" si="5"/>
        <v>609.99956003784621</v>
      </c>
      <c r="AN46" s="59">
        <f ca="1">AVERAGE(OFFSET($AM$3,0,0,'Données projet'!$E$10+1,1))-AVERAGE(OFFSET($H$3,0,0,'Données projet'!$E$10+1,1))</f>
        <v>210.07838338464626</v>
      </c>
      <c r="AO46" s="59">
        <f t="shared" si="36"/>
        <v>241.76003724236273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4.0971567358826722</v>
      </c>
      <c r="AV46" s="21">
        <f>EXP(-LN(2)/25)*AV45+(1-EXP(-LN(2)/25))/(LN(2)/25)*Calculateur!AQ46*Calculateur!AS46*VLOOKUP('Données projet'!$B$10,Paramètres!$A$1:$I$89,3,0)*0.475*44/12</f>
        <v>9.4562971525960666</v>
      </c>
      <c r="AW46" s="21">
        <f>EXP(-LN(2)/2)*AW45+(1-EXP(-LN(2)/2))/(LN(2)/2)*AQ46*AT46*VLOOKUP('Données projet'!$B$10,Paramètres!$A$1:$I$89,3,0)*0.475*44/12</f>
        <v>0.17646097732103552</v>
      </c>
      <c r="AX46" s="21">
        <f t="shared" si="6"/>
        <v>13.729914865799774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246.00000000000017</v>
      </c>
      <c r="BE46" s="13">
        <f>BD46*VLOOKUP('Données projet'!$B$11,Paramètres!$A$1:$I$89,3,0)*VLOOKUP('Données projet'!$B$11,Paramètres!$A$1:$I$89,5,0)</f>
        <v>153.5040000000001</v>
      </c>
      <c r="BF46" s="13">
        <f t="shared" si="37"/>
        <v>39.373808884365637</v>
      </c>
      <c r="BG46" s="20">
        <f t="shared" si="7"/>
        <v>335.92885047360363</v>
      </c>
      <c r="BH46" s="59">
        <f t="shared" si="8"/>
        <v>629.26218380693695</v>
      </c>
      <c r="BI46" s="59">
        <f ca="1">AVERAGE(OFFSET($BH$3,0,0,'Données projet'!$E$11+1,1))-AVERAGE(OFFSET($H$3,0,0,'Données projet'!$E$11+1,1))</f>
        <v>209.93608079129638</v>
      </c>
      <c r="BJ46" s="59">
        <f t="shared" si="38"/>
        <v>240.15652428700969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5.3750324553122297</v>
      </c>
      <c r="BQ46" s="21">
        <f>EXP(-LN(2)/25)*BQ45+(1-EXP(-LN(2)/25))/(LN(2)/25)*Calculateur!BL46*Calculateur!BN46*VLOOKUP('Données projet'!$B$11,Paramètres!$A$1:$I$89,3,0)*0.475*44/12</f>
        <v>14.496901829122795</v>
      </c>
      <c r="BR46" s="21">
        <f>EXP(-LN(2)/2)*BR45+(1-EXP(-LN(2)/2))/(LN(2)/2)*BL46*BO46*VLOOKUP('Données projet'!$B$11,Paramètres!$A$1:$I$89,3,0)*0.475*44/12</f>
        <v>0.22307910250567856</v>
      </c>
      <c r="BS46" s="22">
        <f t="shared" si="9"/>
        <v>20.095013386940703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11.499999999999996</v>
      </c>
      <c r="BY46" s="12">
        <f>IF('Données projet'!$A$114&gt;35,BY45+BX46-CG45,IF(A46&lt;'Données projet'!$A$114,$BV$205^A46,IF(A46='Données projet'!$A$114,'Données projet'!$B$114,BY45+BX46-CG45)))</f>
        <v>242.6999999999999</v>
      </c>
      <c r="BZ46" s="13">
        <f>BY46*VLOOKUP('Données projet'!$B$12,Paramètres!$A$1:$I$89,3,0)*VLOOKUP('Données projet'!$B$12,Paramètres!$A$1:$I$89,5,0)</f>
        <v>113.58359999999995</v>
      </c>
      <c r="CA46" s="13">
        <f t="shared" si="39"/>
        <v>30.17372688298952</v>
      </c>
      <c r="CB46" s="20">
        <f t="shared" si="10"/>
        <v>250.37734432120666</v>
      </c>
      <c r="CC46" s="59">
        <f t="shared" si="11"/>
        <v>543.71067765453995</v>
      </c>
      <c r="CD46" s="59">
        <f ca="1">AVERAGE(OFFSET($CC$3,0,0,'Données projet'!$E$12+1,1))-AVERAGE(OFFSET($H$3,0,0,'Données projet'!$E$12+1,1))</f>
        <v>215.23235148064941</v>
      </c>
      <c r="CE46" s="59">
        <f t="shared" si="40"/>
        <v>184.07239726900434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2.4230838273992368</v>
      </c>
      <c r="CL46" s="21">
        <f>EXP(-LN(2)/25)*CL45+(1-EXP(-LN(2)/25))/(LN(2)/25)*Calculateur!CG46*Calculateur!CI46*VLOOKUP('Données projet'!$B$12,Paramètres!$A$1:$I$89,3,0)*0.475*44/12</f>
        <v>5.4781795769867161</v>
      </c>
      <c r="CM46" s="21">
        <f>EXP(-LN(2)/2)*CM45+(1-EXP(-LN(2)/2))/(LN(2)/2)*CG46*CJ46*VLOOKUP('Données projet'!$B$12,Paramètres!$A$1:$I$89,3,0)*0.475*44/12</f>
        <v>0.10863122911000277</v>
      </c>
      <c r="CN46" s="22">
        <f t="shared" si="12"/>
        <v>8.0098946334959553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8.3000000000000007</v>
      </c>
      <c r="CT46" s="12">
        <f>IF('Données projet'!$A$140&gt;35,CT45+CS46-DB45,IF(A46&lt;'Données projet'!$A$140,$CQ$205^A46,IF(A46='Données projet'!$A$140,'Données projet'!$B$140,CT45+CS46-DB45)))</f>
        <v>140.89999999999998</v>
      </c>
      <c r="CU46" s="17">
        <f>CT46*VLOOKUP('Données projet'!$B$13,Paramètres!$A$1:$I$89,3,0)*VLOOKUP('Données projet'!$B$13,Paramètres!$A$1:$I$89,5,0)</f>
        <v>142.87260000000001</v>
      </c>
      <c r="CV46" s="13">
        <f t="shared" si="41"/>
        <v>36.954297895468954</v>
      </c>
      <c r="CW46" s="20">
        <f t="shared" si="13"/>
        <v>313.19851383460843</v>
      </c>
      <c r="CX46" s="59">
        <f t="shared" si="14"/>
        <v>606.53184716794181</v>
      </c>
      <c r="CY46" s="59">
        <f ca="1">AVERAGE(OFFSET($CX$3,0,0,'Données projet'!$E$13+1,1))-AVERAGE(OFFSET($H$3,0,0,'Données projet'!$E$13+1,1))</f>
        <v>279.20364724206644</v>
      </c>
      <c r="CZ46" s="59">
        <f t="shared" si="42"/>
        <v>173.99850582760712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2.427406841553073</v>
      </c>
      <c r="DH46" s="21">
        <f>EXP(-LN(2)/2)*DH45+(1-EXP(-LN(2)/2))/(LN(2)/2)*DB46*DE46*VLOOKUP('Données projet'!$B$13,Paramètres!$A$1:$I$89,3,0)*0.475*44/12</f>
        <v>7.6636433064188755E-2</v>
      </c>
      <c r="DI46" s="22">
        <f t="shared" si="15"/>
        <v>2.5040432746172616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8.3000000000000007</v>
      </c>
      <c r="DO46" s="12">
        <f>IF('Données projet'!$A$166&gt;35,DO45+DN46-DW45,IF(A46&lt;'Données projet'!$A$166,$DL$205^A46,IF(A46='Données projet'!$A$166,'Données projet'!$B$166,DO45+DN46-DW45)))</f>
        <v>140.89999999999998</v>
      </c>
      <c r="DP46" s="17">
        <f>DO46*VLOOKUP('Données projet'!$B$14,Paramètres!$A$1:$I$89,3,0)*VLOOKUP('Données projet'!$B$14,Paramètres!$A$1:$I$89,5,0)</f>
        <v>147.26867999999999</v>
      </c>
      <c r="DQ46" s="13">
        <f t="shared" si="43"/>
        <v>37.957221058619581</v>
      </c>
      <c r="DR46" s="20">
        <f t="shared" si="16"/>
        <v>322.60177767709575</v>
      </c>
      <c r="DS46" s="59">
        <f t="shared" si="17"/>
        <v>615.93511101042907</v>
      </c>
      <c r="DT46" s="59">
        <f ca="1">AVERAGE(OFFSET($DS$3,0,0,'Données projet'!$E$14+1,1))-AVERAGE(OFFSET($H$3,0,0,'Données projet'!$E$14+1,1))</f>
        <v>291.18074901939718</v>
      </c>
      <c r="DU46" s="59">
        <f t="shared" si="44"/>
        <v>181.05123751753774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2.5020962828316291</v>
      </c>
      <c r="EC46" s="21">
        <f>EXP(-LN(2)/2)*EC45+(1-EXP(-LN(2)/2))/(LN(2)/2)*DW46*DZ46*VLOOKUP('Données projet'!$B$14,Paramètres!$A$1:$I$89,3,0)*0.475*44/12</f>
        <v>7.8994477158471563E-2</v>
      </c>
      <c r="ED46" s="22">
        <f t="shared" si="18"/>
        <v>2.5810907599901007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9.8333333333333339</v>
      </c>
      <c r="EJ46" s="12">
        <f>IF('Données projet'!$A$192&gt;35,EJ45+EI46-ER45,IF(A46&lt;'Données projet'!$A$192,$EG$205^A46,IF(A46='Données projet'!$A$192,'Données projet'!$B$192,EJ45+EI46-ER45)))</f>
        <v>263.50000000000006</v>
      </c>
      <c r="EK46" s="17">
        <f>EJ46*VLOOKUP('Données projet'!$B$15,Paramètres!$A$1:$I$89,3,0)*VLOOKUP('Données projet'!$B$15,Paramètres!$A$1:$I$89,5,0)</f>
        <v>157.57300000000006</v>
      </c>
      <c r="EL46" s="13">
        <f t="shared" si="45"/>
        <v>40.294612761030372</v>
      </c>
      <c r="EM46" s="20">
        <f t="shared" si="19"/>
        <v>344.61942555879472</v>
      </c>
      <c r="EN46" s="59">
        <f t="shared" si="20"/>
        <v>637.95275889212803</v>
      </c>
      <c r="EO46" s="59">
        <f ca="1">AVERAGE(OFFSET($EN$3,0,0,'Données projet'!$E$15+1,1))-AVERAGE(OFFSET($H$3,0,0,'Données projet'!$E$15+1,1))</f>
        <v>168.08890945052406</v>
      </c>
      <c r="EP46" s="59">
        <f t="shared" si="46"/>
        <v>182.52462557642343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4.8021837821765816</v>
      </c>
      <c r="EW46" s="21">
        <f>EXP(-LN(2)/25)*EW45+(1-EXP(-LN(2)/25))/(LN(2)/25)*Calculateur!ER46*Calculateur!ET46*VLOOKUP('Données projet'!$B$15,Paramètres!$A$1:$I$89,3,0)*0.475*44/12</f>
        <v>8.5992099607139885</v>
      </c>
      <c r="EX46" s="21">
        <f>EXP(-LN(2)/2)*EX45+(1-EXP(-LN(2)/2))/(LN(2)/2)*ER46*EU46*VLOOKUP('Données projet'!$B$15,Paramètres!$A$1:$I$89,3,0)*0.475*44/12</f>
        <v>6.0166968843182879E-2</v>
      </c>
      <c r="EY46" s="22">
        <f t="shared" si="21"/>
        <v>13.461560711733751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7.7</v>
      </c>
      <c r="FE46" s="12">
        <f>IF('Données projet'!$A$218&gt;35,FE45+FD46-FM45,IF(A46&lt;'Données projet'!$A$218,$FB$205^A46,IF(A46='Données projet'!$A$218,'Données projet'!$B$218,FE45+FD46-FM45)))</f>
        <v>187.09999999999982</v>
      </c>
      <c r="FF46" s="17">
        <f>FE46*VLOOKUP('Données projet'!$B$16,Paramètres!$A$1:$I$89,3,0)*VLOOKUP('Données projet'!$B$16,Paramètres!$A$1:$I$89,5,0)</f>
        <v>125.50667999999988</v>
      </c>
      <c r="FG46" s="13">
        <f t="shared" si="47"/>
        <v>32.95596902227328</v>
      </c>
      <c r="FH46" s="20">
        <f t="shared" si="22"/>
        <v>275.98911371379239</v>
      </c>
      <c r="FI46" s="59">
        <f t="shared" si="23"/>
        <v>569.32244704712571</v>
      </c>
      <c r="FJ46" s="59">
        <f ca="1">AVERAGE(OFFSET($FI$3,0,0,'Données projet'!$E$16+1,1))-AVERAGE(OFFSET($H$3,0,0,'Données projet'!$E$16+1,1))</f>
        <v>156.63226020379989</v>
      </c>
      <c r="FK46" s="59">
        <f t="shared" si="48"/>
        <v>196.0481096619543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6.0461862841521858</v>
      </c>
      <c r="FS46" s="21">
        <f>EXP(-LN(2)/2)*FS45+(1-EXP(-LN(2)/2))/(LN(2)/2)*FM46*FP46*VLOOKUP('Données projet'!$B$16,Paramètres!$A$1:$I$89,3,0)*0.475*44/12</f>
        <v>0.10024863645440678</v>
      </c>
      <c r="FT46" s="22">
        <f t="shared" si="24"/>
        <v>6.1464349206065929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12.8</v>
      </c>
      <c r="FZ46" s="12">
        <f>IF('Données projet'!$A$244&gt;35,FZ45+FY46-GH45,IF(A46&lt;'Données projet'!$A$244,$FW$205^A46,IF(A46='Données projet'!$A$244,'Données projet'!$B$244,FZ45+FY46-GH45)))</f>
        <v>253.39999999999992</v>
      </c>
      <c r="GA46" s="17">
        <f>FZ46*VLOOKUP('Données projet'!$B$17,Paramètres!$A$1:$I$89,3,0)*VLOOKUP('Données projet'!$B$17,Paramètres!$A$1:$I$89,5,0)</f>
        <v>151.53319999999997</v>
      </c>
      <c r="GB46" s="13">
        <f t="shared" si="49"/>
        <v>38.926804334954284</v>
      </c>
      <c r="GC46" s="20">
        <f t="shared" si="25"/>
        <v>331.71784088337864</v>
      </c>
      <c r="GD46" s="59">
        <f t="shared" si="26"/>
        <v>625.05117421671196</v>
      </c>
      <c r="GE46" s="59">
        <f ca="1">AVERAGE(OFFSET($GD$3,0,0,'Données projet'!$E$17+1,1))-AVERAGE(OFFSET($H$3,0,0,'Données projet'!$E$17+1,1))</f>
        <v>216.94426559495264</v>
      </c>
      <c r="GF46" s="59">
        <f t="shared" si="50"/>
        <v>225.33715877618704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8.9607144781051247</v>
      </c>
      <c r="GN46" s="21">
        <f>EXP(-LN(2)/2)*GN45+(1-EXP(-LN(2)/2))/(LN(2)/2)*GH46*GK46*VLOOKUP('Données projet'!$B$17,Paramètres!$A$1:$I$89,3,0)*0.475*44/12</f>
        <v>0.26217486374989613</v>
      </c>
      <c r="GO46" s="21">
        <f t="shared" si="27"/>
        <v>9.2228893418550211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8.3000000000000007</v>
      </c>
      <c r="GU46" s="12">
        <f>IF('Données projet'!$A$270&gt;35,GU45+GT46-HC45,IF(A46&lt;'Données projet'!$A$270,$GR$205^A46,IF(A46='Données projet'!$A$270,'Données projet'!$B$270,GU45+GT46-HC45)))</f>
        <v>140.89999999999998</v>
      </c>
      <c r="GV46" s="17">
        <f>GU46*VLOOKUP('Données projet'!$B$18,Paramètres!$A$1:$I$89,3,0)*VLOOKUP('Données projet'!$B$18,Paramètres!$A$1:$I$89,5,0)</f>
        <v>136.27848</v>
      </c>
      <c r="GW46" s="13">
        <f t="shared" si="51"/>
        <v>35.443125320657884</v>
      </c>
      <c r="GX46" s="20">
        <f t="shared" si="28"/>
        <v>299.08179593347916</v>
      </c>
      <c r="GY46" s="59">
        <f t="shared" si="29"/>
        <v>592.41512926681253</v>
      </c>
      <c r="GZ46" s="59">
        <f ca="1">AVERAGE(OFFSET($GY$3,0,0,'Données projet'!$E$18+1,1))-AVERAGE(OFFSET($H$3,0,0,'Données projet'!$E$18+1,1))</f>
        <v>261.22357949323879</v>
      </c>
      <c r="HA46" s="59">
        <f t="shared" si="52"/>
        <v>163.41029152029387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2.3153726796352387</v>
      </c>
      <c r="HI46" s="21">
        <f>EXP(-LN(2)/2)*HI45+(1-EXP(-LN(2)/2))/(LN(2)/2)*HC46*HF46*VLOOKUP('Données projet'!$B$18,Paramètres!$A$1:$I$89,3,0)*0.475*44/12</f>
        <v>7.3099366922764655E-2</v>
      </c>
      <c r="HJ46" s="22">
        <f t="shared" si="30"/>
        <v>2.3884720465580034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237.22177246688199</v>
      </c>
      <c r="T47" s="59">
        <f t="shared" si="34"/>
        <v>149.27472147904302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6.8</v>
      </c>
      <c r="AI47" s="13">
        <f>IF('Données projet'!$A$62&gt;35,AI46+AH47-AQ46,IF(A47&lt;'Données projet'!$A$62,$AF$205^A47,IF(A47='Données projet'!$A$62,'Données projet'!$B$62,AI46+AH47-AQ46)))</f>
        <v>172.1999999999999</v>
      </c>
      <c r="AJ47" s="13">
        <f>AI47*VLOOKUP('Données projet'!$B$10,Paramètres!$A$1:$I$89,3,0)*VLOOKUP('Données projet'!$B$10,Paramètres!$A$1:$I$89,5,0)</f>
        <v>150.43391999999994</v>
      </c>
      <c r="AK47" s="13">
        <f t="shared" si="35"/>
        <v>38.677178913707927</v>
      </c>
      <c r="AL47" s="20">
        <f t="shared" si="4"/>
        <v>329.36849727470786</v>
      </c>
      <c r="AM47" s="59">
        <f t="shared" si="5"/>
        <v>622.70183060804118</v>
      </c>
      <c r="AN47" s="59">
        <f ca="1">AVERAGE(OFFSET($AM$3,0,0,'Données projet'!$E$10+1,1))-AVERAGE(OFFSET($H$3,0,0,'Données projet'!$E$10+1,1))</f>
        <v>210.07838338464626</v>
      </c>
      <c r="AO47" s="59">
        <f t="shared" si="36"/>
        <v>241.76003724236273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4.0168139913108645</v>
      </c>
      <c r="AV47" s="21">
        <f>EXP(-LN(2)/25)*AV46+(1-EXP(-LN(2)/25))/(LN(2)/25)*Calculateur!AQ47*Calculateur!AS47*VLOOKUP('Données projet'!$B$10,Paramètres!$A$1:$I$89,3,0)*0.475*44/12</f>
        <v>9.197714209673272</v>
      </c>
      <c r="AW47" s="21">
        <f>EXP(-LN(2)/2)*AW46+(1-EXP(-LN(2)/2))/(LN(2)/2)*AQ47*AT47*VLOOKUP('Données projet'!$B$10,Paramètres!$A$1:$I$89,3,0)*0.475*44/12</f>
        <v>0.12477675367850979</v>
      </c>
      <c r="AX47" s="21">
        <f t="shared" si="6"/>
        <v>13.339304954662648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257.00000000000017</v>
      </c>
      <c r="BE47" s="13">
        <f>BD47*VLOOKUP('Données projet'!$B$11,Paramètres!$A$1:$I$89,3,0)*VLOOKUP('Données projet'!$B$11,Paramètres!$A$1:$I$89,5,0)</f>
        <v>160.36800000000011</v>
      </c>
      <c r="BF47" s="13">
        <f t="shared" si="37"/>
        <v>40.925507732566111</v>
      </c>
      <c r="BG47" s="20">
        <f t="shared" si="7"/>
        <v>350.58619263421946</v>
      </c>
      <c r="BH47" s="59">
        <f t="shared" si="8"/>
        <v>643.91952596755277</v>
      </c>
      <c r="BI47" s="59">
        <f ca="1">AVERAGE(OFFSET($BH$3,0,0,'Données projet'!$E$11+1,1))-AVERAGE(OFFSET($H$3,0,0,'Données projet'!$E$11+1,1))</f>
        <v>209.93608079129638</v>
      </c>
      <c r="BJ47" s="59">
        <f t="shared" si="38"/>
        <v>240.15652428700969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5.2696313473096348</v>
      </c>
      <c r="BQ47" s="21">
        <f>EXP(-LN(2)/25)*BQ46+(1-EXP(-LN(2)/25))/(LN(2)/25)*Calculateur!BL47*Calculateur!BN47*VLOOKUP('Données projet'!$B$11,Paramètres!$A$1:$I$89,3,0)*0.475*44/12</f>
        <v>14.100483286246497</v>
      </c>
      <c r="BR47" s="21">
        <f>EXP(-LN(2)/2)*BR46+(1-EXP(-LN(2)/2))/(LN(2)/2)*BL47*BO47*VLOOKUP('Données projet'!$B$11,Paramètres!$A$1:$I$89,3,0)*0.475*44/12</f>
        <v>0.15774074612277425</v>
      </c>
      <c r="BS47" s="22">
        <f t="shared" si="9"/>
        <v>19.527855379678904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11.499999999999996</v>
      </c>
      <c r="BY47" s="12">
        <f>IF('Données projet'!$A$114&gt;35,BY46+BX47-CG46,IF(A47&lt;'Données projet'!$A$114,$BV$205^A47,IF(A47='Données projet'!$A$114,'Données projet'!$B$114,BY46+BX47-CG46)))</f>
        <v>254.1999999999999</v>
      </c>
      <c r="BZ47" s="13">
        <f>BY47*VLOOKUP('Données projet'!$B$12,Paramètres!$A$1:$I$89,3,0)*VLOOKUP('Données projet'!$B$12,Paramètres!$A$1:$I$89,5,0)</f>
        <v>118.96559999999995</v>
      </c>
      <c r="CA47" s="13">
        <f t="shared" si="39"/>
        <v>31.433621056182272</v>
      </c>
      <c r="CB47" s="20">
        <f t="shared" si="10"/>
        <v>261.945310006184</v>
      </c>
      <c r="CC47" s="59">
        <f t="shared" si="11"/>
        <v>555.27864333951732</v>
      </c>
      <c r="CD47" s="59">
        <f ca="1">AVERAGE(OFFSET($CC$3,0,0,'Données projet'!$E$12+1,1))-AVERAGE(OFFSET($H$3,0,0,'Données projet'!$E$12+1,1))</f>
        <v>215.23235148064941</v>
      </c>
      <c r="CE47" s="59">
        <f t="shared" si="40"/>
        <v>184.07239726900434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2.3755686314791387</v>
      </c>
      <c r="CL47" s="21">
        <f>EXP(-LN(2)/25)*CL46+(1-EXP(-LN(2)/25))/(LN(2)/25)*Calculateur!CG47*Calculateur!CI47*VLOOKUP('Données projet'!$B$12,Paramètres!$A$1:$I$89,3,0)*0.475*44/12</f>
        <v>5.3283784683690714</v>
      </c>
      <c r="CM47" s="21">
        <f>EXP(-LN(2)/2)*CM46+(1-EXP(-LN(2)/2))/(LN(2)/2)*CG47*CJ47*VLOOKUP('Données projet'!$B$12,Paramètres!$A$1:$I$89,3,0)*0.475*44/12</f>
        <v>7.6813878752312437E-2</v>
      </c>
      <c r="CN47" s="22">
        <f t="shared" si="12"/>
        <v>7.7807609786005223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8.3000000000000007</v>
      </c>
      <c r="CT47" s="12">
        <f>IF('Données projet'!$A$140&gt;35,CT46+CS47-DB46,IF(A47&lt;'Données projet'!$A$140,$CQ$205^A47,IF(A47='Données projet'!$A$140,'Données projet'!$B$140,CT46+CS47-DB46)))</f>
        <v>149.19999999999999</v>
      </c>
      <c r="CU47" s="17">
        <f>CT47*VLOOKUP('Données projet'!$B$13,Paramètres!$A$1:$I$89,3,0)*VLOOKUP('Données projet'!$B$13,Paramètres!$A$1:$I$89,5,0)</f>
        <v>151.28879999999998</v>
      </c>
      <c r="CV47" s="13">
        <f t="shared" si="41"/>
        <v>38.871324053555178</v>
      </c>
      <c r="CW47" s="20">
        <f t="shared" si="13"/>
        <v>331.19554939327526</v>
      </c>
      <c r="CX47" s="59">
        <f t="shared" si="14"/>
        <v>624.52888272660857</v>
      </c>
      <c r="CY47" s="59">
        <f ca="1">AVERAGE(OFFSET($CX$3,0,0,'Données projet'!$E$13+1,1))-AVERAGE(OFFSET($H$3,0,0,'Données projet'!$E$13+1,1))</f>
        <v>279.20364724206644</v>
      </c>
      <c r="CZ47" s="59">
        <f t="shared" si="42"/>
        <v>173.99850582760712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2.3610292738190264</v>
      </c>
      <c r="DH47" s="21">
        <f>EXP(-LN(2)/2)*DH46+(1-EXP(-LN(2)/2))/(LN(2)/2)*DB47*DE47*VLOOKUP('Données projet'!$B$13,Paramètres!$A$1:$I$89,3,0)*0.475*44/12</f>
        <v>5.4190141505636814E-2</v>
      </c>
      <c r="DI47" s="22">
        <f t="shared" si="15"/>
        <v>2.4152194153246631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8.3000000000000007</v>
      </c>
      <c r="DO47" s="12">
        <f>IF('Données projet'!$A$166&gt;35,DO46+DN47-DW46,IF(A47&lt;'Données projet'!$A$166,$DL$205^A47,IF(A47='Données projet'!$A$166,'Données projet'!$B$166,DO46+DN47-DW46)))</f>
        <v>149.19999999999999</v>
      </c>
      <c r="DP47" s="17">
        <f>DO47*VLOOKUP('Données projet'!$B$14,Paramètres!$A$1:$I$89,3,0)*VLOOKUP('Données projet'!$B$14,Paramètres!$A$1:$I$89,5,0)</f>
        <v>155.94383999999999</v>
      </c>
      <c r="DQ47" s="13">
        <f t="shared" si="43"/>
        <v>39.926274451636601</v>
      </c>
      <c r="DR47" s="20">
        <f t="shared" si="16"/>
        <v>341.1404493366004</v>
      </c>
      <c r="DS47" s="59">
        <f t="shared" si="17"/>
        <v>634.47378266993371</v>
      </c>
      <c r="DT47" s="59">
        <f ca="1">AVERAGE(OFFSET($DS$3,0,0,'Données projet'!$E$14+1,1))-AVERAGE(OFFSET($H$3,0,0,'Données projet'!$E$14+1,1))</f>
        <v>291.18074901939718</v>
      </c>
      <c r="DU47" s="59">
        <f t="shared" si="44"/>
        <v>181.05123751753774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2.4336763283980734</v>
      </c>
      <c r="EC47" s="21">
        <f>EXP(-LN(2)/2)*EC46+(1-EXP(-LN(2)/2))/(LN(2)/2)*DW47*DZ47*VLOOKUP('Données projet'!$B$14,Paramètres!$A$1:$I$89,3,0)*0.475*44/12</f>
        <v>5.5857530475041078E-2</v>
      </c>
      <c r="ED47" s="22">
        <f t="shared" si="18"/>
        <v>2.4895338588731146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9.8333333333333339</v>
      </c>
      <c r="EJ47" s="12">
        <f>IF('Données projet'!$A$192&gt;35,EJ46+EI47-ER46,IF(A47&lt;'Données projet'!$A$192,$EG$205^A47,IF(A47='Données projet'!$A$192,'Données projet'!$B$192,EJ46+EI47-ER46)))</f>
        <v>273.33333333333337</v>
      </c>
      <c r="EK47" s="17">
        <f>EJ47*VLOOKUP('Données projet'!$B$15,Paramètres!$A$1:$I$89,3,0)*VLOOKUP('Données projet'!$B$15,Paramètres!$A$1:$I$89,5,0)</f>
        <v>163.45333333333338</v>
      </c>
      <c r="EL47" s="13">
        <f t="shared" si="45"/>
        <v>41.620453722976563</v>
      </c>
      <c r="EM47" s="20">
        <f t="shared" si="19"/>
        <v>357.17017912307307</v>
      </c>
      <c r="EN47" s="59">
        <f t="shared" si="20"/>
        <v>650.50351245640638</v>
      </c>
      <c r="EO47" s="59">
        <f ca="1">AVERAGE(OFFSET($EN$3,0,0,'Données projet'!$E$15+1,1))-AVERAGE(OFFSET($H$3,0,0,'Données projet'!$E$15+1,1))</f>
        <v>168.08890945052406</v>
      </c>
      <c r="EP47" s="59">
        <f t="shared" si="46"/>
        <v>182.52462557642343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4.708015887250987</v>
      </c>
      <c r="EW47" s="21">
        <f>EXP(-LN(2)/25)*EW46+(1-EXP(-LN(2)/25))/(LN(2)/25)*Calculateur!ER47*Calculateur!ET47*VLOOKUP('Données projet'!$B$15,Paramètres!$A$1:$I$89,3,0)*0.475*44/12</f>
        <v>8.3640641121254671</v>
      </c>
      <c r="EX47" s="21">
        <f>EXP(-LN(2)/2)*EX46+(1-EXP(-LN(2)/2))/(LN(2)/2)*ER47*EU47*VLOOKUP('Données projet'!$B$15,Paramètres!$A$1:$I$89,3,0)*0.475*44/12</f>
        <v>4.2544471672454343E-2</v>
      </c>
      <c r="EY47" s="22">
        <f t="shared" si="21"/>
        <v>13.114624471048909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7.7</v>
      </c>
      <c r="FE47" s="12">
        <f>IF('Données projet'!$A$218&gt;35,FE46+FD47-FM46,IF(A47&lt;'Données projet'!$A$218,$FB$205^A47,IF(A47='Données projet'!$A$218,'Données projet'!$B$218,FE46+FD47-FM46)))</f>
        <v>194.79999999999981</v>
      </c>
      <c r="FF47" s="17">
        <f>FE47*VLOOKUP('Données projet'!$B$16,Paramètres!$A$1:$I$89,3,0)*VLOOKUP('Données projet'!$B$16,Paramètres!$A$1:$I$89,5,0)</f>
        <v>130.67183999999989</v>
      </c>
      <c r="FG47" s="13">
        <f t="shared" si="47"/>
        <v>34.151555226731247</v>
      </c>
      <c r="FH47" s="20">
        <f t="shared" si="22"/>
        <v>287.0674133532234</v>
      </c>
      <c r="FI47" s="59">
        <f t="shared" si="23"/>
        <v>580.40074668655666</v>
      </c>
      <c r="FJ47" s="59">
        <f ca="1">AVERAGE(OFFSET($FI$3,0,0,'Données projet'!$E$16+1,1))-AVERAGE(OFFSET($H$3,0,0,'Données projet'!$E$16+1,1))</f>
        <v>156.63226020379989</v>
      </c>
      <c r="FK47" s="59">
        <f t="shared" si="48"/>
        <v>196.0481096619543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5.8808530022569263</v>
      </c>
      <c r="FS47" s="21">
        <f>EXP(-LN(2)/2)*FS46+(1-EXP(-LN(2)/2))/(LN(2)/2)*FM47*FP47*VLOOKUP('Données projet'!$B$16,Paramètres!$A$1:$I$89,3,0)*0.475*44/12</f>
        <v>7.0886490641615965E-2</v>
      </c>
      <c r="FT47" s="22">
        <f t="shared" si="24"/>
        <v>5.9517394928985423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12.8</v>
      </c>
      <c r="FZ47" s="12">
        <f>IF('Données projet'!$A$244&gt;35,FZ46+FY47-GH46,IF(A47&lt;'Données projet'!$A$244,$FW$205^A47,IF(A47='Données projet'!$A$244,'Données projet'!$B$244,FZ46+FY47-GH46)))</f>
        <v>266.19999999999993</v>
      </c>
      <c r="GA47" s="17">
        <f>FZ47*VLOOKUP('Données projet'!$B$17,Paramètres!$A$1:$I$89,3,0)*VLOOKUP('Données projet'!$B$17,Paramètres!$A$1:$I$89,5,0)</f>
        <v>159.18759999999997</v>
      </c>
      <c r="GB47" s="13">
        <f t="shared" si="49"/>
        <v>40.659222067351315</v>
      </c>
      <c r="GC47" s="20">
        <f t="shared" si="25"/>
        <v>348.06654843397018</v>
      </c>
      <c r="GD47" s="59">
        <f t="shared" si="26"/>
        <v>641.39988176730344</v>
      </c>
      <c r="GE47" s="59">
        <f ca="1">AVERAGE(OFFSET($GD$3,0,0,'Données projet'!$E$17+1,1))-AVERAGE(OFFSET($H$3,0,0,'Données projet'!$E$17+1,1))</f>
        <v>216.94426559495264</v>
      </c>
      <c r="GF47" s="59">
        <f t="shared" si="50"/>
        <v>225.33715877618704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8.7156832694778448</v>
      </c>
      <c r="GN47" s="21">
        <f>EXP(-LN(2)/2)*GN46+(1-EXP(-LN(2)/2))/(LN(2)/2)*GH47*GK47*VLOOKUP('Données projet'!$B$17,Paramètres!$A$1:$I$89,3,0)*0.475*44/12</f>
        <v>0.18538562401421071</v>
      </c>
      <c r="GO47" s="21">
        <f t="shared" si="27"/>
        <v>8.9010688934920559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8.3000000000000007</v>
      </c>
      <c r="GU47" s="12">
        <f>IF('Données projet'!$A$270&gt;35,GU46+GT47-HC46,IF(A47&lt;'Données projet'!$A$270,$GR$205^A47,IF(A47='Données projet'!$A$270,'Données projet'!$B$270,GU46+GT47-HC46)))</f>
        <v>149.19999999999999</v>
      </c>
      <c r="GV47" s="17">
        <f>GU47*VLOOKUP('Données projet'!$B$18,Paramètres!$A$1:$I$89,3,0)*VLOOKUP('Données projet'!$B$18,Paramètres!$A$1:$I$89,5,0)</f>
        <v>144.30624</v>
      </c>
      <c r="GW47" s="13">
        <f t="shared" si="51"/>
        <v>37.281758503629554</v>
      </c>
      <c r="GX47" s="20">
        <f t="shared" si="28"/>
        <v>316.26576406048815</v>
      </c>
      <c r="GY47" s="59">
        <f t="shared" si="29"/>
        <v>609.59909739382147</v>
      </c>
      <c r="GZ47" s="59">
        <f ca="1">AVERAGE(OFFSET($GY$3,0,0,'Données projet'!$E$18+1,1))-AVERAGE(OFFSET($H$3,0,0,'Données projet'!$E$18+1,1))</f>
        <v>261.22357949323879</v>
      </c>
      <c r="HA47" s="59">
        <f t="shared" si="52"/>
        <v>163.41029152029387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2.2520586919504559</v>
      </c>
      <c r="HI47" s="21">
        <f>EXP(-LN(2)/2)*HI46+(1-EXP(-LN(2)/2))/(LN(2)/2)*HC47*HF47*VLOOKUP('Données projet'!$B$18,Paramètres!$A$1:$I$89,3,0)*0.475*44/12</f>
        <v>5.1689058051530498E-2</v>
      </c>
      <c r="HJ47" s="22">
        <f t="shared" si="30"/>
        <v>2.3037477500019863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237.22177246688199</v>
      </c>
      <c r="T48" s="59">
        <f t="shared" si="34"/>
        <v>149.27472147904302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</v>
      </c>
      <c r="AI48" s="13">
        <f>IF('Données projet'!$A$62&gt;35,AI47+AH48-AQ47,IF(A48&lt;'Données projet'!$A$62,$AF$205^A48,IF(A48='Données projet'!$A$62,'Données projet'!$B$62,AI47+AH48-AQ47)))</f>
        <v>178.99999999999991</v>
      </c>
      <c r="AJ48" s="13">
        <f>AI48*VLOOKUP('Données projet'!$B$10,Paramètres!$A$1:$I$89,3,0)*VLOOKUP('Données projet'!$B$10,Paramètres!$A$1:$I$89,5,0)</f>
        <v>156.37439999999995</v>
      </c>
      <c r="AK48" s="13">
        <f t="shared" si="35"/>
        <v>40.02366352429317</v>
      </c>
      <c r="AL48" s="20">
        <f t="shared" si="4"/>
        <v>342.05996063814382</v>
      </c>
      <c r="AM48" s="59">
        <f t="shared" si="5"/>
        <v>635.39329397147708</v>
      </c>
      <c r="AN48" s="59">
        <f ca="1">AVERAGE(OFFSET($AM$3,0,0,'Données projet'!$E$10+1,1))-AVERAGE(OFFSET($H$3,0,0,'Données projet'!$E$10+1,1))</f>
        <v>210.07838338464626</v>
      </c>
      <c r="AO48" s="59">
        <f t="shared" si="36"/>
        <v>241.76003724236273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3.9380467189558743</v>
      </c>
      <c r="AV48" s="21">
        <f>EXP(-LN(2)/25)*AV47+(1-EXP(-LN(2)/25))/(LN(2)/25)*Calculateur!AQ48*Calculateur!AS48*VLOOKUP('Données projet'!$B$10,Paramètres!$A$1:$I$89,3,0)*0.475*44/12</f>
        <v>8.9462022309229869</v>
      </c>
      <c r="AW48" s="21">
        <f>EXP(-LN(2)/2)*AW47+(1-EXP(-LN(2)/2))/(LN(2)/2)*AQ48*AT48*VLOOKUP('Données projet'!$B$10,Paramètres!$A$1:$I$89,3,0)*0.475*44/12</f>
        <v>8.8230488660517775E-2</v>
      </c>
      <c r="AX48" s="21">
        <f t="shared" si="6"/>
        <v>12.972479438539379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268.00000000000017</v>
      </c>
      <c r="BE48" s="13">
        <f>BD48*VLOOKUP('Données projet'!$B$11,Paramètres!$A$1:$I$89,3,0)*VLOOKUP('Données projet'!$B$11,Paramètres!$A$1:$I$89,5,0)</f>
        <v>167.23200000000011</v>
      </c>
      <c r="BF48" s="13">
        <f t="shared" si="37"/>
        <v>42.469492598516958</v>
      </c>
      <c r="BG48" s="20">
        <f t="shared" si="7"/>
        <v>365.23009960908388</v>
      </c>
      <c r="BH48" s="59">
        <f t="shared" si="8"/>
        <v>658.56343294241719</v>
      </c>
      <c r="BI48" s="59">
        <f ca="1">AVERAGE(OFFSET($BH$3,0,0,'Données projet'!$E$11+1,1))-AVERAGE(OFFSET($H$3,0,0,'Données projet'!$E$11+1,1))</f>
        <v>209.93608079129638</v>
      </c>
      <c r="BJ48" s="59">
        <f t="shared" si="38"/>
        <v>240.15652428700969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5.1662970907466432</v>
      </c>
      <c r="BQ48" s="21">
        <f>EXP(-LN(2)/25)*BQ47+(1-EXP(-LN(2)/25))/(LN(2)/25)*Calculateur!BL48*Calculateur!BN48*VLOOKUP('Données projet'!$B$11,Paramètres!$A$1:$I$89,3,0)*0.475*44/12</f>
        <v>13.714904829271898</v>
      </c>
      <c r="BR48" s="21">
        <f>EXP(-LN(2)/2)*BR47+(1-EXP(-LN(2)/2))/(LN(2)/2)*BL48*BO48*VLOOKUP('Données projet'!$B$11,Paramètres!$A$1:$I$89,3,0)*0.475*44/12</f>
        <v>0.11153955125283928</v>
      </c>
      <c r="BS48" s="22">
        <f t="shared" si="9"/>
        <v>18.99274147127138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11.499999999999996</v>
      </c>
      <c r="BY48" s="12">
        <f>IF('Données projet'!$A$114&gt;35,BY47+BX48-CG47,IF(A48&lt;'Données projet'!$A$114,$BV$205^A48,IF(A48='Données projet'!$A$114,'Données projet'!$B$114,BY47+BX48-CG47)))</f>
        <v>265.69999999999987</v>
      </c>
      <c r="BZ48" s="13">
        <f>BY48*VLOOKUP('Données projet'!$B$12,Paramètres!$A$1:$I$89,3,0)*VLOOKUP('Données projet'!$B$12,Paramètres!$A$1:$I$89,5,0)</f>
        <v>124.34759999999994</v>
      </c>
      <c r="CA48" s="13">
        <f t="shared" si="39"/>
        <v>32.68689576547478</v>
      </c>
      <c r="CB48" s="20">
        <f t="shared" si="10"/>
        <v>273.50174679153514</v>
      </c>
      <c r="CC48" s="59">
        <f t="shared" si="11"/>
        <v>566.83508012486845</v>
      </c>
      <c r="CD48" s="59">
        <f ca="1">AVERAGE(OFFSET($CC$3,0,0,'Données projet'!$E$12+1,1))-AVERAGE(OFFSET($H$3,0,0,'Données projet'!$E$12+1,1))</f>
        <v>215.23235148064941</v>
      </c>
      <c r="CE48" s="59">
        <f t="shared" si="40"/>
        <v>184.07239726900434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2.3289851795696257</v>
      </c>
      <c r="CL48" s="21">
        <f>EXP(-LN(2)/25)*CL47+(1-EXP(-LN(2)/25))/(LN(2)/25)*Calculateur!CG48*Calculateur!CI48*VLOOKUP('Données projet'!$B$12,Paramètres!$A$1:$I$89,3,0)*0.475*44/12</f>
        <v>5.1826736789442736</v>
      </c>
      <c r="CM48" s="21">
        <f>EXP(-LN(2)/2)*CM47+(1-EXP(-LN(2)/2))/(LN(2)/2)*CG48*CJ48*VLOOKUP('Données projet'!$B$12,Paramètres!$A$1:$I$89,3,0)*0.475*44/12</f>
        <v>5.4315614555001383E-2</v>
      </c>
      <c r="CN48" s="22">
        <f t="shared" si="12"/>
        <v>7.5659744730689003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8.3000000000000007</v>
      </c>
      <c r="CT48" s="12">
        <f>IF('Données projet'!$A$140&gt;35,CT47+CS48-DB47,IF(A48&lt;'Données projet'!$A$140,$CQ$205^A48,IF(A48='Données projet'!$A$140,'Données projet'!$B$140,CT47+CS48-DB47)))</f>
        <v>157.5</v>
      </c>
      <c r="CU48" s="17">
        <f>CT48*VLOOKUP('Données projet'!$B$13,Paramètres!$A$1:$I$89,3,0)*VLOOKUP('Données projet'!$B$13,Paramètres!$A$1:$I$89,5,0)</f>
        <v>159.70500000000001</v>
      </c>
      <c r="CV48" s="13">
        <f t="shared" si="41"/>
        <v>40.775970188397643</v>
      </c>
      <c r="CW48" s="20">
        <f t="shared" si="13"/>
        <v>349.17102307812593</v>
      </c>
      <c r="CX48" s="59">
        <f t="shared" si="14"/>
        <v>642.50435641145918</v>
      </c>
      <c r="CY48" s="59">
        <f ca="1">AVERAGE(OFFSET($CX$3,0,0,'Données projet'!$E$13+1,1))-AVERAGE(OFFSET($H$3,0,0,'Données projet'!$E$13+1,1))</f>
        <v>279.20364724206644</v>
      </c>
      <c r="CZ48" s="59">
        <f t="shared" si="42"/>
        <v>173.99850582760712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2.2964668041653118</v>
      </c>
      <c r="DH48" s="21">
        <f>EXP(-LN(2)/2)*DH47+(1-EXP(-LN(2)/2))/(LN(2)/2)*DB48*DE48*VLOOKUP('Données projet'!$B$13,Paramètres!$A$1:$I$89,3,0)*0.475*44/12</f>
        <v>3.8318216532094378E-2</v>
      </c>
      <c r="DI48" s="22">
        <f t="shared" si="15"/>
        <v>2.3347850206974061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8.3000000000000007</v>
      </c>
      <c r="DO48" s="12">
        <f>IF('Données projet'!$A$166&gt;35,DO47+DN48-DW47,IF(A48&lt;'Données projet'!$A$166,$DL$205^A48,IF(A48='Données projet'!$A$166,'Données projet'!$B$166,DO47+DN48-DW47)))</f>
        <v>157.5</v>
      </c>
      <c r="DP48" s="17">
        <f>DO48*VLOOKUP('Données projet'!$B$14,Paramètres!$A$1:$I$89,3,0)*VLOOKUP('Données projet'!$B$14,Paramètres!$A$1:$I$89,5,0)</f>
        <v>164.61900000000003</v>
      </c>
      <c r="DQ48" s="13">
        <f t="shared" si="43"/>
        <v>41.882611833100604</v>
      </c>
      <c r="DR48" s="20">
        <f t="shared" si="16"/>
        <v>359.65697394265021</v>
      </c>
      <c r="DS48" s="59">
        <f t="shared" si="17"/>
        <v>652.99030727598347</v>
      </c>
      <c r="DT48" s="59">
        <f ca="1">AVERAGE(OFFSET($DS$3,0,0,'Données projet'!$E$14+1,1))-AVERAGE(OFFSET($H$3,0,0,'Données projet'!$E$14+1,1))</f>
        <v>291.18074901939718</v>
      </c>
      <c r="DU48" s="59">
        <f t="shared" si="44"/>
        <v>181.05123751753774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2.367127321216552</v>
      </c>
      <c r="EC48" s="21">
        <f>EXP(-LN(2)/2)*EC47+(1-EXP(-LN(2)/2))/(LN(2)/2)*DW48*DZ48*VLOOKUP('Données projet'!$B$14,Paramètres!$A$1:$I$89,3,0)*0.475*44/12</f>
        <v>3.9497238579235781E-2</v>
      </c>
      <c r="ED48" s="22">
        <f t="shared" si="18"/>
        <v>2.4066245597957878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9.8333333333333339</v>
      </c>
      <c r="EJ48" s="12">
        <f>IF('Données projet'!$A$192&gt;35,EJ47+EI48-ER47,IF(A48&lt;'Données projet'!$A$192,$EG$205^A48,IF(A48='Données projet'!$A$192,'Données projet'!$B$192,EJ47+EI48-ER47)))</f>
        <v>283.16666666666669</v>
      </c>
      <c r="EK48" s="17">
        <f>EJ48*VLOOKUP('Données projet'!$B$15,Paramètres!$A$1:$I$89,3,0)*VLOOKUP('Données projet'!$B$15,Paramètres!$A$1:$I$89,5,0)</f>
        <v>169.33366666666672</v>
      </c>
      <c r="EL48" s="13">
        <f t="shared" si="45"/>
        <v>42.940752990888512</v>
      </c>
      <c r="EM48" s="20">
        <f t="shared" si="19"/>
        <v>369.7112809035753</v>
      </c>
      <c r="EN48" s="59">
        <f t="shared" si="20"/>
        <v>663.04461423690861</v>
      </c>
      <c r="EO48" s="59">
        <f ca="1">AVERAGE(OFFSET($EN$3,0,0,'Données projet'!$E$15+1,1))-AVERAGE(OFFSET($H$3,0,0,'Données projet'!$E$15+1,1))</f>
        <v>168.08890945052406</v>
      </c>
      <c r="EP48" s="59">
        <f t="shared" si="46"/>
        <v>182.52462557642343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4.6156945673081387</v>
      </c>
      <c r="EW48" s="21">
        <f>EXP(-LN(2)/25)*EW47+(1-EXP(-LN(2)/25))/(LN(2)/25)*Calculateur!ER48*Calculateur!ET48*VLOOKUP('Données projet'!$B$15,Paramètres!$A$1:$I$89,3,0)*0.475*44/12</f>
        <v>8.1353483391323813</v>
      </c>
      <c r="EX48" s="21">
        <f>EXP(-LN(2)/2)*EX47+(1-EXP(-LN(2)/2))/(LN(2)/2)*ER48*EU48*VLOOKUP('Données projet'!$B$15,Paramètres!$A$1:$I$89,3,0)*0.475*44/12</f>
        <v>3.0083484421591443E-2</v>
      </c>
      <c r="EY48" s="22">
        <f t="shared" si="21"/>
        <v>12.781126390862113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7.7</v>
      </c>
      <c r="FE48" s="12">
        <f>IF('Données projet'!$A$218&gt;35,FE47+FD48-FM47,IF(A48&lt;'Données projet'!$A$218,$FB$205^A48,IF(A48='Données projet'!$A$218,'Données projet'!$B$218,FE47+FD48-FM47)))</f>
        <v>202.4999999999998</v>
      </c>
      <c r="FF48" s="17">
        <f>FE48*VLOOKUP('Données projet'!$B$16,Paramètres!$A$1:$I$89,3,0)*VLOOKUP('Données projet'!$B$16,Paramètres!$A$1:$I$89,5,0)</f>
        <v>135.83699999999988</v>
      </c>
      <c r="FG48" s="13">
        <f t="shared" si="47"/>
        <v>35.341651632833532</v>
      </c>
      <c r="FH48" s="20">
        <f t="shared" si="22"/>
        <v>298.13615159385154</v>
      </c>
      <c r="FI48" s="59">
        <f t="shared" si="23"/>
        <v>591.46948492718479</v>
      </c>
      <c r="FJ48" s="59">
        <f ca="1">AVERAGE(OFFSET($FI$3,0,0,'Données projet'!$E$16+1,1))-AVERAGE(OFFSET($H$3,0,0,'Données projet'!$E$16+1,1))</f>
        <v>156.63226020379989</v>
      </c>
      <c r="FK48" s="59">
        <f t="shared" si="48"/>
        <v>196.0481096619543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5.7200407676495919</v>
      </c>
      <c r="FS48" s="21">
        <f>EXP(-LN(2)/2)*FS47+(1-EXP(-LN(2)/2))/(LN(2)/2)*FM48*FP48*VLOOKUP('Données projet'!$B$16,Paramètres!$A$1:$I$89,3,0)*0.475*44/12</f>
        <v>5.0124318227203389E-2</v>
      </c>
      <c r="FT48" s="22">
        <f t="shared" si="24"/>
        <v>5.770165085876795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12.8</v>
      </c>
      <c r="FZ48" s="12">
        <f>IF('Données projet'!$A$244&gt;35,FZ47+FY48-GH47,IF(A48&lt;'Données projet'!$A$244,$FW$205^A48,IF(A48='Données projet'!$A$244,'Données projet'!$B$244,FZ47+FY48-GH47)))</f>
        <v>278.99999999999994</v>
      </c>
      <c r="GA48" s="17">
        <f>FZ48*VLOOKUP('Données projet'!$B$17,Paramètres!$A$1:$I$89,3,0)*VLOOKUP('Données projet'!$B$17,Paramètres!$A$1:$I$89,5,0)</f>
        <v>166.84199999999998</v>
      </c>
      <c r="GB48" s="13">
        <f t="shared" si="49"/>
        <v>42.381966615760334</v>
      </c>
      <c r="GC48" s="20">
        <f t="shared" si="25"/>
        <v>364.39840852244924</v>
      </c>
      <c r="GD48" s="59">
        <f t="shared" si="26"/>
        <v>657.7317418557825</v>
      </c>
      <c r="GE48" s="59">
        <f ca="1">AVERAGE(OFFSET($GD$3,0,0,'Données projet'!$E$17+1,1))-AVERAGE(OFFSET($H$3,0,0,'Données projet'!$E$17+1,1))</f>
        <v>216.94426559495264</v>
      </c>
      <c r="GF48" s="59">
        <f t="shared" si="50"/>
        <v>225.33715877618704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8.4773524521361097</v>
      </c>
      <c r="GN48" s="21">
        <f>EXP(-LN(2)/2)*GN47+(1-EXP(-LN(2)/2))/(LN(2)/2)*GH48*GK48*VLOOKUP('Données projet'!$B$17,Paramètres!$A$1:$I$89,3,0)*0.475*44/12</f>
        <v>0.13108743187494806</v>
      </c>
      <c r="GO48" s="21">
        <f t="shared" si="27"/>
        <v>8.608439884011057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8.3000000000000007</v>
      </c>
      <c r="GU48" s="12">
        <f>IF('Données projet'!$A$270&gt;35,GU47+GT48-HC47,IF(A48&lt;'Données projet'!$A$270,$GR$205^A48,IF(A48='Données projet'!$A$270,'Données projet'!$B$270,GU47+GT48-HC47)))</f>
        <v>157.5</v>
      </c>
      <c r="GV48" s="17">
        <f>GU48*VLOOKUP('Données projet'!$B$18,Paramètres!$A$1:$I$89,3,0)*VLOOKUP('Données projet'!$B$18,Paramètres!$A$1:$I$89,5,0)</f>
        <v>152.334</v>
      </c>
      <c r="GW48" s="13">
        <f t="shared" si="51"/>
        <v>39.108517919805784</v>
      </c>
      <c r="GX48" s="20">
        <f t="shared" si="28"/>
        <v>333.42905204366178</v>
      </c>
      <c r="GY48" s="59">
        <f t="shared" si="29"/>
        <v>626.7623853769951</v>
      </c>
      <c r="GZ48" s="59">
        <f ca="1">AVERAGE(OFFSET($GY$3,0,0,'Données projet'!$E$18+1,1))-AVERAGE(OFFSET($H$3,0,0,'Données projet'!$E$18+1,1))</f>
        <v>261.22357949323879</v>
      </c>
      <c r="HA48" s="59">
        <f t="shared" si="52"/>
        <v>163.41029152029387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2.1904760285884515</v>
      </c>
      <c r="HI48" s="21">
        <f>EXP(-LN(2)/2)*HI47+(1-EXP(-LN(2)/2))/(LN(2)/2)*HC48*HF48*VLOOKUP('Données projet'!$B$18,Paramètres!$A$1:$I$89,3,0)*0.475*44/12</f>
        <v>3.6549683461382328E-2</v>
      </c>
      <c r="HJ48" s="22">
        <f t="shared" si="30"/>
        <v>2.227025712049834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237.22177246688199</v>
      </c>
      <c r="T49" s="59">
        <f t="shared" si="34"/>
        <v>149.27472147904302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</v>
      </c>
      <c r="AI49" s="13">
        <f>IF('Données projet'!$A$62&gt;35,AI48+AH49-AQ48,IF(A49&lt;'Données projet'!$A$62,$AF$205^A49,IF(A49='Données projet'!$A$62,'Données projet'!$B$62,AI48+AH49-AQ48)))</f>
        <v>185.79999999999993</v>
      </c>
      <c r="AJ49" s="13">
        <f>AI49*VLOOKUP('Données projet'!$B$10,Paramètres!$A$1:$I$89,3,0)*VLOOKUP('Données projet'!$B$10,Paramètres!$A$1:$I$89,5,0)</f>
        <v>162.31487999999996</v>
      </c>
      <c r="AK49" s="13">
        <f t="shared" si="35"/>
        <v>41.364205750322519</v>
      </c>
      <c r="AL49" s="20">
        <f t="shared" si="4"/>
        <v>354.74107434847832</v>
      </c>
      <c r="AM49" s="59">
        <f t="shared" si="5"/>
        <v>648.07440768181164</v>
      </c>
      <c r="AN49" s="59">
        <f ca="1">AVERAGE(OFFSET($AM$3,0,0,'Données projet'!$E$10+1,1))-AVERAGE(OFFSET($H$3,0,0,'Données projet'!$E$10+1,1))</f>
        <v>210.07838338464626</v>
      </c>
      <c r="AO49" s="59">
        <f t="shared" si="36"/>
        <v>241.76003724236273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3.8608240247684731</v>
      </c>
      <c r="AV49" s="21">
        <f>EXP(-LN(2)/25)*AV48+(1-EXP(-LN(2)/25))/(LN(2)/25)*Calculateur!AQ49*Calculateur!AS49*VLOOKUP('Données projet'!$B$10,Paramètres!$A$1:$I$89,3,0)*0.475*44/12</f>
        <v>8.70156786045807</v>
      </c>
      <c r="AW49" s="21">
        <f>EXP(-LN(2)/2)*AW48+(1-EXP(-LN(2)/2))/(LN(2)/2)*AQ49*AT49*VLOOKUP('Données projet'!$B$10,Paramètres!$A$1:$I$89,3,0)*0.475*44/12</f>
        <v>6.2388376839254911E-2</v>
      </c>
      <c r="AX49" s="21">
        <f t="shared" si="6"/>
        <v>12.624780262065798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279.00000000000017</v>
      </c>
      <c r="BE49" s="13">
        <f>BD49*VLOOKUP('Données projet'!$B$11,Paramètres!$A$1:$I$89,3,0)*VLOOKUP('Données projet'!$B$11,Paramètres!$A$1:$I$89,5,0)</f>
        <v>174.09600000000009</v>
      </c>
      <c r="BF49" s="13">
        <f t="shared" si="37"/>
        <v>44.00611631426144</v>
      </c>
      <c r="BG49" s="20">
        <f t="shared" si="7"/>
        <v>379.86118591400549</v>
      </c>
      <c r="BH49" s="59">
        <f t="shared" si="8"/>
        <v>673.1945192473388</v>
      </c>
      <c r="BI49" s="59">
        <f ca="1">AVERAGE(OFFSET($BH$3,0,0,'Données projet'!$E$11+1,1))-AVERAGE(OFFSET($H$3,0,0,'Données projet'!$E$11+1,1))</f>
        <v>209.93608079129638</v>
      </c>
      <c r="BJ49" s="59">
        <f t="shared" si="38"/>
        <v>240.15652428700969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5.0649891559271785</v>
      </c>
      <c r="BQ49" s="21">
        <f>EXP(-LN(2)/25)*BQ48+(1-EXP(-LN(2)/25))/(LN(2)/25)*Calculateur!BL49*Calculateur!BN49*VLOOKUP('Données projet'!$B$11,Paramètres!$A$1:$I$89,3,0)*0.475*44/12</f>
        <v>13.339870035479958</v>
      </c>
      <c r="BR49" s="21">
        <f>EXP(-LN(2)/2)*BR48+(1-EXP(-LN(2)/2))/(LN(2)/2)*BL49*BO49*VLOOKUP('Données projet'!$B$11,Paramètres!$A$1:$I$89,3,0)*0.475*44/12</f>
        <v>7.8870373061387125E-2</v>
      </c>
      <c r="BS49" s="22">
        <f t="shared" si="9"/>
        <v>18.483729564468526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11.499999999999996</v>
      </c>
      <c r="BY49" s="12">
        <f>IF('Données projet'!$A$114&gt;35,BY48+BX49-CG48,IF(A49&lt;'Données projet'!$A$114,$BV$205^A49,IF(A49='Données projet'!$A$114,'Données projet'!$B$114,BY48+BX49-CG48)))</f>
        <v>277.19999999999987</v>
      </c>
      <c r="BZ49" s="13">
        <f>BY49*VLOOKUP('Données projet'!$B$12,Paramètres!$A$1:$I$89,3,0)*VLOOKUP('Données projet'!$B$12,Paramètres!$A$1:$I$89,5,0)</f>
        <v>129.72959999999992</v>
      </c>
      <c r="CA49" s="13">
        <f t="shared" si="39"/>
        <v>33.933870261867483</v>
      </c>
      <c r="CB49" s="20">
        <f t="shared" si="10"/>
        <v>285.04721070608576</v>
      </c>
      <c r="CC49" s="59">
        <f t="shared" si="11"/>
        <v>578.38054403941908</v>
      </c>
      <c r="CD49" s="59">
        <f ca="1">AVERAGE(OFFSET($CC$3,0,0,'Données projet'!$E$12+1,1))-AVERAGE(OFFSET($H$3,0,0,'Données projet'!$E$12+1,1))</f>
        <v>215.23235148064941</v>
      </c>
      <c r="CE49" s="59">
        <f t="shared" si="40"/>
        <v>184.07239726900434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2.2833152007389583</v>
      </c>
      <c r="CL49" s="21">
        <f>EXP(-LN(2)/25)*CL48+(1-EXP(-LN(2)/25))/(LN(2)/25)*Calculateur!CG49*Calculateur!CI49*VLOOKUP('Données projet'!$B$12,Paramètres!$A$1:$I$89,3,0)*0.475*44/12</f>
        <v>5.040953194648579</v>
      </c>
      <c r="CM49" s="21">
        <f>EXP(-LN(2)/2)*CM48+(1-EXP(-LN(2)/2))/(LN(2)/2)*CG49*CJ49*VLOOKUP('Données projet'!$B$12,Paramètres!$A$1:$I$89,3,0)*0.475*44/12</f>
        <v>3.8406939376156218E-2</v>
      </c>
      <c r="CN49" s="22">
        <f t="shared" si="12"/>
        <v>7.3626753347636944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8.3000000000000007</v>
      </c>
      <c r="CT49" s="12">
        <f>IF('Données projet'!$A$140&gt;35,CT48+CS49-DB48,IF(A49&lt;'Données projet'!$A$140,$CQ$205^A49,IF(A49='Données projet'!$A$140,'Données projet'!$B$140,CT48+CS49-DB48)))</f>
        <v>165.8</v>
      </c>
      <c r="CU49" s="17">
        <f>CT49*VLOOKUP('Données projet'!$B$13,Paramètres!$A$1:$I$89,3,0)*VLOOKUP('Données projet'!$B$13,Paramètres!$A$1:$I$89,5,0)</f>
        <v>168.12120000000002</v>
      </c>
      <c r="CV49" s="13">
        <f t="shared" si="41"/>
        <v>42.668963108479424</v>
      </c>
      <c r="CW49" s="20">
        <f t="shared" si="13"/>
        <v>367.12620074726834</v>
      </c>
      <c r="CX49" s="59">
        <f t="shared" si="14"/>
        <v>660.45953408060166</v>
      </c>
      <c r="CY49" s="59">
        <f ca="1">AVERAGE(OFFSET($CX$3,0,0,'Données projet'!$E$13+1,1))-AVERAGE(OFFSET($H$3,0,0,'Données projet'!$E$13+1,1))</f>
        <v>279.20364724206644</v>
      </c>
      <c r="CZ49" s="59">
        <f t="shared" si="42"/>
        <v>173.99850582760712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2.2336697986394709</v>
      </c>
      <c r="DH49" s="21">
        <f>EXP(-LN(2)/2)*DH48+(1-EXP(-LN(2)/2))/(LN(2)/2)*DB49*DE49*VLOOKUP('Données projet'!$B$13,Paramètres!$A$1:$I$89,3,0)*0.475*44/12</f>
        <v>2.7095070752818407E-2</v>
      </c>
      <c r="DI49" s="22">
        <f t="shared" si="15"/>
        <v>2.2607648693922893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8.3000000000000007</v>
      </c>
      <c r="DO49" s="12">
        <f>IF('Données projet'!$A$166&gt;35,DO48+DN49-DW48,IF(A49&lt;'Données projet'!$A$166,$DL$205^A49,IF(A49='Données projet'!$A$166,'Données projet'!$B$166,DO48+DN49-DW48)))</f>
        <v>165.8</v>
      </c>
      <c r="DP49" s="17">
        <f>DO49*VLOOKUP('Données projet'!$B$14,Paramètres!$A$1:$I$89,3,0)*VLOOKUP('Données projet'!$B$14,Paramètres!$A$1:$I$89,5,0)</f>
        <v>173.29416000000003</v>
      </c>
      <c r="DQ49" s="13">
        <f t="shared" si="43"/>
        <v>43.826979736752605</v>
      </c>
      <c r="DR49" s="20">
        <f t="shared" si="16"/>
        <v>378.15265170817747</v>
      </c>
      <c r="DS49" s="59">
        <f t="shared" si="17"/>
        <v>671.48598504151073</v>
      </c>
      <c r="DT49" s="59">
        <f ca="1">AVERAGE(OFFSET($DS$3,0,0,'Données projet'!$E$14+1,1))-AVERAGE(OFFSET($H$3,0,0,'Données projet'!$E$14+1,1))</f>
        <v>291.18074901939718</v>
      </c>
      <c r="DU49" s="59">
        <f t="shared" si="44"/>
        <v>181.05123751753774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2.3023981001360698</v>
      </c>
      <c r="EC49" s="21">
        <f>EXP(-LN(2)/2)*EC48+(1-EXP(-LN(2)/2))/(LN(2)/2)*DW49*DZ49*VLOOKUP('Données projet'!$B$14,Paramètres!$A$1:$I$89,3,0)*0.475*44/12</f>
        <v>2.7928765237520539E-2</v>
      </c>
      <c r="ED49" s="22">
        <f t="shared" si="18"/>
        <v>2.3303268653735905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293</v>
      </c>
      <c r="EH49" s="12">
        <f>VLOOKUP(A49,'Données projet'!$A$191:$I$211,9,0)</f>
        <v>9.8333333333333339</v>
      </c>
      <c r="EI49" s="12">
        <f t="array" ref="EI49">INDEX(EH:EH,MIN(IF(ISNUMBER(EH49:EH245),ROW(EH49:EH245),"")))</f>
        <v>9.8333333333333339</v>
      </c>
      <c r="EJ49" s="12">
        <f>IF('Données projet'!$A$192&gt;35,EJ48+EI49-ER48,IF(A49&lt;'Données projet'!$A$192,$EG$205^A49,IF(A49='Données projet'!$A$192,'Données projet'!$B$192,EJ48+EI49-ER48)))</f>
        <v>293</v>
      </c>
      <c r="EK49" s="17">
        <f>EJ49*VLOOKUP('Données projet'!$B$15,Paramètres!$A$1:$I$89,3,0)*VLOOKUP('Données projet'!$B$15,Paramètres!$A$1:$I$89,5,0)</f>
        <v>175.214</v>
      </c>
      <c r="EL49" s="13">
        <f t="shared" si="45"/>
        <v>44.255725061661991</v>
      </c>
      <c r="EM49" s="20">
        <f t="shared" si="19"/>
        <v>382.24310448239459</v>
      </c>
      <c r="EN49" s="59">
        <f t="shared" si="20"/>
        <v>675.5764378157279</v>
      </c>
      <c r="EO49" s="59">
        <f ca="1">AVERAGE(OFFSET($EN$3,0,0,'Données projet'!$E$15+1,1))-AVERAGE(OFFSET($H$3,0,0,'Données projet'!$E$15+1,1))</f>
        <v>168.08890945052406</v>
      </c>
      <c r="EP49" s="59">
        <f t="shared" si="46"/>
        <v>182.52462557642343</v>
      </c>
      <c r="EQ49" s="15">
        <f>IF(ISNA(VLOOKUP(A49,'Données projet'!$A$191:$I$211,3,0)),0,VLOOKUP(A49,'Données projet'!$A$191:$I$211,3,0))</f>
        <v>7</v>
      </c>
      <c r="ER49" s="15">
        <f>IF(ISNA(VLOOKUP(A49,'Données projet'!$A$191:$I$211,4,0)),0,VLOOKUP(A49,'Données projet'!$A$191:$I$211,4,0))</f>
        <v>29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4.5251836121389246</v>
      </c>
      <c r="EW49" s="21">
        <f>EXP(-LN(2)/25)*EW48+(1-EXP(-LN(2)/25))/(LN(2)/25)*Calculateur!ER49*Calculateur!ET49*VLOOKUP('Données projet'!$B$15,Paramètres!$A$1:$I$89,3,0)*0.475*44/12</f>
        <v>7.9128868109794306</v>
      </c>
      <c r="EX49" s="21">
        <f>EXP(-LN(2)/2)*EX48+(1-EXP(-LN(2)/2))/(LN(2)/2)*ER49*EU49*VLOOKUP('Données projet'!$B$15,Paramètres!$A$1:$I$89,3,0)*0.475*44/12</f>
        <v>2.1272235836227175E-2</v>
      </c>
      <c r="EY49" s="22">
        <f t="shared" si="21"/>
        <v>12.459342658954581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7.7</v>
      </c>
      <c r="FE49" s="12">
        <f>IF('Données projet'!$A$218&gt;35,FE48+FD49-FM48,IF(A49&lt;'Données projet'!$A$218,$FB$205^A49,IF(A49='Données projet'!$A$218,'Données projet'!$B$218,FE48+FD49-FM48)))</f>
        <v>210.19999999999979</v>
      </c>
      <c r="FF49" s="17">
        <f>FE49*VLOOKUP('Données projet'!$B$16,Paramètres!$A$1:$I$89,3,0)*VLOOKUP('Données projet'!$B$16,Paramètres!$A$1:$I$89,5,0)</f>
        <v>141.00215999999986</v>
      </c>
      <c r="FG49" s="13">
        <f t="shared" si="47"/>
        <v>36.526490885878047</v>
      </c>
      <c r="FH49" s="20">
        <f t="shared" si="22"/>
        <v>309.19573362623737</v>
      </c>
      <c r="FI49" s="59">
        <f t="shared" si="23"/>
        <v>602.52906695957063</v>
      </c>
      <c r="FJ49" s="59">
        <f ca="1">AVERAGE(OFFSET($FI$3,0,0,'Données projet'!$E$16+1,1))-AVERAGE(OFFSET($H$3,0,0,'Données projet'!$E$16+1,1))</f>
        <v>156.63226020379989</v>
      </c>
      <c r="FK49" s="59">
        <f t="shared" si="48"/>
        <v>196.0481096619543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5.563625952054343</v>
      </c>
      <c r="FS49" s="21">
        <f>EXP(-LN(2)/2)*FS48+(1-EXP(-LN(2)/2))/(LN(2)/2)*FM49*FP49*VLOOKUP('Données projet'!$B$16,Paramètres!$A$1:$I$89,3,0)*0.475*44/12</f>
        <v>3.5443245320807983E-2</v>
      </c>
      <c r="FT49" s="22">
        <f t="shared" si="24"/>
        <v>5.599069197375151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12.8</v>
      </c>
      <c r="FZ49" s="12">
        <f>IF('Données projet'!$A$244&gt;35,FZ48+FY49-GH48,IF(A49&lt;'Données projet'!$A$244,$FW$205^A49,IF(A49='Données projet'!$A$244,'Données projet'!$B$244,FZ48+FY49-GH48)))</f>
        <v>291.79999999999995</v>
      </c>
      <c r="GA49" s="17">
        <f>FZ49*VLOOKUP('Données projet'!$B$17,Paramètres!$A$1:$I$89,3,0)*VLOOKUP('Données projet'!$B$17,Paramètres!$A$1:$I$89,5,0)</f>
        <v>174.49639999999999</v>
      </c>
      <c r="GB49" s="13">
        <f t="shared" si="49"/>
        <v>44.095532458716939</v>
      </c>
      <c r="GC49" s="20">
        <f t="shared" si="25"/>
        <v>380.71428236559865</v>
      </c>
      <c r="GD49" s="59">
        <f t="shared" si="26"/>
        <v>674.04761569893196</v>
      </c>
      <c r="GE49" s="59">
        <f ca="1">AVERAGE(OFFSET($GD$3,0,0,'Données projet'!$E$17+1,1))-AVERAGE(OFFSET($H$3,0,0,'Données projet'!$E$17+1,1))</f>
        <v>216.94426559495264</v>
      </c>
      <c r="GF49" s="59">
        <f t="shared" si="50"/>
        <v>225.33715877618704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8.2455388035278574</v>
      </c>
      <c r="GN49" s="21">
        <f>EXP(-LN(2)/2)*GN48+(1-EXP(-LN(2)/2))/(LN(2)/2)*GH49*GK49*VLOOKUP('Données projet'!$B$17,Paramètres!$A$1:$I$89,3,0)*0.475*44/12</f>
        <v>9.2692812007105357E-2</v>
      </c>
      <c r="GO49" s="21">
        <f t="shared" si="27"/>
        <v>8.3382316155349621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8.3000000000000007</v>
      </c>
      <c r="GU49" s="12">
        <f>IF('Données projet'!$A$270&gt;35,GU48+GT49-HC48,IF(A49&lt;'Données projet'!$A$270,$GR$205^A49,IF(A49='Données projet'!$A$270,'Données projet'!$B$270,GU48+GT49-HC48)))</f>
        <v>165.8</v>
      </c>
      <c r="GV49" s="17">
        <f>GU49*VLOOKUP('Données projet'!$B$18,Paramètres!$A$1:$I$89,3,0)*VLOOKUP('Données projet'!$B$18,Paramètres!$A$1:$I$89,5,0)</f>
        <v>160.36176</v>
      </c>
      <c r="GW49" s="13">
        <f t="shared" si="51"/>
        <v>40.924100656281027</v>
      </c>
      <c r="GX49" s="20">
        <f t="shared" si="28"/>
        <v>350.57287397635611</v>
      </c>
      <c r="GY49" s="59">
        <f t="shared" si="29"/>
        <v>643.90620730968942</v>
      </c>
      <c r="GZ49" s="59">
        <f ca="1">AVERAGE(OFFSET($GY$3,0,0,'Données projet'!$E$18+1,1))-AVERAGE(OFFSET($H$3,0,0,'Données projet'!$E$18+1,1))</f>
        <v>261.22357949323879</v>
      </c>
      <c r="HA49" s="59">
        <f t="shared" si="52"/>
        <v>163.41029152029387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2.1305773463945723</v>
      </c>
      <c r="HI49" s="21">
        <f>EXP(-LN(2)/2)*HI48+(1-EXP(-LN(2)/2))/(LN(2)/2)*HC49*HF49*VLOOKUP('Données projet'!$B$18,Paramètres!$A$1:$I$89,3,0)*0.475*44/12</f>
        <v>2.5844529025765249E-2</v>
      </c>
      <c r="HJ49" s="22">
        <f t="shared" si="30"/>
        <v>2.1564218754203375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237.22177246688199</v>
      </c>
      <c r="T50" s="59">
        <f t="shared" si="34"/>
        <v>149.27472147904302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</v>
      </c>
      <c r="AI50" s="13">
        <f>IF('Données projet'!$A$62&gt;35,AI49+AH50-AQ49,IF(A50&lt;'Données projet'!$A$62,$AF$205^A50,IF(A50='Données projet'!$A$62,'Données projet'!$B$62,AI49+AH50-AQ49)))</f>
        <v>192.59999999999994</v>
      </c>
      <c r="AJ50" s="13">
        <f>AI50*VLOOKUP('Données projet'!$B$10,Paramètres!$A$1:$I$89,3,0)*VLOOKUP('Données projet'!$B$10,Paramètres!$A$1:$I$89,5,0)</f>
        <v>168.25535999999997</v>
      </c>
      <c r="AK50" s="13">
        <f t="shared" si="35"/>
        <v>42.699047982710887</v>
      </c>
      <c r="AL50" s="20">
        <f t="shared" si="4"/>
        <v>367.41226056988802</v>
      </c>
      <c r="AM50" s="59">
        <f t="shared" si="5"/>
        <v>660.74559390322133</v>
      </c>
      <c r="AN50" s="59">
        <f ca="1">AVERAGE(OFFSET($AM$3,0,0,'Données projet'!$E$10+1,1))-AVERAGE(OFFSET($H$3,0,0,'Données projet'!$E$10+1,1))</f>
        <v>210.07838338464626</v>
      </c>
      <c r="AO50" s="59">
        <f t="shared" si="36"/>
        <v>241.76003724236273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3.7851156205128942</v>
      </c>
      <c r="AV50" s="21">
        <f>EXP(-LN(2)/25)*AV49+(1-EXP(-LN(2)/25))/(LN(2)/25)*Calculateur!AQ50*Calculateur!AS50*VLOOKUP('Données projet'!$B$10,Paramètres!$A$1:$I$89,3,0)*0.475*44/12</f>
        <v>8.4636230297182777</v>
      </c>
      <c r="AW50" s="21">
        <f>EXP(-LN(2)/2)*AW49+(1-EXP(-LN(2)/2))/(LN(2)/2)*AQ50*AT50*VLOOKUP('Données projet'!$B$10,Paramètres!$A$1:$I$89,3,0)*0.475*44/12</f>
        <v>4.4115244330258895E-2</v>
      </c>
      <c r="AX50" s="21">
        <f t="shared" si="6"/>
        <v>12.29285389456143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290.00000000000017</v>
      </c>
      <c r="BE50" s="13">
        <f>BD50*VLOOKUP('Données projet'!$B$11,Paramètres!$A$1:$I$89,3,0)*VLOOKUP('Données projet'!$B$11,Paramètres!$A$1:$I$89,5,0)</f>
        <v>180.96000000000009</v>
      </c>
      <c r="BF50" s="13">
        <f t="shared" si="37"/>
        <v>45.535702314871763</v>
      </c>
      <c r="BG50" s="20">
        <f t="shared" si="7"/>
        <v>394.48001486506854</v>
      </c>
      <c r="BH50" s="59">
        <f t="shared" si="8"/>
        <v>687.81334819840185</v>
      </c>
      <c r="BI50" s="59">
        <f ca="1">AVERAGE(OFFSET($BH$3,0,0,'Données projet'!$E$11+1,1))-AVERAGE(OFFSET($H$3,0,0,'Données projet'!$E$11+1,1))</f>
        <v>209.93608079129638</v>
      </c>
      <c r="BJ50" s="59">
        <f t="shared" si="38"/>
        <v>240.15652428700969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4.9656678079177849</v>
      </c>
      <c r="BQ50" s="21">
        <f>EXP(-LN(2)/25)*BQ49+(1-EXP(-LN(2)/25))/(LN(2)/25)*Calculateur!BL50*Calculateur!BN50*VLOOKUP('Données projet'!$B$11,Paramètres!$A$1:$I$89,3,0)*0.475*44/12</f>
        <v>12.975090587846482</v>
      </c>
      <c r="BR50" s="21">
        <f>EXP(-LN(2)/2)*BR49+(1-EXP(-LN(2)/2))/(LN(2)/2)*BL50*BO50*VLOOKUP('Données projet'!$B$11,Paramètres!$A$1:$I$89,3,0)*0.475*44/12</f>
        <v>5.5769775626419639E-2</v>
      </c>
      <c r="BS50" s="22">
        <f t="shared" si="9"/>
        <v>17.996528171390686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11.499999999999996</v>
      </c>
      <c r="BY50" s="12">
        <f>IF('Données projet'!$A$114&gt;35,BY49+BX50-CG49,IF(A50&lt;'Données projet'!$A$114,$BV$205^A50,IF(A50='Données projet'!$A$114,'Données projet'!$B$114,BY49+BX50-CG49)))</f>
        <v>288.69999999999987</v>
      </c>
      <c r="BZ50" s="13">
        <f>BY50*VLOOKUP('Données projet'!$B$12,Paramètres!$A$1:$I$89,3,0)*VLOOKUP('Données projet'!$B$12,Paramètres!$A$1:$I$89,5,0)</f>
        <v>135.11159999999992</v>
      </c>
      <c r="CA50" s="13">
        <f t="shared" si="39"/>
        <v>35.174835808562257</v>
      </c>
      <c r="CB50" s="20">
        <f t="shared" si="10"/>
        <v>296.58220903324576</v>
      </c>
      <c r="CC50" s="59">
        <f t="shared" si="11"/>
        <v>589.91554236657907</v>
      </c>
      <c r="CD50" s="59">
        <f ca="1">AVERAGE(OFFSET($CC$3,0,0,'Données projet'!$E$12+1,1))-AVERAGE(OFFSET($H$3,0,0,'Données projet'!$E$12+1,1))</f>
        <v>215.23235148064941</v>
      </c>
      <c r="CE50" s="59">
        <f t="shared" si="40"/>
        <v>184.07239726900434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2.2385407823372234</v>
      </c>
      <c r="CL50" s="21">
        <f>EXP(-LN(2)/25)*CL49+(1-EXP(-LN(2)/25))/(LN(2)/25)*Calculateur!CG50*Calculateur!CI50*VLOOKUP('Données projet'!$B$12,Paramètres!$A$1:$I$89,3,0)*0.475*44/12</f>
        <v>4.9031080644487064</v>
      </c>
      <c r="CM50" s="21">
        <f>EXP(-LN(2)/2)*CM49+(1-EXP(-LN(2)/2))/(LN(2)/2)*CG50*CJ50*VLOOKUP('Données projet'!$B$12,Paramètres!$A$1:$I$89,3,0)*0.475*44/12</f>
        <v>2.7157807277500692E-2</v>
      </c>
      <c r="CN50" s="22">
        <f t="shared" si="12"/>
        <v>7.168806654063431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8.3000000000000007</v>
      </c>
      <c r="CT50" s="12">
        <f>IF('Données projet'!$A$140&gt;35,CT49+CS50-DB49,IF(A50&lt;'Données projet'!$A$140,$CQ$205^A50,IF(A50='Données projet'!$A$140,'Données projet'!$B$140,CT49+CS50-DB49)))</f>
        <v>174.10000000000002</v>
      </c>
      <c r="CU50" s="17">
        <f>CT50*VLOOKUP('Données projet'!$B$13,Paramètres!$A$1:$I$89,3,0)*VLOOKUP('Données projet'!$B$13,Paramètres!$A$1:$I$89,5,0)</f>
        <v>176.53740000000005</v>
      </c>
      <c r="CV50" s="13">
        <f t="shared" si="41"/>
        <v>44.550952743128576</v>
      </c>
      <c r="CW50" s="20">
        <f t="shared" si="13"/>
        <v>385.06221436094899</v>
      </c>
      <c r="CX50" s="59">
        <f t="shared" si="14"/>
        <v>678.3955476942823</v>
      </c>
      <c r="CY50" s="59">
        <f ca="1">AVERAGE(OFFSET($CX$3,0,0,'Données projet'!$E$13+1,1))-AVERAGE(OFFSET($H$3,0,0,'Données projet'!$E$13+1,1))</f>
        <v>279.20364724206644</v>
      </c>
      <c r="CZ50" s="59">
        <f t="shared" si="42"/>
        <v>173.99850582760712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2.1725899805320852</v>
      </c>
      <c r="DH50" s="21">
        <f>EXP(-LN(2)/2)*DH49+(1-EXP(-LN(2)/2))/(LN(2)/2)*DB50*DE50*VLOOKUP('Données projet'!$B$13,Paramètres!$A$1:$I$89,3,0)*0.475*44/12</f>
        <v>1.9159108266047189E-2</v>
      </c>
      <c r="DI50" s="22">
        <f t="shared" si="15"/>
        <v>2.1917490887981326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8.3000000000000007</v>
      </c>
      <c r="DO50" s="12">
        <f>IF('Données projet'!$A$166&gt;35,DO49+DN50-DW49,IF(A50&lt;'Données projet'!$A$166,$DL$205^A50,IF(A50='Données projet'!$A$166,'Données projet'!$B$166,DO49+DN50-DW49)))</f>
        <v>174.10000000000002</v>
      </c>
      <c r="DP50" s="17">
        <f>DO50*VLOOKUP('Données projet'!$B$14,Paramètres!$A$1:$I$89,3,0)*VLOOKUP('Données projet'!$B$14,Paramètres!$A$1:$I$89,5,0)</f>
        <v>181.96932000000004</v>
      </c>
      <c r="DQ50" s="13">
        <f t="shared" si="43"/>
        <v>45.760045730712868</v>
      </c>
      <c r="DR50" s="20">
        <f t="shared" si="16"/>
        <v>396.62864531432496</v>
      </c>
      <c r="DS50" s="59">
        <f t="shared" si="17"/>
        <v>689.96197864765827</v>
      </c>
      <c r="DT50" s="59">
        <f ca="1">AVERAGE(OFFSET($DS$3,0,0,'Données projet'!$E$14+1,1))-AVERAGE(OFFSET($H$3,0,0,'Données projet'!$E$14+1,1))</f>
        <v>291.18074901939718</v>
      </c>
      <c r="DU50" s="59">
        <f t="shared" si="44"/>
        <v>181.05123751753774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2.239438903009995</v>
      </c>
      <c r="EC50" s="21">
        <f>EXP(-LN(2)/2)*EC49+(1-EXP(-LN(2)/2))/(LN(2)/2)*DW50*DZ50*VLOOKUP('Données projet'!$B$14,Paramètres!$A$1:$I$89,3,0)*0.475*44/12</f>
        <v>1.9748619289617891E-2</v>
      </c>
      <c r="ED50" s="22">
        <f t="shared" si="18"/>
        <v>2.2591875222996127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5.875</v>
      </c>
      <c r="EJ50" s="12">
        <f>IF('Données projet'!$A$192&gt;35,EJ49+EI50-ER49,IF(A50&lt;'Données projet'!$A$192,$EG$205^A50,IF(A50='Données projet'!$A$192,'Données projet'!$B$192,EJ49+EI50-ER49)))</f>
        <v>269.875</v>
      </c>
      <c r="EK50" s="17">
        <f>EJ50*VLOOKUP('Données projet'!$B$15,Paramètres!$A$1:$I$89,3,0)*VLOOKUP('Données projet'!$B$15,Paramètres!$A$1:$I$89,5,0)</f>
        <v>161.38525000000001</v>
      </c>
      <c r="EL50" s="13">
        <f t="shared" si="45"/>
        <v>41.154805478559268</v>
      </c>
      <c r="EM50" s="20">
        <f t="shared" si="19"/>
        <v>352.75726329182407</v>
      </c>
      <c r="EN50" s="59">
        <f t="shared" si="20"/>
        <v>646.09059662515733</v>
      </c>
      <c r="EO50" s="59">
        <f ca="1">AVERAGE(OFFSET($EN$3,0,0,'Données projet'!$E$15+1,1))-AVERAGE(OFFSET($H$3,0,0,'Données projet'!$E$15+1,1))</f>
        <v>168.08890945052406</v>
      </c>
      <c r="EP50" s="59">
        <f t="shared" si="46"/>
        <v>182.52462557642343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4.4364475215943475</v>
      </c>
      <c r="EW50" s="21">
        <f>EXP(-LN(2)/25)*EW49+(1-EXP(-LN(2)/25))/(LN(2)/25)*Calculateur!ER50*Calculateur!ET50*VLOOKUP('Données projet'!$B$15,Paramètres!$A$1:$I$89,3,0)*0.475*44/12</f>
        <v>7.6965085050125657</v>
      </c>
      <c r="EX50" s="21">
        <f>EXP(-LN(2)/2)*EX49+(1-EXP(-LN(2)/2))/(LN(2)/2)*ER50*EU50*VLOOKUP('Données projet'!$B$15,Paramètres!$A$1:$I$89,3,0)*0.475*44/12</f>
        <v>1.5041742210795725E-2</v>
      </c>
      <c r="EY50" s="22">
        <f t="shared" si="21"/>
        <v>12.147997768817708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7.7</v>
      </c>
      <c r="FE50" s="12">
        <f>IF('Données projet'!$A$218&gt;35,FE49+FD50-FM49,IF(A50&lt;'Données projet'!$A$218,$FB$205^A50,IF(A50='Données projet'!$A$218,'Données projet'!$B$218,FE49+FD50-FM49)))</f>
        <v>217.89999999999978</v>
      </c>
      <c r="FF50" s="17">
        <f>FE50*VLOOKUP('Données projet'!$B$16,Paramètres!$A$1:$I$89,3,0)*VLOOKUP('Données projet'!$B$16,Paramètres!$A$1:$I$89,5,0)</f>
        <v>146.16731999999985</v>
      </c>
      <c r="FG50" s="13">
        <f t="shared" si="47"/>
        <v>37.706287620862582</v>
      </c>
      <c r="FH50" s="20">
        <f t="shared" si="22"/>
        <v>320.24653327300206</v>
      </c>
      <c r="FI50" s="59">
        <f t="shared" si="23"/>
        <v>613.57986660633537</v>
      </c>
      <c r="FJ50" s="59">
        <f ca="1">AVERAGE(OFFSET($FI$3,0,0,'Données projet'!$E$16+1,1))-AVERAGE(OFFSET($H$3,0,0,'Données projet'!$E$16+1,1))</f>
        <v>156.63226020379989</v>
      </c>
      <c r="FK50" s="59">
        <f t="shared" si="48"/>
        <v>196.0481096619543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5.4114883078170442</v>
      </c>
      <c r="FS50" s="21">
        <f>EXP(-LN(2)/2)*FS49+(1-EXP(-LN(2)/2))/(LN(2)/2)*FM50*FP50*VLOOKUP('Données projet'!$B$16,Paramètres!$A$1:$I$89,3,0)*0.475*44/12</f>
        <v>2.5062159113601695E-2</v>
      </c>
      <c r="FT50" s="22">
        <f t="shared" si="24"/>
        <v>5.4365504669306457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12.8</v>
      </c>
      <c r="FZ50" s="12">
        <f>IF('Données projet'!$A$244&gt;35,FZ49+FY50-GH49,IF(A50&lt;'Données projet'!$A$244,$FW$205^A50,IF(A50='Données projet'!$A$244,'Données projet'!$B$244,FZ49+FY50-GH49)))</f>
        <v>304.59999999999997</v>
      </c>
      <c r="GA50" s="17">
        <f>FZ50*VLOOKUP('Données projet'!$B$17,Paramètres!$A$1:$I$89,3,0)*VLOOKUP('Données projet'!$B$17,Paramètres!$A$1:$I$89,5,0)</f>
        <v>182.15079999999998</v>
      </c>
      <c r="GB50" s="13">
        <f t="shared" si="49"/>
        <v>45.800368240506849</v>
      </c>
      <c r="GC50" s="20">
        <f t="shared" si="25"/>
        <v>397.01495135221603</v>
      </c>
      <c r="GD50" s="59">
        <f t="shared" si="26"/>
        <v>690.34828468554929</v>
      </c>
      <c r="GE50" s="59">
        <f ca="1">AVERAGE(OFFSET($GD$3,0,0,'Données projet'!$E$17+1,1))-AVERAGE(OFFSET($H$3,0,0,'Données projet'!$E$17+1,1))</f>
        <v>216.94426559495264</v>
      </c>
      <c r="GF50" s="59">
        <f t="shared" si="50"/>
        <v>225.33715877618704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8.0200641113313473</v>
      </c>
      <c r="GN50" s="21">
        <f>EXP(-LN(2)/2)*GN49+(1-EXP(-LN(2)/2))/(LN(2)/2)*GH50*GK50*VLOOKUP('Données projet'!$B$17,Paramètres!$A$1:$I$89,3,0)*0.475*44/12</f>
        <v>6.5543715937474031E-2</v>
      </c>
      <c r="GO50" s="21">
        <f t="shared" si="27"/>
        <v>8.0856078272688219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8.3000000000000007</v>
      </c>
      <c r="GU50" s="12">
        <f>IF('Données projet'!$A$270&gt;35,GU49+GT50-HC49,IF(A50&lt;'Données projet'!$A$270,$GR$205^A50,IF(A50='Données projet'!$A$270,'Données projet'!$B$270,GU49+GT50-HC49)))</f>
        <v>174.10000000000002</v>
      </c>
      <c r="GV50" s="17">
        <f>GU50*VLOOKUP('Données projet'!$B$18,Paramètres!$A$1:$I$89,3,0)*VLOOKUP('Données projet'!$B$18,Paramètres!$A$1:$I$89,5,0)</f>
        <v>168.38952</v>
      </c>
      <c r="GW50" s="13">
        <f t="shared" si="51"/>
        <v>42.729130064815024</v>
      </c>
      <c r="GX50" s="20">
        <f t="shared" si="28"/>
        <v>367.69831552955276</v>
      </c>
      <c r="GY50" s="59">
        <f t="shared" si="29"/>
        <v>661.03164886288607</v>
      </c>
      <c r="GZ50" s="59">
        <f ca="1">AVERAGE(OFFSET($GY$3,0,0,'Données projet'!$E$18+1,1))-AVERAGE(OFFSET($H$3,0,0,'Données projet'!$E$18+1,1))</f>
        <v>261.22357949323879</v>
      </c>
      <c r="HA50" s="59">
        <f t="shared" si="52"/>
        <v>163.41029152029387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2.0723165968152197</v>
      </c>
      <c r="HI50" s="21">
        <f>EXP(-LN(2)/2)*HI49+(1-EXP(-LN(2)/2))/(LN(2)/2)*HC50*HF50*VLOOKUP('Données projet'!$B$18,Paramètres!$A$1:$I$89,3,0)*0.475*44/12</f>
        <v>1.8274841730691164E-2</v>
      </c>
      <c r="HJ50" s="22">
        <f t="shared" si="30"/>
        <v>2.090591438545911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237.22177246688199</v>
      </c>
      <c r="T51" s="59">
        <f t="shared" si="34"/>
        <v>149.27472147904302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</v>
      </c>
      <c r="AI51" s="13">
        <f>IF('Données projet'!$A$62&gt;35,AI50+AH51-AQ50,IF(A51&lt;'Données projet'!$A$62,$AF$205^A51,IF(A51='Données projet'!$A$62,'Données projet'!$B$62,AI50+AH51-AQ50)))</f>
        <v>199.39999999999995</v>
      </c>
      <c r="AJ51" s="13">
        <f>AI51*VLOOKUP('Données projet'!$B$10,Paramètres!$A$1:$I$89,3,0)*VLOOKUP('Données projet'!$B$10,Paramètres!$A$1:$I$89,5,0)</f>
        <v>174.19583999999998</v>
      </c>
      <c r="AK51" s="13">
        <f t="shared" si="35"/>
        <v>44.028414526076745</v>
      </c>
      <c r="AL51" s="20">
        <f t="shared" si="4"/>
        <v>380.07390996625026</v>
      </c>
      <c r="AM51" s="59">
        <f t="shared" si="5"/>
        <v>673.40724329958357</v>
      </c>
      <c r="AN51" s="59">
        <f ca="1">AVERAGE(OFFSET($AM$3,0,0,'Données projet'!$E$10+1,1))-AVERAGE(OFFSET($H$3,0,0,'Données projet'!$E$10+1,1))</f>
        <v>210.07838338464626</v>
      </c>
      <c r="AO51" s="59">
        <f t="shared" si="36"/>
        <v>241.76003724236273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3.7108918118872003</v>
      </c>
      <c r="AV51" s="21">
        <f>EXP(-LN(2)/25)*AV50+(1-EXP(-LN(2)/25))/(LN(2)/25)*Calculateur!AQ51*Calculateur!AS51*VLOOKUP('Données projet'!$B$10,Paramètres!$A$1:$I$89,3,0)*0.475*44/12</f>
        <v>8.2321848128880397</v>
      </c>
      <c r="AW51" s="21">
        <f>EXP(-LN(2)/2)*AW50+(1-EXP(-LN(2)/2))/(LN(2)/2)*AQ51*AT51*VLOOKUP('Données projet'!$B$10,Paramètres!$A$1:$I$89,3,0)*0.475*44/12</f>
        <v>3.1194188419627459E-2</v>
      </c>
      <c r="AX51" s="21">
        <f t="shared" si="6"/>
        <v>11.974270813194869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301.00000000000017</v>
      </c>
      <c r="BE51" s="13">
        <f>BD51*VLOOKUP('Données projet'!$B$11,Paramètres!$A$1:$I$89,3,0)*VLOOKUP('Données projet'!$B$11,Paramètres!$A$1:$I$89,5,0)</f>
        <v>187.8240000000001</v>
      </c>
      <c r="BF51" s="13">
        <f t="shared" si="37"/>
        <v>47.05854810918273</v>
      </c>
      <c r="BG51" s="20">
        <f t="shared" si="7"/>
        <v>409.08710462349342</v>
      </c>
      <c r="BH51" s="59">
        <f t="shared" si="8"/>
        <v>702.42043795682673</v>
      </c>
      <c r="BI51" s="59">
        <f ca="1">AVERAGE(OFFSET($BH$3,0,0,'Données projet'!$E$11+1,1))-AVERAGE(OFFSET($H$3,0,0,'Données projet'!$E$11+1,1))</f>
        <v>209.93608079129638</v>
      </c>
      <c r="BJ51" s="59">
        <f t="shared" si="38"/>
        <v>240.15652428700969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4.8682940909628147</v>
      </c>
      <c r="BQ51" s="21">
        <f>EXP(-LN(2)/25)*BQ50+(1-EXP(-LN(2)/25))/(LN(2)/25)*Calculateur!BL51*Calculateur!BN51*VLOOKUP('Données projet'!$B$11,Paramètres!$A$1:$I$89,3,0)*0.475*44/12</f>
        <v>12.620286053391462</v>
      </c>
      <c r="BR51" s="21">
        <f>EXP(-LN(2)/2)*BR50+(1-EXP(-LN(2)/2))/(LN(2)/2)*BL51*BO51*VLOOKUP('Données projet'!$B$11,Paramètres!$A$1:$I$89,3,0)*0.475*44/12</f>
        <v>3.9435186530693563E-2</v>
      </c>
      <c r="BS51" s="22">
        <f t="shared" si="9"/>
        <v>17.528015330884969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11.499999999999996</v>
      </c>
      <c r="BY51" s="12">
        <f>IF('Données projet'!$A$114&gt;35,BY50+BX51-CG50,IF(A51&lt;'Données projet'!$A$114,$BV$205^A51,IF(A51='Données projet'!$A$114,'Données projet'!$B$114,BY50+BX51-CG50)))</f>
        <v>300.19999999999987</v>
      </c>
      <c r="BZ51" s="13">
        <f>BY51*VLOOKUP('Données projet'!$B$12,Paramètres!$A$1:$I$89,3,0)*VLOOKUP('Données projet'!$B$12,Paramètres!$A$1:$I$89,5,0)</f>
        <v>140.49359999999993</v>
      </c>
      <c r="CA51" s="13">
        <f t="shared" si="39"/>
        <v>36.410059151057915</v>
      </c>
      <c r="CB51" s="20">
        <f t="shared" si="10"/>
        <v>308.10720635475906</v>
      </c>
      <c r="CC51" s="59">
        <f t="shared" si="11"/>
        <v>601.44053968809237</v>
      </c>
      <c r="CD51" s="59">
        <f ca="1">AVERAGE(OFFSET($CC$3,0,0,'Données projet'!$E$12+1,1))-AVERAGE(OFFSET($H$3,0,0,'Données projet'!$E$12+1,1))</f>
        <v>215.23235148064941</v>
      </c>
      <c r="CE51" s="59">
        <f t="shared" si="40"/>
        <v>184.07239726900434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2.194644362970648</v>
      </c>
      <c r="CL51" s="21">
        <f>EXP(-LN(2)/25)*CL50+(1-EXP(-LN(2)/25))/(LN(2)/25)*Calculateur!CG51*Calculateur!CI51*VLOOKUP('Données projet'!$B$12,Paramètres!$A$1:$I$89,3,0)*0.475*44/12</f>
        <v>4.7690323165831092</v>
      </c>
      <c r="CM51" s="21">
        <f>EXP(-LN(2)/2)*CM50+(1-EXP(-LN(2)/2))/(LN(2)/2)*CG51*CJ51*VLOOKUP('Données projet'!$B$12,Paramètres!$A$1:$I$89,3,0)*0.475*44/12</f>
        <v>1.9203469688078109E-2</v>
      </c>
      <c r="CN51" s="22">
        <f t="shared" si="12"/>
        <v>6.9828801492418346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8.3000000000000007</v>
      </c>
      <c r="CT51" s="12">
        <f>IF('Données projet'!$A$140&gt;35,CT50+CS51-DB50,IF(A51&lt;'Données projet'!$A$140,$CQ$205^A51,IF(A51='Données projet'!$A$140,'Données projet'!$B$140,CT50+CS51-DB50)))</f>
        <v>182.40000000000003</v>
      </c>
      <c r="CU51" s="17">
        <f>CT51*VLOOKUP('Données projet'!$B$13,Paramètres!$A$1:$I$89,3,0)*VLOOKUP('Données projet'!$B$13,Paramètres!$A$1:$I$89,5,0)</f>
        <v>184.95360000000005</v>
      </c>
      <c r="CV51" s="13">
        <f t="shared" si="41"/>
        <v>46.42252355095799</v>
      </c>
      <c r="CW51" s="20">
        <f t="shared" si="13"/>
        <v>402.9800818512519</v>
      </c>
      <c r="CX51" s="59">
        <f t="shared" si="14"/>
        <v>696.31341518458521</v>
      </c>
      <c r="CY51" s="59">
        <f ca="1">AVERAGE(OFFSET($CX$3,0,0,'Données projet'!$E$13+1,1))-AVERAGE(OFFSET($H$3,0,0,'Données projet'!$E$13+1,1))</f>
        <v>279.20364724206644</v>
      </c>
      <c r="CZ51" s="59">
        <f t="shared" si="42"/>
        <v>173.99850582760712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2.1131803932628936</v>
      </c>
      <c r="DH51" s="21">
        <f>EXP(-LN(2)/2)*DH50+(1-EXP(-LN(2)/2))/(LN(2)/2)*DB51*DE51*VLOOKUP('Données projet'!$B$13,Paramètres!$A$1:$I$89,3,0)*0.475*44/12</f>
        <v>1.3547535376409204E-2</v>
      </c>
      <c r="DI51" s="22">
        <f t="shared" si="15"/>
        <v>2.126727928639303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8.3000000000000007</v>
      </c>
      <c r="DO51" s="12">
        <f>IF('Données projet'!$A$166&gt;35,DO50+DN51-DW50,IF(A51&lt;'Données projet'!$A$166,$DL$205^A51,IF(A51='Données projet'!$A$166,'Données projet'!$B$166,DO50+DN51-DW50)))</f>
        <v>182.40000000000003</v>
      </c>
      <c r="DP51" s="17">
        <f>DO51*VLOOKUP('Données projet'!$B$14,Paramètres!$A$1:$I$89,3,0)*VLOOKUP('Données projet'!$B$14,Paramètres!$A$1:$I$89,5,0)</f>
        <v>190.64448000000004</v>
      </c>
      <c r="DQ51" s="13">
        <f t="shared" si="43"/>
        <v>47.682410135540337</v>
      </c>
      <c r="DR51" s="20">
        <f t="shared" si="16"/>
        <v>415.08600031939955</v>
      </c>
      <c r="DS51" s="59">
        <f t="shared" si="17"/>
        <v>708.4193336527328</v>
      </c>
      <c r="DT51" s="59">
        <f ca="1">AVERAGE(OFFSET($DS$3,0,0,'Données projet'!$E$14+1,1))-AVERAGE(OFFSET($H$3,0,0,'Données projet'!$E$14+1,1))</f>
        <v>291.18074901939718</v>
      </c>
      <c r="DU51" s="59">
        <f t="shared" si="44"/>
        <v>181.05123751753774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2.1782013284402133</v>
      </c>
      <c r="EC51" s="21">
        <f>EXP(-LN(2)/2)*EC50+(1-EXP(-LN(2)/2))/(LN(2)/2)*DW51*DZ51*VLOOKUP('Données projet'!$B$14,Paramètres!$A$1:$I$89,3,0)*0.475*44/12</f>
        <v>1.396438261876027E-2</v>
      </c>
      <c r="ED51" s="22">
        <f t="shared" si="18"/>
        <v>2.1921657110589736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5.875</v>
      </c>
      <c r="EJ51" s="12">
        <f>IF('Données projet'!$A$192&gt;35,EJ50+EI51-ER50,IF(A51&lt;'Données projet'!$A$192,$EG$205^A51,IF(A51='Données projet'!$A$192,'Données projet'!$B$192,EJ50+EI51-ER50)))</f>
        <v>275.75</v>
      </c>
      <c r="EK51" s="17">
        <f>EJ51*VLOOKUP('Données projet'!$B$15,Paramètres!$A$1:$I$89,3,0)*VLOOKUP('Données projet'!$B$15,Paramètres!$A$1:$I$89,5,0)</f>
        <v>164.89850000000001</v>
      </c>
      <c r="EL51" s="13">
        <f t="shared" si="45"/>
        <v>41.94543913753872</v>
      </c>
      <c r="EM51" s="20">
        <f t="shared" si="19"/>
        <v>360.25319399788003</v>
      </c>
      <c r="EN51" s="59">
        <f t="shared" si="20"/>
        <v>653.58652733121335</v>
      </c>
      <c r="EO51" s="59">
        <f ca="1">AVERAGE(OFFSET($EN$3,0,0,'Données projet'!$E$15+1,1))-AVERAGE(OFFSET($H$3,0,0,'Données projet'!$E$15+1,1))</f>
        <v>168.08890945052406</v>
      </c>
      <c r="EP51" s="59">
        <f t="shared" si="46"/>
        <v>182.52462557642343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4.3494514916616787</v>
      </c>
      <c r="EW51" s="21">
        <f>EXP(-LN(2)/25)*EW50+(1-EXP(-LN(2)/25))/(LN(2)/25)*Calculateur!ER51*Calculateur!ET51*VLOOKUP('Données projet'!$B$15,Paramètres!$A$1:$I$89,3,0)*0.475*44/12</f>
        <v>7.4860470752012054</v>
      </c>
      <c r="EX51" s="21">
        <f>EXP(-LN(2)/2)*EX50+(1-EXP(-LN(2)/2))/(LN(2)/2)*ER51*EU51*VLOOKUP('Données projet'!$B$15,Paramètres!$A$1:$I$89,3,0)*0.475*44/12</f>
        <v>1.0636117918113589E-2</v>
      </c>
      <c r="EY51" s="22">
        <f t="shared" si="21"/>
        <v>11.846134684780999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7.7</v>
      </c>
      <c r="FE51" s="12">
        <f>IF('Données projet'!$A$218&gt;35,FE50+FD51-FM50,IF(A51&lt;'Données projet'!$A$218,$FB$205^A51,IF(A51='Données projet'!$A$218,'Données projet'!$B$218,FE50+FD51-FM50)))</f>
        <v>225.59999999999977</v>
      </c>
      <c r="FF51" s="17">
        <f>FE51*VLOOKUP('Données projet'!$B$16,Paramètres!$A$1:$I$89,3,0)*VLOOKUP('Données projet'!$B$16,Paramètres!$A$1:$I$89,5,0)</f>
        <v>151.33247999999983</v>
      </c>
      <c r="FG51" s="13">
        <f t="shared" si="47"/>
        <v>38.881240443489759</v>
      </c>
      <c r="FH51" s="20">
        <f t="shared" si="22"/>
        <v>331.28889643907769</v>
      </c>
      <c r="FI51" s="59">
        <f t="shared" si="23"/>
        <v>624.62222977241095</v>
      </c>
      <c r="FJ51" s="59">
        <f ca="1">AVERAGE(OFFSET($FI$3,0,0,'Données projet'!$E$16+1,1))-AVERAGE(OFFSET($H$3,0,0,'Données projet'!$E$16+1,1))</f>
        <v>156.63226020379989</v>
      </c>
      <c r="FK51" s="59">
        <f t="shared" si="48"/>
        <v>196.0481096619543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5.2635108754619848</v>
      </c>
      <c r="FS51" s="21">
        <f>EXP(-LN(2)/2)*FS50+(1-EXP(-LN(2)/2))/(LN(2)/2)*FM51*FP51*VLOOKUP('Données projet'!$B$16,Paramètres!$A$1:$I$89,3,0)*0.475*44/12</f>
        <v>1.7721622660403991E-2</v>
      </c>
      <c r="FT51" s="22">
        <f t="shared" si="24"/>
        <v>5.2812324981223888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12.8</v>
      </c>
      <c r="FZ51" s="12">
        <f>IF('Données projet'!$A$244&gt;35,FZ50+FY51-GH50,IF(A51&lt;'Données projet'!$A$244,$FW$205^A51,IF(A51='Données projet'!$A$244,'Données projet'!$B$244,FZ50+FY51-GH50)))</f>
        <v>317.39999999999998</v>
      </c>
      <c r="GA51" s="17">
        <f>FZ51*VLOOKUP('Données projet'!$B$17,Paramètres!$A$1:$I$89,3,0)*VLOOKUP('Données projet'!$B$17,Paramètres!$A$1:$I$89,5,0)</f>
        <v>189.80519999999999</v>
      </c>
      <c r="GB51" s="13">
        <f t="shared" si="49"/>
        <v>47.496882766206909</v>
      </c>
      <c r="GC51" s="20">
        <f t="shared" si="25"/>
        <v>413.30112748447704</v>
      </c>
      <c r="GD51" s="59">
        <f t="shared" si="26"/>
        <v>706.63446081781035</v>
      </c>
      <c r="GE51" s="59">
        <f ca="1">AVERAGE(OFFSET($GD$3,0,0,'Données projet'!$E$17+1,1))-AVERAGE(OFFSET($H$3,0,0,'Données projet'!$E$17+1,1))</f>
        <v>216.94426559495264</v>
      </c>
      <c r="GF51" s="59">
        <f t="shared" si="50"/>
        <v>225.33715877618704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7.8007550364501501</v>
      </c>
      <c r="GN51" s="21">
        <f>EXP(-LN(2)/2)*GN50+(1-EXP(-LN(2)/2))/(LN(2)/2)*GH51*GK51*VLOOKUP('Données projet'!$B$17,Paramètres!$A$1:$I$89,3,0)*0.475*44/12</f>
        <v>4.6346406003552679E-2</v>
      </c>
      <c r="GO51" s="21">
        <f t="shared" si="27"/>
        <v>7.8471014424537024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8.3000000000000007</v>
      </c>
      <c r="GU51" s="12">
        <f>IF('Données projet'!$A$270&gt;35,GU50+GT51-HC50,IF(A51&lt;'Données projet'!$A$270,$GR$205^A51,IF(A51='Données projet'!$A$270,'Données projet'!$B$270,GU50+GT51-HC50)))</f>
        <v>182.40000000000003</v>
      </c>
      <c r="GV51" s="17">
        <f>GU51*VLOOKUP('Données projet'!$B$18,Paramètres!$A$1:$I$89,3,0)*VLOOKUP('Données projet'!$B$18,Paramètres!$A$1:$I$89,5,0)</f>
        <v>176.41728000000003</v>
      </c>
      <c r="GW51" s="13">
        <f t="shared" si="51"/>
        <v>44.524166703747291</v>
      </c>
      <c r="GX51" s="20">
        <f t="shared" si="28"/>
        <v>384.80635300902651</v>
      </c>
      <c r="GY51" s="59">
        <f t="shared" si="29"/>
        <v>678.13968634235982</v>
      </c>
      <c r="GZ51" s="59">
        <f ca="1">AVERAGE(OFFSET($GY$3,0,0,'Données projet'!$E$18+1,1))-AVERAGE(OFFSET($H$3,0,0,'Données projet'!$E$18+1,1))</f>
        <v>261.22357949323879</v>
      </c>
      <c r="HA51" s="59">
        <f t="shared" si="52"/>
        <v>163.41029152029387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2.0156489904969139</v>
      </c>
      <c r="HI51" s="21">
        <f>EXP(-LN(2)/2)*HI50+(1-EXP(-LN(2)/2))/(LN(2)/2)*HC51*HF51*VLOOKUP('Données projet'!$B$18,Paramètres!$A$1:$I$89,3,0)*0.475*44/12</f>
        <v>1.2922264512882625E-2</v>
      </c>
      <c r="HJ51" s="22">
        <f t="shared" si="30"/>
        <v>2.0285712550097967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237.22177246688199</v>
      </c>
      <c r="T52" s="59">
        <f t="shared" si="34"/>
        <v>149.27472147904302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</v>
      </c>
      <c r="AI52" s="13">
        <f>IF('Données projet'!$A$62&gt;35,AI51+AH52-AQ51,IF(A52&lt;'Données projet'!$A$62,$AF$205^A52,IF(A52='Données projet'!$A$62,'Données projet'!$B$62,AI51+AH52-AQ51)))</f>
        <v>206.19999999999996</v>
      </c>
      <c r="AJ52" s="13">
        <f>AI52*VLOOKUP('Données projet'!$B$10,Paramètres!$A$1:$I$89,3,0)*VLOOKUP('Données projet'!$B$10,Paramètres!$A$1:$I$89,5,0)</f>
        <v>180.13631999999998</v>
      </c>
      <c r="AK52" s="13">
        <f t="shared" si="35"/>
        <v>45.352513518602102</v>
      </c>
      <c r="AL52" s="20">
        <f t="shared" si="4"/>
        <v>392.72638504489856</v>
      </c>
      <c r="AM52" s="59">
        <f t="shared" si="5"/>
        <v>686.05971837823188</v>
      </c>
      <c r="AN52" s="59">
        <f ca="1">AVERAGE(OFFSET($AM$3,0,0,'Données projet'!$E$10+1,1))-AVERAGE(OFFSET($H$3,0,0,'Données projet'!$E$10+1,1))</f>
        <v>210.07838338464626</v>
      </c>
      <c r="AO52" s="59">
        <f t="shared" si="36"/>
        <v>241.76003724236273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3.6381234868766033</v>
      </c>
      <c r="AV52" s="21">
        <f>EXP(-LN(2)/25)*AV51+(1-EXP(-LN(2)/25))/(LN(2)/25)*Calculateur!AQ52*Calculateur!AS52*VLOOKUP('Données projet'!$B$10,Paramètres!$A$1:$I$89,3,0)*0.475*44/12</f>
        <v>8.0070752862678312</v>
      </c>
      <c r="AW52" s="21">
        <f>EXP(-LN(2)/2)*AW51+(1-EXP(-LN(2)/2))/(LN(2)/2)*AQ52*AT52*VLOOKUP('Données projet'!$B$10,Paramètres!$A$1:$I$89,3,0)*0.475*44/12</f>
        <v>2.2057622165129451E-2</v>
      </c>
      <c r="AX52" s="21">
        <f t="shared" si="6"/>
        <v>11.667256395309565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312.00000000000017</v>
      </c>
      <c r="BE52" s="13">
        <f>BD52*VLOOKUP('Données projet'!$B$11,Paramètres!$A$1:$I$89,3,0)*VLOOKUP('Données projet'!$B$11,Paramètres!$A$1:$I$89,5,0)</f>
        <v>194.6880000000001</v>
      </c>
      <c r="BF52" s="13">
        <f t="shared" si="37"/>
        <v>48.57492822891502</v>
      </c>
      <c r="BG52" s="20">
        <f t="shared" si="7"/>
        <v>423.68293333202706</v>
      </c>
      <c r="BH52" s="59">
        <f t="shared" si="8"/>
        <v>717.01626666536038</v>
      </c>
      <c r="BI52" s="59">
        <f ca="1">AVERAGE(OFFSET($BH$3,0,0,'Données projet'!$E$11+1,1))-AVERAGE(OFFSET($H$3,0,0,'Données projet'!$E$11+1,1))</f>
        <v>209.93608079129638</v>
      </c>
      <c r="BJ52" s="59">
        <f t="shared" si="38"/>
        <v>240.15652428700969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4.7728298132052291</v>
      </c>
      <c r="BQ52" s="21">
        <f>EXP(-LN(2)/25)*BQ51+(1-EXP(-LN(2)/25))/(LN(2)/25)*Calculateur!BL52*Calculateur!BN52*VLOOKUP('Données projet'!$B$11,Paramètres!$A$1:$I$89,3,0)*0.475*44/12</f>
        <v>12.275183667589474</v>
      </c>
      <c r="BR52" s="21">
        <f>EXP(-LN(2)/2)*BR51+(1-EXP(-LN(2)/2))/(LN(2)/2)*BL52*BO52*VLOOKUP('Données projet'!$B$11,Paramètres!$A$1:$I$89,3,0)*0.475*44/12</f>
        <v>2.7884887813209819E-2</v>
      </c>
      <c r="BS52" s="22">
        <f t="shared" si="9"/>
        <v>17.075898368607909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11.499999999999996</v>
      </c>
      <c r="BY52" s="12">
        <f>IF('Données projet'!$A$114&gt;35,BY51+BX52-CG51,IF(A52&lt;'Données projet'!$A$114,$BV$205^A52,IF(A52='Données projet'!$A$114,'Données projet'!$B$114,BY51+BX52-CG51)))</f>
        <v>311.69999999999987</v>
      </c>
      <c r="BZ52" s="13">
        <f>BY52*VLOOKUP('Données projet'!$B$12,Paramètres!$A$1:$I$89,3,0)*VLOOKUP('Données projet'!$B$12,Paramètres!$A$1:$I$89,5,0)</f>
        <v>145.87559999999993</v>
      </c>
      <c r="CA52" s="13">
        <f t="shared" si="39"/>
        <v>37.639785440563628</v>
      </c>
      <c r="CB52" s="20">
        <f t="shared" si="10"/>
        <v>319.62262964231485</v>
      </c>
      <c r="CC52" s="59">
        <f t="shared" si="11"/>
        <v>612.95596297564816</v>
      </c>
      <c r="CD52" s="59">
        <f ca="1">AVERAGE(OFFSET($CC$3,0,0,'Données projet'!$E$12+1,1))-AVERAGE(OFFSET($H$3,0,0,'Données projet'!$E$12+1,1))</f>
        <v>215.23235148064941</v>
      </c>
      <c r="CE52" s="59">
        <f t="shared" si="40"/>
        <v>184.07239726900434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2.1516087256136793</v>
      </c>
      <c r="CL52" s="21">
        <f>EXP(-LN(2)/25)*CL51+(1-EXP(-LN(2)/25))/(LN(2)/25)*Calculateur!CG52*Calculateur!CI52*VLOOKUP('Données projet'!$B$12,Paramètres!$A$1:$I$89,3,0)*0.475*44/12</f>
        <v>4.638622877093634</v>
      </c>
      <c r="CM52" s="21">
        <f>EXP(-LN(2)/2)*CM51+(1-EXP(-LN(2)/2))/(LN(2)/2)*CG52*CJ52*VLOOKUP('Données projet'!$B$12,Paramètres!$A$1:$I$89,3,0)*0.475*44/12</f>
        <v>1.3578903638750346E-2</v>
      </c>
      <c r="CN52" s="22">
        <f t="shared" si="12"/>
        <v>6.8038105063460641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8.3000000000000007</v>
      </c>
      <c r="CT52" s="12">
        <f>IF('Données projet'!$A$140&gt;35,CT51+CS52-DB51,IF(A52&lt;'Données projet'!$A$140,$CQ$205^A52,IF(A52='Données projet'!$A$140,'Données projet'!$B$140,CT51+CS52-DB51)))</f>
        <v>190.70000000000005</v>
      </c>
      <c r="CU52" s="17">
        <f>CT52*VLOOKUP('Données projet'!$B$13,Paramètres!$A$1:$I$89,3,0)*VLOOKUP('Données projet'!$B$13,Paramètres!$A$1:$I$89,5,0)</f>
        <v>193.36980000000005</v>
      </c>
      <c r="CV52" s="13">
        <f t="shared" si="41"/>
        <v>48.284203793067718</v>
      </c>
      <c r="CW52" s="20">
        <f t="shared" si="13"/>
        <v>420.88072327292639</v>
      </c>
      <c r="CX52" s="59">
        <f t="shared" si="14"/>
        <v>714.21405660625965</v>
      </c>
      <c r="CY52" s="59">
        <f ca="1">AVERAGE(OFFSET($CX$3,0,0,'Données projet'!$E$13+1,1))-AVERAGE(OFFSET($H$3,0,0,'Données projet'!$E$13+1,1))</f>
        <v>279.20364724206644</v>
      </c>
      <c r="CZ52" s="59">
        <f t="shared" si="42"/>
        <v>173.99850582760712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2.0553953642817926</v>
      </c>
      <c r="DH52" s="21">
        <f>EXP(-LN(2)/2)*DH51+(1-EXP(-LN(2)/2))/(LN(2)/2)*DB52*DE52*VLOOKUP('Données projet'!$B$13,Paramètres!$A$1:$I$89,3,0)*0.475*44/12</f>
        <v>9.5795541330235944E-3</v>
      </c>
      <c r="DI52" s="22">
        <f t="shared" si="15"/>
        <v>2.0649749184148161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8.3000000000000007</v>
      </c>
      <c r="DO52" s="12">
        <f>IF('Données projet'!$A$166&gt;35,DO51+DN52-DW51,IF(A52&lt;'Données projet'!$A$166,$DL$205^A52,IF(A52='Données projet'!$A$166,'Données projet'!$B$166,DO51+DN52-DW51)))</f>
        <v>190.70000000000005</v>
      </c>
      <c r="DP52" s="17">
        <f>DO52*VLOOKUP('Données projet'!$B$14,Paramètres!$A$1:$I$89,3,0)*VLOOKUP('Données projet'!$B$14,Paramètres!$A$1:$I$89,5,0)</f>
        <v>199.31964000000005</v>
      </c>
      <c r="DQ52" s="13">
        <f t="shared" si="43"/>
        <v>49.594615549105718</v>
      </c>
      <c r="DR52" s="20">
        <f t="shared" si="16"/>
        <v>433.52566174802587</v>
      </c>
      <c r="DS52" s="59">
        <f t="shared" si="17"/>
        <v>726.85899508135913</v>
      </c>
      <c r="DT52" s="59">
        <f ca="1">AVERAGE(OFFSET($DS$3,0,0,'Données projet'!$E$14+1,1))-AVERAGE(OFFSET($H$3,0,0,'Données projet'!$E$14+1,1))</f>
        <v>291.18074901939718</v>
      </c>
      <c r="DU52" s="59">
        <f t="shared" si="44"/>
        <v>181.05123751753774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2.1186382985673862</v>
      </c>
      <c r="EC52" s="21">
        <f>EXP(-LN(2)/2)*EC51+(1-EXP(-LN(2)/2))/(LN(2)/2)*DW52*DZ52*VLOOKUP('Données projet'!$B$14,Paramètres!$A$1:$I$89,3,0)*0.475*44/12</f>
        <v>9.8743096448089453E-3</v>
      </c>
      <c r="ED52" s="22">
        <f t="shared" si="18"/>
        <v>2.128512608212195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5.875</v>
      </c>
      <c r="EJ52" s="12">
        <f>IF('Données projet'!$A$192&gt;35,EJ51+EI52-ER51,IF(A52&lt;'Données projet'!$A$192,$EG$205^A52,IF(A52='Données projet'!$A$192,'Données projet'!$B$192,EJ51+EI52-ER51)))</f>
        <v>281.625</v>
      </c>
      <c r="EK52" s="17">
        <f>EJ52*VLOOKUP('Données projet'!$B$15,Paramètres!$A$1:$I$89,3,0)*VLOOKUP('Données projet'!$B$15,Paramètres!$A$1:$I$89,5,0)</f>
        <v>168.41175000000001</v>
      </c>
      <c r="EL52" s="13">
        <f t="shared" si="45"/>
        <v>42.73411432638013</v>
      </c>
      <c r="EM52" s="20">
        <f t="shared" si="19"/>
        <v>367.74571370177881</v>
      </c>
      <c r="EN52" s="59">
        <f t="shared" si="20"/>
        <v>661.07904703511213</v>
      </c>
      <c r="EO52" s="59">
        <f ca="1">AVERAGE(OFFSET($EN$3,0,0,'Données projet'!$E$15+1,1))-AVERAGE(OFFSET($H$3,0,0,'Données projet'!$E$15+1,1))</f>
        <v>168.08890945052406</v>
      </c>
      <c r="EP52" s="59">
        <f t="shared" si="46"/>
        <v>182.52462557642343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4.2641614008136504</v>
      </c>
      <c r="EW52" s="21">
        <f>EXP(-LN(2)/25)*EW51+(1-EXP(-LN(2)/25))/(LN(2)/25)*Calculateur!ER52*Calculateur!ET52*VLOOKUP('Données projet'!$B$15,Paramètres!$A$1:$I$89,3,0)*0.475*44/12</f>
        <v>7.2813407242557222</v>
      </c>
      <c r="EX52" s="21">
        <f>EXP(-LN(2)/2)*EX51+(1-EXP(-LN(2)/2))/(LN(2)/2)*ER52*EU52*VLOOKUP('Données projet'!$B$15,Paramètres!$A$1:$I$89,3,0)*0.475*44/12</f>
        <v>7.5208711053978633E-3</v>
      </c>
      <c r="EY52" s="22">
        <f t="shared" si="21"/>
        <v>11.55302299617477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7.7</v>
      </c>
      <c r="FE52" s="12">
        <f>IF('Données projet'!$A$218&gt;35,FE51+FD52-FM51,IF(A52&lt;'Données projet'!$A$218,$FB$205^A52,IF(A52='Données projet'!$A$218,'Données projet'!$B$218,FE51+FD52-FM51)))</f>
        <v>233.29999999999976</v>
      </c>
      <c r="FF52" s="17">
        <f>FE52*VLOOKUP('Données projet'!$B$16,Paramètres!$A$1:$I$89,3,0)*VLOOKUP('Données projet'!$B$16,Paramètres!$A$1:$I$89,5,0)</f>
        <v>156.49763999999982</v>
      </c>
      <c r="FG52" s="13">
        <f t="shared" si="47"/>
        <v>40.051533633118169</v>
      </c>
      <c r="FH52" s="20">
        <f t="shared" si="22"/>
        <v>342.32314407768052</v>
      </c>
      <c r="FI52" s="59">
        <f t="shared" si="23"/>
        <v>635.65647741101384</v>
      </c>
      <c r="FJ52" s="59">
        <f ca="1">AVERAGE(OFFSET($FI$3,0,0,'Données projet'!$E$16+1,1))-AVERAGE(OFFSET($H$3,0,0,'Données projet'!$E$16+1,1))</f>
        <v>156.63226020379989</v>
      </c>
      <c r="FK52" s="59">
        <f t="shared" si="48"/>
        <v>196.0481096619543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5.1195798937764696</v>
      </c>
      <c r="FS52" s="21">
        <f>EXP(-LN(2)/2)*FS51+(1-EXP(-LN(2)/2))/(LN(2)/2)*FM52*FP52*VLOOKUP('Données projet'!$B$16,Paramètres!$A$1:$I$89,3,0)*0.475*44/12</f>
        <v>1.2531079556800847E-2</v>
      </c>
      <c r="FT52" s="22">
        <f t="shared" si="24"/>
        <v>5.1321109733332708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12.8</v>
      </c>
      <c r="FZ52" s="12">
        <f>IF('Données projet'!$A$244&gt;35,FZ51+FY52-GH51,IF(A52&lt;'Données projet'!$A$244,$FW$205^A52,IF(A52='Données projet'!$A$244,'Données projet'!$B$244,FZ51+FY52-GH51)))</f>
        <v>330.2</v>
      </c>
      <c r="GA52" s="17">
        <f>FZ52*VLOOKUP('Données projet'!$B$17,Paramètres!$A$1:$I$89,3,0)*VLOOKUP('Données projet'!$B$17,Paramètres!$A$1:$I$89,5,0)</f>
        <v>197.45959999999999</v>
      </c>
      <c r="GB52" s="13">
        <f t="shared" si="49"/>
        <v>49.185450002435452</v>
      </c>
      <c r="GC52" s="20">
        <f t="shared" si="25"/>
        <v>429.57346208757502</v>
      </c>
      <c r="GD52" s="59">
        <f t="shared" si="26"/>
        <v>722.90679542090834</v>
      </c>
      <c r="GE52" s="59">
        <f ca="1">AVERAGE(OFFSET($GD$3,0,0,'Données projet'!$E$17+1,1))-AVERAGE(OFFSET($H$3,0,0,'Données projet'!$E$17+1,1))</f>
        <v>216.94426559495264</v>
      </c>
      <c r="GF52" s="59">
        <f t="shared" si="50"/>
        <v>225.33715877618704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7.5874429797545426</v>
      </c>
      <c r="GN52" s="21">
        <f>EXP(-LN(2)/2)*GN51+(1-EXP(-LN(2)/2))/(LN(2)/2)*GH52*GK52*VLOOKUP('Données projet'!$B$17,Paramètres!$A$1:$I$89,3,0)*0.475*44/12</f>
        <v>3.2771857968737016E-2</v>
      </c>
      <c r="GO52" s="21">
        <f t="shared" si="27"/>
        <v>7.6202148377232799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8.3000000000000007</v>
      </c>
      <c r="GU52" s="12">
        <f>IF('Données projet'!$A$270&gt;35,GU51+GT52-HC51,IF(A52&lt;'Données projet'!$A$270,$GR$205^A52,IF(A52='Données projet'!$A$270,'Données projet'!$B$270,GU51+GT52-HC51)))</f>
        <v>190.70000000000005</v>
      </c>
      <c r="GV52" s="17">
        <f>GU52*VLOOKUP('Données projet'!$B$18,Paramètres!$A$1:$I$89,3,0)*VLOOKUP('Données projet'!$B$18,Paramètres!$A$1:$I$89,5,0)</f>
        <v>184.44504000000003</v>
      </c>
      <c r="GW52" s="13">
        <f t="shared" si="51"/>
        <v>46.309717231989865</v>
      </c>
      <c r="GX52" s="20">
        <f t="shared" si="28"/>
        <v>401.89786884571572</v>
      </c>
      <c r="GY52" s="59">
        <f t="shared" si="29"/>
        <v>695.23120217904898</v>
      </c>
      <c r="GZ52" s="59">
        <f ca="1">AVERAGE(OFFSET($GY$3,0,0,'Données projet'!$E$18+1,1))-AVERAGE(OFFSET($H$3,0,0,'Données projet'!$E$18+1,1))</f>
        <v>261.22357949323879</v>
      </c>
      <c r="HA52" s="59">
        <f t="shared" si="52"/>
        <v>163.41029152029387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1.9605309628534022</v>
      </c>
      <c r="HI52" s="21">
        <f>EXP(-LN(2)/2)*HI51+(1-EXP(-LN(2)/2))/(LN(2)/2)*HC52*HF52*VLOOKUP('Données projet'!$B$18,Paramètres!$A$1:$I$89,3,0)*0.475*44/12</f>
        <v>9.1374208653455819E-3</v>
      </c>
      <c r="HJ52" s="22">
        <f t="shared" si="30"/>
        <v>1.9696683837187479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237.22177246688199</v>
      </c>
      <c r="T53" s="59">
        <f t="shared" si="34"/>
        <v>149.27472147904302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213</v>
      </c>
      <c r="AG53" s="12">
        <f>VLOOKUP(A53,'Données projet'!$A$61:$I$81,9,0)</f>
        <v>6.8</v>
      </c>
      <c r="AH53" s="12">
        <f t="array" ref="AH53">INDEX(AG:AG,MIN(IF(ISNUMBER(AG53:AG249),ROW(AG53:AG249),"")))</f>
        <v>6.8</v>
      </c>
      <c r="AI53" s="13">
        <f>IF('Données projet'!$A$62&gt;35,AI52+AH53-AQ52,IF(A53&lt;'Données projet'!$A$62,$AF$205^A53,IF(A53='Données projet'!$A$62,'Données projet'!$B$62,AI52+AH53-AQ52)))</f>
        <v>212.99999999999997</v>
      </c>
      <c r="AJ53" s="13">
        <f>AI53*VLOOKUP('Données projet'!$B$10,Paramètres!$A$1:$I$89,3,0)*VLOOKUP('Données projet'!$B$10,Paramètres!$A$1:$I$89,5,0)</f>
        <v>186.07680000000002</v>
      </c>
      <c r="AK53" s="13">
        <f t="shared" si="35"/>
        <v>46.671538591528673</v>
      </c>
      <c r="AL53" s="20">
        <f t="shared" si="4"/>
        <v>405.37002304691242</v>
      </c>
      <c r="AM53" s="59">
        <f t="shared" si="5"/>
        <v>698.70335638024574</v>
      </c>
      <c r="AN53" s="59">
        <f ca="1">AVERAGE(OFFSET($AM$3,0,0,'Données projet'!$E$10+1,1))-AVERAGE(OFFSET($H$3,0,0,'Données projet'!$E$10+1,1))</f>
        <v>210.07838338464626</v>
      </c>
      <c r="AO53" s="59">
        <f t="shared" si="36"/>
        <v>241.76003724236273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3.5667821043351684</v>
      </c>
      <c r="AV53" s="21">
        <f>EXP(-LN(2)/25)*AV52+(1-EXP(-LN(2)/25))/(LN(2)/25)*Calculateur!AQ53*Calculateur!AS53*VLOOKUP('Données projet'!$B$10,Paramètres!$A$1:$I$89,3,0)*0.475*44/12</f>
        <v>7.7881213914910488</v>
      </c>
      <c r="AW53" s="21">
        <f>EXP(-LN(2)/2)*AW52+(1-EXP(-LN(2)/2))/(LN(2)/2)*AQ53*AT53*VLOOKUP('Données projet'!$B$10,Paramètres!$A$1:$I$89,3,0)*0.475*44/12</f>
        <v>1.5597094209813733E-2</v>
      </c>
      <c r="AX53" s="21">
        <f t="shared" si="6"/>
        <v>11.370500590036031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323.00000000000017</v>
      </c>
      <c r="BE53" s="13">
        <f>BD53*VLOOKUP('Données projet'!$B$11,Paramètres!$A$1:$I$89,3,0)*VLOOKUP('Données projet'!$B$11,Paramètres!$A$1:$I$89,5,0)</f>
        <v>201.55200000000011</v>
      </c>
      <c r="BF53" s="13">
        <f t="shared" si="37"/>
        <v>50.08509675021061</v>
      </c>
      <c r="BG53" s="20">
        <f t="shared" si="7"/>
        <v>438.26794350661703</v>
      </c>
      <c r="BH53" s="59">
        <f t="shared" si="8"/>
        <v>731.60127683995029</v>
      </c>
      <c r="BI53" s="59">
        <f ca="1">AVERAGE(OFFSET($BH$3,0,0,'Données projet'!$E$11+1,1))-AVERAGE(OFFSET($H$3,0,0,'Données projet'!$E$11+1,1))</f>
        <v>209.93608079129638</v>
      </c>
      <c r="BJ53" s="59">
        <f t="shared" si="38"/>
        <v>240.15652428700969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4.6792375317070096</v>
      </c>
      <c r="BQ53" s="21">
        <f>EXP(-LN(2)/25)*BQ52+(1-EXP(-LN(2)/25))/(LN(2)/25)*Calculateur!BL53*Calculateur!BN53*VLOOKUP('Données projet'!$B$11,Paramètres!$A$1:$I$89,3,0)*0.475*44/12</f>
        <v>11.939518124675386</v>
      </c>
      <c r="BR53" s="21">
        <f>EXP(-LN(2)/2)*BR52+(1-EXP(-LN(2)/2))/(LN(2)/2)*BL53*BO53*VLOOKUP('Données projet'!$B$11,Paramètres!$A$1:$I$89,3,0)*0.475*44/12</f>
        <v>1.9717593265346781E-2</v>
      </c>
      <c r="BS53" s="22">
        <f t="shared" si="9"/>
        <v>16.638473249647745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323.2</v>
      </c>
      <c r="BW53" s="12">
        <f>VLOOKUP(A53,'Données projet'!$A$113:$I$133,9,0)</f>
        <v>11.499999999999996</v>
      </c>
      <c r="BX53" s="12">
        <f t="array" ref="BX53">INDEX(BW:BW,MIN(IF(ISNUMBER(BW53:BW249),ROW(BW53:BW249),"")))</f>
        <v>11.499999999999996</v>
      </c>
      <c r="BY53" s="12">
        <f>IF('Données projet'!$A$114&gt;35,BY52+BX53-CG52,IF(A53&lt;'Données projet'!$A$114,$BV$205^A53,IF(A53='Données projet'!$A$114,'Données projet'!$B$114,BY52+BX53-CG52)))</f>
        <v>323.19999999999987</v>
      </c>
      <c r="BZ53" s="13">
        <f>BY53*VLOOKUP('Données projet'!$B$12,Paramètres!$A$1:$I$89,3,0)*VLOOKUP('Données projet'!$B$12,Paramètres!$A$1:$I$89,5,0)</f>
        <v>151.25759999999994</v>
      </c>
      <c r="CA53" s="13">
        <f t="shared" si="39"/>
        <v>38.864240713854024</v>
      </c>
      <c r="CB53" s="20">
        <f t="shared" si="10"/>
        <v>331.12887257662896</v>
      </c>
      <c r="CC53" s="59">
        <f t="shared" si="11"/>
        <v>624.46220590996222</v>
      </c>
      <c r="CD53" s="59">
        <f ca="1">AVERAGE(OFFSET($CC$3,0,0,'Données projet'!$E$12+1,1))-AVERAGE(OFFSET($H$3,0,0,'Données projet'!$E$12+1,1))</f>
        <v>215.23235148064941</v>
      </c>
      <c r="CE53" s="59">
        <f t="shared" si="40"/>
        <v>184.07239726900434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83.4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2.1094169908561335</v>
      </c>
      <c r="CL53" s="21">
        <f>EXP(-LN(2)/25)*CL52+(1-EXP(-LN(2)/25))/(LN(2)/25)*Calculateur!CG53*Calculateur!CI53*VLOOKUP('Données projet'!$B$12,Paramètres!$A$1:$I$89,3,0)*0.475*44/12</f>
        <v>4.5117794905849333</v>
      </c>
      <c r="CM53" s="21">
        <f>EXP(-LN(2)/2)*CM52+(1-EXP(-LN(2)/2))/(LN(2)/2)*CG53*CJ53*VLOOKUP('Données projet'!$B$12,Paramètres!$A$1:$I$89,3,0)*0.475*44/12</f>
        <v>9.6017348440390546E-3</v>
      </c>
      <c r="CN53" s="22">
        <f t="shared" si="12"/>
        <v>6.6307982162851058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199</v>
      </c>
      <c r="CR53" s="12">
        <f>VLOOKUP(A53,'Données projet'!$A$139:$I$159,9,0)</f>
        <v>8.3000000000000007</v>
      </c>
      <c r="CS53" s="12">
        <f t="array" ref="CS53">INDEX(CR:CR,MIN(IF(ISNUMBER(CR53:CR249),ROW(CR53:CR249),"")))</f>
        <v>8.3000000000000007</v>
      </c>
      <c r="CT53" s="12">
        <f>IF('Données projet'!$A$140&gt;35,CT52+CS53-DB52,IF(A53&lt;'Données projet'!$A$140,$CQ$205^A53,IF(A53='Données projet'!$A$140,'Données projet'!$B$140,CT52+CS53-DB52)))</f>
        <v>199.00000000000006</v>
      </c>
      <c r="CU53" s="17">
        <f>CT53*VLOOKUP('Données projet'!$B$13,Paramètres!$A$1:$I$89,3,0)*VLOOKUP('Données projet'!$B$13,Paramètres!$A$1:$I$89,5,0)</f>
        <v>201.78600000000009</v>
      </c>
      <c r="CV53" s="13">
        <f t="shared" si="41"/>
        <v>50.136473146268756</v>
      </c>
      <c r="CW53" s="20">
        <f t="shared" si="13"/>
        <v>438.76497406308482</v>
      </c>
      <c r="CX53" s="59">
        <f t="shared" si="14"/>
        <v>732.09830739641814</v>
      </c>
      <c r="CY53" s="59">
        <f ca="1">AVERAGE(OFFSET($CX$3,0,0,'Données projet'!$E$13+1,1))-AVERAGE(OFFSET($H$3,0,0,'Données projet'!$E$13+1,1))</f>
        <v>279.20364724206644</v>
      </c>
      <c r="CZ53" s="59">
        <f t="shared" si="42"/>
        <v>173.99850582760712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42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1.9991904699569625</v>
      </c>
      <c r="DH53" s="21">
        <f>EXP(-LN(2)/2)*DH52+(1-EXP(-LN(2)/2))/(LN(2)/2)*DB53*DE53*VLOOKUP('Données projet'!$B$13,Paramètres!$A$1:$I$89,3,0)*0.475*44/12</f>
        <v>6.7737676882046018E-3</v>
      </c>
      <c r="DI53" s="22">
        <f t="shared" si="15"/>
        <v>2.0059642376451672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199</v>
      </c>
      <c r="DM53" s="12">
        <f>VLOOKUP(A53,'Données projet'!$A$165:$I$185,9,0)</f>
        <v>8.3000000000000007</v>
      </c>
      <c r="DN53" s="12">
        <f t="array" ref="DN53">INDEX(DM:DM,MIN(IF(ISNUMBER(DM53:DM249),ROW(DM53:DM249),"")))</f>
        <v>8.3000000000000007</v>
      </c>
      <c r="DO53" s="12">
        <f>IF('Données projet'!$A$166&gt;35,DO52+DN53-DW52,IF(A53&lt;'Données projet'!$A$166,$DL$205^A53,IF(A53='Données projet'!$A$166,'Données projet'!$B$166,DO52+DN53-DW52)))</f>
        <v>199.00000000000006</v>
      </c>
      <c r="DP53" s="17">
        <f>DO53*VLOOKUP('Données projet'!$B$14,Paramètres!$A$1:$I$89,3,0)*VLOOKUP('Données projet'!$B$14,Paramètres!$A$1:$I$89,5,0)</f>
        <v>207.99480000000008</v>
      </c>
      <c r="DQ53" s="13">
        <f t="shared" si="43"/>
        <v>51.49715466643476</v>
      </c>
      <c r="DR53" s="20">
        <f t="shared" si="16"/>
        <v>451.9484877107073</v>
      </c>
      <c r="DS53" s="59">
        <f t="shared" si="17"/>
        <v>745.28182104404061</v>
      </c>
      <c r="DT53" s="59">
        <f ca="1">AVERAGE(OFFSET($DS$3,0,0,'Données projet'!$E$14+1,1))-AVERAGE(OFFSET($H$3,0,0,'Données projet'!$E$14+1,1))</f>
        <v>291.18074901939718</v>
      </c>
      <c r="DU53" s="59">
        <f t="shared" si="44"/>
        <v>181.05123751753774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42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2.0607040228787152</v>
      </c>
      <c r="EC53" s="21">
        <f>EXP(-LN(2)/2)*EC52+(1-EXP(-LN(2)/2))/(LN(2)/2)*DW53*DZ53*VLOOKUP('Données projet'!$B$14,Paramètres!$A$1:$I$89,3,0)*0.475*44/12</f>
        <v>6.9821913093801348E-3</v>
      </c>
      <c r="ED53" s="22">
        <f t="shared" si="18"/>
        <v>2.0676862141880954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5.875</v>
      </c>
      <c r="EJ53" s="12">
        <f>IF('Données projet'!$A$192&gt;35,EJ52+EI53-ER52,IF(A53&lt;'Données projet'!$A$192,$EG$205^A53,IF(A53='Données projet'!$A$192,'Données projet'!$B$192,EJ52+EI53-ER52)))</f>
        <v>287.5</v>
      </c>
      <c r="EK53" s="17">
        <f>EJ53*VLOOKUP('Données projet'!$B$15,Paramètres!$A$1:$I$89,3,0)*VLOOKUP('Données projet'!$B$15,Paramètres!$A$1:$I$89,5,0)</f>
        <v>171.92500000000001</v>
      </c>
      <c r="EL53" s="13">
        <f t="shared" si="45"/>
        <v>43.520876607827979</v>
      </c>
      <c r="EM53" s="20">
        <f t="shared" si="19"/>
        <v>375.23490175863367</v>
      </c>
      <c r="EN53" s="59">
        <f t="shared" si="20"/>
        <v>668.56823509196693</v>
      </c>
      <c r="EO53" s="59">
        <f ca="1">AVERAGE(OFFSET($EN$3,0,0,'Données projet'!$E$15+1,1))-AVERAGE(OFFSET($H$3,0,0,'Données projet'!$E$15+1,1))</f>
        <v>168.08890945052406</v>
      </c>
      <c r="EP53" s="59">
        <f t="shared" si="46"/>
        <v>182.52462557642343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4.1805437966253338</v>
      </c>
      <c r="EW53" s="21">
        <f>EXP(-LN(2)/25)*EW52+(1-EXP(-LN(2)/25))/(LN(2)/25)*Calculateur!ER53*Calculateur!ET53*VLOOKUP('Données projet'!$B$15,Paramètres!$A$1:$I$89,3,0)*0.475*44/12</f>
        <v>7.0822320792418827</v>
      </c>
      <c r="EX53" s="21">
        <f>EXP(-LN(2)/2)*EX52+(1-EXP(-LN(2)/2))/(LN(2)/2)*ER53*EU53*VLOOKUP('Données projet'!$B$15,Paramètres!$A$1:$I$89,3,0)*0.475*44/12</f>
        <v>5.3180589590567954E-3</v>
      </c>
      <c r="EY53" s="22">
        <f t="shared" si="21"/>
        <v>11.268093934826274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241</v>
      </c>
      <c r="FC53" s="12">
        <f>VLOOKUP(A53,'Données projet'!$A$217:$I$237,9,0)</f>
        <v>7.7</v>
      </c>
      <c r="FD53" s="12">
        <f t="array" ref="FD53">INDEX(FC:FC,MIN(IF(ISNUMBER(FC53:FC249),ROW(FC53:FC249),"")))</f>
        <v>7.7</v>
      </c>
      <c r="FE53" s="12">
        <f>IF('Données projet'!$A$218&gt;35,FE52+FD53-FM52,IF(A53&lt;'Données projet'!$A$218,$FB$205^A53,IF(A53='Données projet'!$A$218,'Données projet'!$B$218,FE52+FD53-FM52)))</f>
        <v>240.99999999999974</v>
      </c>
      <c r="FF53" s="17">
        <f>FE53*VLOOKUP('Données projet'!$B$16,Paramètres!$A$1:$I$89,3,0)*VLOOKUP('Données projet'!$B$16,Paramètres!$A$1:$I$89,5,0)</f>
        <v>161.66279999999983</v>
      </c>
      <c r="FG53" s="13">
        <f t="shared" si="47"/>
        <v>41.217338614576043</v>
      </c>
      <c r="FH53" s="20">
        <f t="shared" si="22"/>
        <v>353.34957475371965</v>
      </c>
      <c r="FI53" s="59">
        <f t="shared" si="23"/>
        <v>646.68290808705297</v>
      </c>
      <c r="FJ53" s="59">
        <f ca="1">AVERAGE(OFFSET($FI$3,0,0,'Données projet'!$E$16+1,1))-AVERAGE(OFFSET($H$3,0,0,'Données projet'!$E$16+1,1))</f>
        <v>156.63226020379989</v>
      </c>
      <c r="FK53" s="59">
        <f t="shared" si="48"/>
        <v>196.0481096619543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39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4.9795847123541463</v>
      </c>
      <c r="FS53" s="21">
        <f>EXP(-LN(2)/2)*FS52+(1-EXP(-LN(2)/2))/(LN(2)/2)*FM53*FP53*VLOOKUP('Données projet'!$B$16,Paramètres!$A$1:$I$89,3,0)*0.475*44/12</f>
        <v>8.8608113302019956E-3</v>
      </c>
      <c r="FT53" s="22">
        <f t="shared" si="24"/>
        <v>4.9884455236843479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343</v>
      </c>
      <c r="FX53" s="12">
        <f>VLOOKUP(A53,'Données projet'!$A$243:$I$263,9,0)</f>
        <v>12.8</v>
      </c>
      <c r="FY53" s="12">
        <f t="array" ref="FY53">INDEX(FX:FX,MIN(IF(ISNUMBER(FX53:FX249),ROW(FX53:FX249),"")))</f>
        <v>12.8</v>
      </c>
      <c r="FZ53" s="12">
        <f>IF('Données projet'!$A$244&gt;35,FZ52+FY53-GH52,IF(A53&lt;'Données projet'!$A$244,$FW$205^A53,IF(A53='Données projet'!$A$244,'Données projet'!$B$244,FZ52+FY53-GH52)))</f>
        <v>343</v>
      </c>
      <c r="GA53" s="17">
        <f>FZ53*VLOOKUP('Données projet'!$B$17,Paramètres!$A$1:$I$89,3,0)*VLOOKUP('Données projet'!$B$17,Paramètres!$A$1:$I$89,5,0)</f>
        <v>205.114</v>
      </c>
      <c r="GB53" s="13">
        <f t="shared" si="49"/>
        <v>50.86641328088507</v>
      </c>
      <c r="GC53" s="20">
        <f t="shared" si="25"/>
        <v>445.83255313087483</v>
      </c>
      <c r="GD53" s="59">
        <f t="shared" si="26"/>
        <v>739.16588646420814</v>
      </c>
      <c r="GE53" s="59">
        <f ca="1">AVERAGE(OFFSET($GD$3,0,0,'Données projet'!$E$17+1,1))-AVERAGE(OFFSET($H$3,0,0,'Données projet'!$E$17+1,1))</f>
        <v>216.94426559495264</v>
      </c>
      <c r="GF53" s="59">
        <f t="shared" si="50"/>
        <v>225.33715877618704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70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7.3799639524668699</v>
      </c>
      <c r="GN53" s="21">
        <f>EXP(-LN(2)/2)*GN52+(1-EXP(-LN(2)/2))/(LN(2)/2)*GH53*GK53*VLOOKUP('Données projet'!$B$17,Paramètres!$A$1:$I$89,3,0)*0.475*44/12</f>
        <v>2.3173203001776339E-2</v>
      </c>
      <c r="GO53" s="21">
        <f t="shared" si="27"/>
        <v>7.403137155468646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199</v>
      </c>
      <c r="GS53" s="12">
        <f>VLOOKUP(A53,'Données projet'!$A$269:$I$289,9,0)</f>
        <v>8.3000000000000007</v>
      </c>
      <c r="GT53" s="12">
        <f t="array" ref="GT53">INDEX(GS:GS,MIN(IF(ISNUMBER(GS53:GS249),ROW(GS53:GS249),"")))</f>
        <v>8.3000000000000007</v>
      </c>
      <c r="GU53" s="12">
        <f>IF('Données projet'!$A$270&gt;35,GU52+GT53-HC52,IF(A53&lt;'Données projet'!$A$270,$GR$205^A53,IF(A53='Données projet'!$A$270,'Données projet'!$B$270,GU52+GT53-HC52)))</f>
        <v>199.00000000000006</v>
      </c>
      <c r="GV53" s="17">
        <f>GU53*VLOOKUP('Données projet'!$B$18,Paramètres!$A$1:$I$89,3,0)*VLOOKUP('Données projet'!$B$18,Paramètres!$A$1:$I$89,5,0)</f>
        <v>192.47280000000006</v>
      </c>
      <c r="GW53" s="13">
        <f t="shared" si="51"/>
        <v>48.086241710923829</v>
      </c>
      <c r="GX53" s="20">
        <f t="shared" si="28"/>
        <v>418.97366431319239</v>
      </c>
      <c r="GY53" s="59">
        <f t="shared" si="29"/>
        <v>712.3069976465257</v>
      </c>
      <c r="GZ53" s="59">
        <f ca="1">AVERAGE(OFFSET($GY$3,0,0,'Données projet'!$E$18+1,1))-AVERAGE(OFFSET($H$3,0,0,'Données projet'!$E$18+1,1))</f>
        <v>261.22357949323879</v>
      </c>
      <c r="HA53" s="59">
        <f t="shared" si="52"/>
        <v>163.41029152029387</v>
      </c>
      <c r="HB53" s="15">
        <f>IF(ISNA(VLOOKUP(A53,'Données projet'!$A$269:$I$289,3,0)),0,VLOOKUP(A53,'Données projet'!$A$269:$I$289,3,0))</f>
        <v>3</v>
      </c>
      <c r="HC53" s="15">
        <f>IF(ISNA(VLOOKUP(A53,'Données projet'!$A$269:$I$289,4,0)),0,VLOOKUP(A53,'Données projet'!$A$269:$I$289,4,0))</f>
        <v>42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1.9069201405743335</v>
      </c>
      <c r="HI53" s="21">
        <f>EXP(-LN(2)/2)*HI52+(1-EXP(-LN(2)/2))/(LN(2)/2)*HC53*HF53*VLOOKUP('Données projet'!$B$18,Paramètres!$A$1:$I$89,3,0)*0.475*44/12</f>
        <v>6.4611322564413123E-3</v>
      </c>
      <c r="HJ53" s="22">
        <f t="shared" si="30"/>
        <v>1.9133812728307749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237.22177246688199</v>
      </c>
      <c r="T54" s="59">
        <f t="shared" si="34"/>
        <v>149.27472147904302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5.7</v>
      </c>
      <c r="AI54" s="13">
        <f>IF('Données projet'!$A$62&gt;35,AI53+AH54-AQ53,IF(A54&lt;'Données projet'!$A$62,$AF$205^A54,IF(A54='Données projet'!$A$62,'Données projet'!$B$62,AI53+AH54-AQ53)))</f>
        <v>175.69999999999996</v>
      </c>
      <c r="AJ54" s="13">
        <f>AI54*VLOOKUP('Données projet'!$B$10,Paramètres!$A$1:$I$89,3,0)*VLOOKUP('Données projet'!$B$10,Paramètres!$A$1:$I$89,5,0)</f>
        <v>153.49151999999998</v>
      </c>
      <c r="AK54" s="13">
        <f t="shared" si="35"/>
        <v>39.370980358987183</v>
      </c>
      <c r="AL54" s="20">
        <f t="shared" si="4"/>
        <v>335.90218812523602</v>
      </c>
      <c r="AM54" s="59">
        <f t="shared" si="5"/>
        <v>629.23552145856934</v>
      </c>
      <c r="AN54" s="59">
        <f ca="1">AVERAGE(OFFSET($AM$3,0,0,'Données projet'!$E$10+1,1))-AVERAGE(OFFSET($H$3,0,0,'Données projet'!$E$10+1,1))</f>
        <v>210.07838338464626</v>
      </c>
      <c r="AO54" s="59">
        <f t="shared" si="36"/>
        <v>241.76003724236273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3.4968396827914243</v>
      </c>
      <c r="AV54" s="21">
        <f>EXP(-LN(2)/25)*AV53+(1-EXP(-LN(2)/25))/(LN(2)/25)*Calculateur!AQ54*Calculateur!AS54*VLOOKUP('Données projet'!$B$10,Paramètres!$A$1:$I$89,3,0)*0.475*44/12</f>
        <v>7.5751548024812223</v>
      </c>
      <c r="AW54" s="21">
        <f>EXP(-LN(2)/2)*AW53+(1-EXP(-LN(2)/2))/(LN(2)/2)*AQ54*AT54*VLOOKUP('Données projet'!$B$10,Paramètres!$A$1:$I$89,3,0)*0.475*44/12</f>
        <v>1.1028811082564727E-2</v>
      </c>
      <c r="AX54" s="21">
        <f t="shared" si="6"/>
        <v>11.083023296355211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8.8000000000000007</v>
      </c>
      <c r="BD54" s="12">
        <f>IF('Données projet'!$A$88&gt;35,BD53+BC54-BL53,IF(A54&lt;'Données projet'!$A$88,$BA$205^A54,IF(A54='Données projet'!$A$88,'Données projet'!$B$88,BD53+BC54-BL53)))</f>
        <v>271.80000000000018</v>
      </c>
      <c r="BE54" s="13">
        <f>BD54*VLOOKUP('Données projet'!$B$11,Paramètres!$A$1:$I$89,3,0)*VLOOKUP('Données projet'!$B$11,Paramètres!$A$1:$I$89,5,0)</f>
        <v>169.60320000000013</v>
      </c>
      <c r="BF54" s="13">
        <f t="shared" si="37"/>
        <v>43.001141502019024</v>
      </c>
      <c r="BG54" s="20">
        <f t="shared" si="7"/>
        <v>370.28589478268333</v>
      </c>
      <c r="BH54" s="59">
        <f t="shared" si="8"/>
        <v>663.61922811601664</v>
      </c>
      <c r="BI54" s="59">
        <f ca="1">AVERAGE(OFFSET($BH$3,0,0,'Données projet'!$E$11+1,1))-AVERAGE(OFFSET($H$3,0,0,'Données projet'!$E$11+1,1))</f>
        <v>209.93608079129638</v>
      </c>
      <c r="BJ54" s="59">
        <f t="shared" si="38"/>
        <v>240.15652428700969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4.587480537763315</v>
      </c>
      <c r="BQ54" s="21">
        <f>EXP(-LN(2)/25)*BQ53+(1-EXP(-LN(2)/25))/(LN(2)/25)*Calculateur!BL54*Calculateur!BN54*VLOOKUP('Données projet'!$B$11,Paramètres!$A$1:$I$89,3,0)*0.475*44/12</f>
        <v>11.613031373684167</v>
      </c>
      <c r="BR54" s="21">
        <f>EXP(-LN(2)/2)*BR53+(1-EXP(-LN(2)/2))/(LN(2)/2)*BL54*BO54*VLOOKUP('Données projet'!$B$11,Paramètres!$A$1:$I$89,3,0)*0.475*44/12</f>
        <v>1.394244390660491E-2</v>
      </c>
      <c r="BS54" s="22">
        <f t="shared" si="9"/>
        <v>16.214454355354086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13.499999999999996</v>
      </c>
      <c r="BY54" s="12">
        <f>IF('Données projet'!$A$114&gt;35,BY53+BX54-CG53,IF(A54&lt;'Données projet'!$A$114,$BV$205^A54,IF(A54='Données projet'!$A$114,'Données projet'!$B$114,BY53+BX54-CG53)))</f>
        <v>253.29999999999987</v>
      </c>
      <c r="BZ54" s="13">
        <f>BY54*VLOOKUP('Données projet'!$B$12,Paramètres!$A$1:$I$89,3,0)*VLOOKUP('Données projet'!$B$12,Paramètres!$A$1:$I$89,5,0)</f>
        <v>118.54439999999994</v>
      </c>
      <c r="CA54" s="13">
        <f t="shared" si="39"/>
        <v>31.3352637371359</v>
      </c>
      <c r="CB54" s="20">
        <f t="shared" si="10"/>
        <v>261.04041434217822</v>
      </c>
      <c r="CC54" s="59">
        <f t="shared" si="11"/>
        <v>554.37374767551159</v>
      </c>
      <c r="CD54" s="59">
        <f ca="1">AVERAGE(OFFSET($CC$3,0,0,'Données projet'!$E$12+1,1))-AVERAGE(OFFSET($H$3,0,0,'Données projet'!$E$12+1,1))</f>
        <v>215.23235148064941</v>
      </c>
      <c r="CE54" s="59">
        <f t="shared" si="40"/>
        <v>184.07239726900434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2.0680526102827663</v>
      </c>
      <c r="CL54" s="21">
        <f>EXP(-LN(2)/25)*CL53+(1-EXP(-LN(2)/25))/(LN(2)/25)*Calculateur!CG54*Calculateur!CI54*VLOOKUP('Données projet'!$B$12,Paramètres!$A$1:$I$89,3,0)*0.475*44/12</f>
        <v>4.3884046431507171</v>
      </c>
      <c r="CM54" s="21">
        <f>EXP(-LN(2)/2)*CM53+(1-EXP(-LN(2)/2))/(LN(2)/2)*CG54*CJ54*VLOOKUP('Données projet'!$B$12,Paramètres!$A$1:$I$89,3,0)*0.475*44/12</f>
        <v>6.7894518193751729E-3</v>
      </c>
      <c r="CN54" s="22">
        <f t="shared" si="12"/>
        <v>6.4632467052528586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</v>
      </c>
      <c r="CT54" s="12">
        <f>IF('Données projet'!$A$140&gt;35,CT53+CS54-DB53,IF(A54&lt;'Données projet'!$A$140,$CQ$205^A54,IF(A54='Données projet'!$A$140,'Données projet'!$B$140,CT53+CS54-DB53)))</f>
        <v>164.80000000000007</v>
      </c>
      <c r="CU54" s="17">
        <f>CT54*VLOOKUP('Données projet'!$B$13,Paramètres!$A$1:$I$89,3,0)*VLOOKUP('Données projet'!$B$13,Paramètres!$A$1:$I$89,5,0)</f>
        <v>167.10720000000009</v>
      </c>
      <c r="CV54" s="13">
        <f t="shared" si="41"/>
        <v>42.441486871669696</v>
      </c>
      <c r="CW54" s="20">
        <f t="shared" si="13"/>
        <v>364.96396296815823</v>
      </c>
      <c r="CX54" s="59">
        <f t="shared" si="14"/>
        <v>658.29729630149154</v>
      </c>
      <c r="CY54" s="59">
        <f ca="1">AVERAGE(OFFSET($CX$3,0,0,'Données projet'!$E$13+1,1))-AVERAGE(OFFSET($H$3,0,0,'Données projet'!$E$13+1,1))</f>
        <v>279.20364724206644</v>
      </c>
      <c r="CZ54" s="59">
        <f t="shared" si="42"/>
        <v>173.99850582760712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1.9445225014231318</v>
      </c>
      <c r="DH54" s="21">
        <f>EXP(-LN(2)/2)*DH53+(1-EXP(-LN(2)/2))/(LN(2)/2)*DB54*DE54*VLOOKUP('Données projet'!$B$13,Paramètres!$A$1:$I$89,3,0)*0.475*44/12</f>
        <v>4.7897770665117972E-3</v>
      </c>
      <c r="DI54" s="22">
        <f t="shared" si="15"/>
        <v>1.9493122784896435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7.8</v>
      </c>
      <c r="DO54" s="12">
        <f>IF('Données projet'!$A$166&gt;35,DO53+DN54-DW53,IF(A54&lt;'Données projet'!$A$166,$DL$205^A54,IF(A54='Données projet'!$A$166,'Données projet'!$B$166,DO53+DN54-DW53)))</f>
        <v>164.80000000000007</v>
      </c>
      <c r="DP54" s="17">
        <f>DO54*VLOOKUP('Données projet'!$B$14,Paramètres!$A$1:$I$89,3,0)*VLOOKUP('Données projet'!$B$14,Paramètres!$A$1:$I$89,5,0)</f>
        <v>172.2489600000001</v>
      </c>
      <c r="DQ54" s="13">
        <f t="shared" si="43"/>
        <v>43.593329896330971</v>
      </c>
      <c r="DR54" s="20">
        <f t="shared" si="16"/>
        <v>375.92532156944327</v>
      </c>
      <c r="DS54" s="59">
        <f t="shared" si="17"/>
        <v>669.25865490277658</v>
      </c>
      <c r="DT54" s="59">
        <f ca="1">AVERAGE(OFFSET($DS$3,0,0,'Données projet'!$E$14+1,1))-AVERAGE(OFFSET($H$3,0,0,'Données projet'!$E$14+1,1))</f>
        <v>291.18074901939718</v>
      </c>
      <c r="DU54" s="59">
        <f t="shared" si="44"/>
        <v>181.05123751753774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2.0043539630053822</v>
      </c>
      <c r="EC54" s="21">
        <f>EXP(-LN(2)/2)*EC53+(1-EXP(-LN(2)/2))/(LN(2)/2)*DW54*DZ54*VLOOKUP('Données projet'!$B$14,Paramètres!$A$1:$I$89,3,0)*0.475*44/12</f>
        <v>4.9371548224044727E-3</v>
      </c>
      <c r="ED54" s="22">
        <f t="shared" si="18"/>
        <v>2.0092911178277868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5.875</v>
      </c>
      <c r="EJ54" s="12">
        <f>IF('Données projet'!$A$192&gt;35,EJ53+EI54-ER53,IF(A54&lt;'Données projet'!$A$192,$EG$205^A54,IF(A54='Données projet'!$A$192,'Données projet'!$B$192,EJ53+EI54-ER53)))</f>
        <v>293.375</v>
      </c>
      <c r="EK54" s="17">
        <f>EJ54*VLOOKUP('Données projet'!$B$15,Paramètres!$A$1:$I$89,3,0)*VLOOKUP('Données projet'!$B$15,Paramètres!$A$1:$I$89,5,0)</f>
        <v>175.43825000000004</v>
      </c>
      <c r="EL54" s="13">
        <f t="shared" si="45"/>
        <v>44.305769576051844</v>
      </c>
      <c r="EM54" s="20">
        <f t="shared" si="19"/>
        <v>382.72083409495696</v>
      </c>
      <c r="EN54" s="59">
        <f t="shared" si="20"/>
        <v>676.05416742829027</v>
      </c>
      <c r="EO54" s="59">
        <f ca="1">AVERAGE(OFFSET($EN$3,0,0,'Données projet'!$E$15+1,1))-AVERAGE(OFFSET($H$3,0,0,'Données projet'!$E$15+1,1))</f>
        <v>168.08890945052406</v>
      </c>
      <c r="EP54" s="59">
        <f t="shared" si="46"/>
        <v>182.52462557642343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4.098565882653447</v>
      </c>
      <c r="EW54" s="21">
        <f>EXP(-LN(2)/25)*EW53+(1-EXP(-LN(2)/25))/(LN(2)/25)*Calculateur!ER54*Calculateur!ET54*VLOOKUP('Données projet'!$B$15,Paramètres!$A$1:$I$89,3,0)*0.475*44/12</f>
        <v>6.888568070596615</v>
      </c>
      <c r="EX54" s="21">
        <f>EXP(-LN(2)/2)*EX53+(1-EXP(-LN(2)/2))/(LN(2)/2)*ER54*EU54*VLOOKUP('Données projet'!$B$15,Paramètres!$A$1:$I$89,3,0)*0.475*44/12</f>
        <v>3.7604355526989325E-3</v>
      </c>
      <c r="EY54" s="22">
        <f t="shared" si="21"/>
        <v>10.990894388802761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207.59999999999974</v>
      </c>
      <c r="FF54" s="17">
        <f>FE54*VLOOKUP('Données projet'!$B$16,Paramètres!$A$1:$I$89,3,0)*VLOOKUP('Données projet'!$B$16,Paramètres!$A$1:$I$89,5,0)</f>
        <v>139.25807999999984</v>
      </c>
      <c r="FG54" s="13">
        <f t="shared" si="47"/>
        <v>36.126989516446081</v>
      </c>
      <c r="FH54" s="20">
        <f t="shared" si="22"/>
        <v>305.46232940780999</v>
      </c>
      <c r="FI54" s="59">
        <f t="shared" si="23"/>
        <v>598.79566274114336</v>
      </c>
      <c r="FJ54" s="59">
        <f ca="1">AVERAGE(OFFSET($FI$3,0,0,'Données projet'!$E$16+1,1))-AVERAGE(OFFSET($H$3,0,0,'Données projet'!$E$16+1,1))</f>
        <v>156.63226020379989</v>
      </c>
      <c r="FK54" s="59">
        <f t="shared" si="48"/>
        <v>196.0481096619543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4.8434177065298432</v>
      </c>
      <c r="FS54" s="21">
        <f>EXP(-LN(2)/2)*FS53+(1-EXP(-LN(2)/2))/(LN(2)/2)*FM54*FP54*VLOOKUP('Données projet'!$B$16,Paramètres!$A$1:$I$89,3,0)*0.475*44/12</f>
        <v>6.2655397784004236E-3</v>
      </c>
      <c r="FT54" s="22">
        <f t="shared" si="24"/>
        <v>4.8496832463082438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11.4</v>
      </c>
      <c r="FZ54" s="12">
        <f>IF('Données projet'!$A$244&gt;35,FZ53+FY54-GH53,IF(A54&lt;'Données projet'!$A$244,$FW$205^A54,IF(A54='Données projet'!$A$244,'Données projet'!$B$244,FZ53+FY54-GH53)))</f>
        <v>284.39999999999998</v>
      </c>
      <c r="GA54" s="17">
        <f>FZ54*VLOOKUP('Données projet'!$B$17,Paramètres!$A$1:$I$89,3,0)*VLOOKUP('Données projet'!$B$17,Paramètres!$A$1:$I$89,5,0)</f>
        <v>170.07119999999998</v>
      </c>
      <c r="GB54" s="13">
        <f t="shared" si="49"/>
        <v>43.105969628155904</v>
      </c>
      <c r="GC54" s="20">
        <f t="shared" si="25"/>
        <v>371.2835704357048</v>
      </c>
      <c r="GD54" s="59">
        <f t="shared" si="26"/>
        <v>664.61690376903812</v>
      </c>
      <c r="GE54" s="59">
        <f ca="1">AVERAGE(OFFSET($GD$3,0,0,'Données projet'!$E$17+1,1))-AVERAGE(OFFSET($H$3,0,0,'Données projet'!$E$17+1,1))</f>
        <v>216.94426559495264</v>
      </c>
      <c r="GF54" s="59">
        <f t="shared" si="50"/>
        <v>225.33715877618704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7.1781584500912263</v>
      </c>
      <c r="GN54" s="21">
        <f>EXP(-LN(2)/2)*GN53+(1-EXP(-LN(2)/2))/(LN(2)/2)*GH54*GK54*VLOOKUP('Données projet'!$B$17,Paramètres!$A$1:$I$89,3,0)*0.475*44/12</f>
        <v>1.6385928984368508E-2</v>
      </c>
      <c r="GO54" s="21">
        <f t="shared" si="27"/>
        <v>7.1945443790755945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7.8</v>
      </c>
      <c r="GU54" s="12">
        <f>IF('Données projet'!$A$270&gt;35,GU53+GT54-HC53,IF(A54&lt;'Données projet'!$A$270,$GR$205^A54,IF(A54='Données projet'!$A$270,'Données projet'!$B$270,GU53+GT54-HC53)))</f>
        <v>164.80000000000007</v>
      </c>
      <c r="GV54" s="17">
        <f>GU54*VLOOKUP('Données projet'!$B$18,Paramètres!$A$1:$I$89,3,0)*VLOOKUP('Données projet'!$B$18,Paramètres!$A$1:$I$89,5,0)</f>
        <v>159.39456000000007</v>
      </c>
      <c r="GW54" s="13">
        <f t="shared" si="51"/>
        <v>40.70592660812224</v>
      </c>
      <c r="GX54" s="20">
        <f t="shared" si="28"/>
        <v>348.5083475091464</v>
      </c>
      <c r="GY54" s="59">
        <f t="shared" si="29"/>
        <v>641.84168084247972</v>
      </c>
      <c r="GZ54" s="59">
        <f ca="1">AVERAGE(OFFSET($GY$3,0,0,'Données projet'!$E$18+1,1))-AVERAGE(OFFSET($H$3,0,0,'Données projet'!$E$18+1,1))</f>
        <v>261.22357949323879</v>
      </c>
      <c r="HA54" s="59">
        <f t="shared" si="52"/>
        <v>163.41029152029387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1.8547753090497565</v>
      </c>
      <c r="HI54" s="21">
        <f>EXP(-LN(2)/2)*HI53+(1-EXP(-LN(2)/2))/(LN(2)/2)*HC54*HF54*VLOOKUP('Données projet'!$B$18,Paramètres!$A$1:$I$89,3,0)*0.475*44/12</f>
        <v>4.568710432672791E-3</v>
      </c>
      <c r="HJ54" s="22">
        <f t="shared" si="30"/>
        <v>1.8593440194824293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237.22177246688199</v>
      </c>
      <c r="T55" s="59">
        <f t="shared" si="34"/>
        <v>149.27472147904302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5.7</v>
      </c>
      <c r="AI55" s="13">
        <f>IF('Données projet'!$A$62&gt;35,AI54+AH55-AQ54,IF(A55&lt;'Données projet'!$A$62,$AF$205^A55,IF(A55='Données projet'!$A$62,'Données projet'!$B$62,AI54+AH55-AQ54)))</f>
        <v>181.39999999999995</v>
      </c>
      <c r="AJ55" s="13">
        <f>AI55*VLOOKUP('Données projet'!$B$10,Paramètres!$A$1:$I$89,3,0)*VLOOKUP('Données projet'!$B$10,Paramètres!$A$1:$I$89,5,0)</f>
        <v>158.47103999999996</v>
      </c>
      <c r="AK55" s="13">
        <f t="shared" si="35"/>
        <v>40.497461727609561</v>
      </c>
      <c r="AL55" s="20">
        <f t="shared" si="4"/>
        <v>346.53680717558655</v>
      </c>
      <c r="AM55" s="59">
        <f t="shared" si="5"/>
        <v>639.8701405089198</v>
      </c>
      <c r="AN55" s="59">
        <f ca="1">AVERAGE(OFFSET($AM$3,0,0,'Données projet'!$E$10+1,1))-AVERAGE(OFFSET($H$3,0,0,'Données projet'!$E$10+1,1))</f>
        <v>210.07838338464626</v>
      </c>
      <c r="AO55" s="59">
        <f t="shared" si="36"/>
        <v>241.76003724236273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3.4282687894734885</v>
      </c>
      <c r="AV55" s="21">
        <f>EXP(-LN(2)/25)*AV54+(1-EXP(-LN(2)/25))/(LN(2)/25)*Calculateur!AQ55*Calculateur!AS55*VLOOKUP('Données projet'!$B$10,Paramètres!$A$1:$I$89,3,0)*0.475*44/12</f>
        <v>7.3680117960472957</v>
      </c>
      <c r="AW55" s="21">
        <f>EXP(-LN(2)/2)*AW54+(1-EXP(-LN(2)/2))/(LN(2)/2)*AQ55*AT55*VLOOKUP('Données projet'!$B$10,Paramètres!$A$1:$I$89,3,0)*0.475*44/12</f>
        <v>7.7985471049068673E-3</v>
      </c>
      <c r="AX55" s="21">
        <f t="shared" si="6"/>
        <v>10.80407913262569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8.8000000000000007</v>
      </c>
      <c r="BD55" s="12">
        <f>IF('Données projet'!$A$88&gt;35,BD54+BC55-BL54,IF(A55&lt;'Données projet'!$A$88,$BA$205^A55,IF(A55='Données projet'!$A$88,'Données projet'!$B$88,BD54+BC55-BL54)))</f>
        <v>280.60000000000019</v>
      </c>
      <c r="BE55" s="13">
        <f>BD55*VLOOKUP('Données projet'!$B$11,Paramètres!$A$1:$I$89,3,0)*VLOOKUP('Données projet'!$B$11,Paramètres!$A$1:$I$89,5,0)</f>
        <v>175.09440000000015</v>
      </c>
      <c r="BF55" s="13">
        <f t="shared" si="37"/>
        <v>44.229031605991956</v>
      </c>
      <c r="BG55" s="20">
        <f t="shared" si="7"/>
        <v>381.98831004710291</v>
      </c>
      <c r="BH55" s="59">
        <f t="shared" si="8"/>
        <v>675.32164338043617</v>
      </c>
      <c r="BI55" s="59">
        <f ca="1">AVERAGE(OFFSET($BH$3,0,0,'Données projet'!$E$11+1,1))-AVERAGE(OFFSET($H$3,0,0,'Données projet'!$E$11+1,1))</f>
        <v>209.93608079129638</v>
      </c>
      <c r="BJ55" s="59">
        <f t="shared" si="38"/>
        <v>240.15652428700969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4.4975228425046163</v>
      </c>
      <c r="BQ55" s="21">
        <f>EXP(-LN(2)/25)*BQ54+(1-EXP(-LN(2)/25))/(LN(2)/25)*Calculateur!BL55*Calculateur!BN55*VLOOKUP('Données projet'!$B$11,Paramètres!$A$1:$I$89,3,0)*0.475*44/12</f>
        <v>11.295472420067997</v>
      </c>
      <c r="BR55" s="21">
        <f>EXP(-LN(2)/2)*BR54+(1-EXP(-LN(2)/2))/(LN(2)/2)*BL55*BO55*VLOOKUP('Données projet'!$B$11,Paramètres!$A$1:$I$89,3,0)*0.475*44/12</f>
        <v>9.8587966326733906E-3</v>
      </c>
      <c r="BS55" s="22">
        <f t="shared" si="9"/>
        <v>15.802854059205288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13.499999999999996</v>
      </c>
      <c r="BY55" s="12">
        <f>IF('Données projet'!$A$114&gt;35,BY54+BX55-CG54,IF(A55&lt;'Données projet'!$A$114,$BV$205^A55,IF(A55='Données projet'!$A$114,'Données projet'!$B$114,BY54+BX55-CG54)))</f>
        <v>266.79999999999984</v>
      </c>
      <c r="BZ55" s="13">
        <f>BY55*VLOOKUP('Données projet'!$B$12,Paramètres!$A$1:$I$89,3,0)*VLOOKUP('Données projet'!$B$12,Paramètres!$A$1:$I$89,5,0)</f>
        <v>124.86239999999994</v>
      </c>
      <c r="CA55" s="13">
        <f t="shared" si="39"/>
        <v>32.80643928056157</v>
      </c>
      <c r="CB55" s="20">
        <f t="shared" si="10"/>
        <v>274.60656174697795</v>
      </c>
      <c r="CC55" s="59">
        <f t="shared" si="11"/>
        <v>567.93989508031132</v>
      </c>
      <c r="CD55" s="59">
        <f ca="1">AVERAGE(OFFSET($CC$3,0,0,'Données projet'!$E$12+1,1))-AVERAGE(OFFSET($H$3,0,0,'Données projet'!$E$12+1,1))</f>
        <v>215.23235148064941</v>
      </c>
      <c r="CE55" s="59">
        <f t="shared" si="40"/>
        <v>184.07239726900434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2.0274993599826621</v>
      </c>
      <c r="CL55" s="21">
        <f>EXP(-LN(2)/25)*CL54+(1-EXP(-LN(2)/25))/(LN(2)/25)*Calculateur!CG55*Calculateur!CI55*VLOOKUP('Données projet'!$B$12,Paramètres!$A$1:$I$89,3,0)*0.475*44/12</f>
        <v>4.26840348740759</v>
      </c>
      <c r="CM55" s="21">
        <f>EXP(-LN(2)/2)*CM54+(1-EXP(-LN(2)/2))/(LN(2)/2)*CG55*CJ55*VLOOKUP('Données projet'!$B$12,Paramètres!$A$1:$I$89,3,0)*0.475*44/12</f>
        <v>4.8008674220195273E-3</v>
      </c>
      <c r="CN55" s="22">
        <f t="shared" si="12"/>
        <v>6.300703714812272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</v>
      </c>
      <c r="CT55" s="12">
        <f>IF('Données projet'!$A$140&gt;35,CT54+CS55-DB54,IF(A55&lt;'Données projet'!$A$140,$CQ$205^A55,IF(A55='Données projet'!$A$140,'Données projet'!$B$140,CT54+CS55-DB54)))</f>
        <v>172.60000000000008</v>
      </c>
      <c r="CU55" s="17">
        <f>CT55*VLOOKUP('Données projet'!$B$13,Paramètres!$A$1:$I$89,3,0)*VLOOKUP('Données projet'!$B$13,Paramètres!$A$1:$I$89,5,0)</f>
        <v>175.01640000000009</v>
      </c>
      <c r="CV55" s="13">
        <f t="shared" si="41"/>
        <v>44.211621687190231</v>
      </c>
      <c r="CW55" s="20">
        <f t="shared" si="13"/>
        <v>381.82213777185649</v>
      </c>
      <c r="CX55" s="59">
        <f t="shared" si="14"/>
        <v>675.1554711051898</v>
      </c>
      <c r="CY55" s="59">
        <f ca="1">AVERAGE(OFFSET($CX$3,0,0,'Données projet'!$E$13+1,1))-AVERAGE(OFFSET($H$3,0,0,'Données projet'!$E$13+1,1))</f>
        <v>279.20364724206644</v>
      </c>
      <c r="CZ55" s="59">
        <f t="shared" si="42"/>
        <v>173.99850582760712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1.8913494313637222</v>
      </c>
      <c r="DH55" s="21">
        <f>EXP(-LN(2)/2)*DH54+(1-EXP(-LN(2)/2))/(LN(2)/2)*DB55*DE55*VLOOKUP('Données projet'!$B$13,Paramètres!$A$1:$I$89,3,0)*0.475*44/12</f>
        <v>3.3868838441023009E-3</v>
      </c>
      <c r="DI55" s="22">
        <f t="shared" si="15"/>
        <v>1.8947363152078245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7.8</v>
      </c>
      <c r="DO55" s="12">
        <f>IF('Données projet'!$A$166&gt;35,DO54+DN55-DW54,IF(A55&lt;'Données projet'!$A$166,$DL$205^A55,IF(A55='Données projet'!$A$166,'Données projet'!$B$166,DO54+DN55-DW54)))</f>
        <v>172.60000000000008</v>
      </c>
      <c r="DP55" s="17">
        <f>DO55*VLOOKUP('Données projet'!$B$14,Paramètres!$A$1:$I$89,3,0)*VLOOKUP('Données projet'!$B$14,Paramètres!$A$1:$I$89,5,0)</f>
        <v>180.40152000000012</v>
      </c>
      <c r="DQ55" s="13">
        <f t="shared" si="43"/>
        <v>45.411505381259069</v>
      </c>
      <c r="DR55" s="20">
        <f t="shared" si="16"/>
        <v>393.29101920569309</v>
      </c>
      <c r="DS55" s="59">
        <f t="shared" si="17"/>
        <v>686.6243525390264</v>
      </c>
      <c r="DT55" s="59">
        <f ca="1">AVERAGE(OFFSET($DS$3,0,0,'Données projet'!$E$14+1,1))-AVERAGE(OFFSET($H$3,0,0,'Données projet'!$E$14+1,1))</f>
        <v>291.18074901939718</v>
      </c>
      <c r="DU55" s="59">
        <f t="shared" si="44"/>
        <v>181.05123751753774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1.949544798482606</v>
      </c>
      <c r="EC55" s="21">
        <f>EXP(-LN(2)/2)*EC54+(1-EXP(-LN(2)/2))/(LN(2)/2)*DW55*DZ55*VLOOKUP('Données projet'!$B$14,Paramètres!$A$1:$I$89,3,0)*0.475*44/12</f>
        <v>3.4910956546900674E-3</v>
      </c>
      <c r="ED55" s="22">
        <f t="shared" si="18"/>
        <v>1.9530358941372961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5.875</v>
      </c>
      <c r="EJ55" s="12">
        <f>IF('Données projet'!$A$192&gt;35,EJ54+EI55-ER54,IF(A55&lt;'Données projet'!$A$192,$EG$205^A55,IF(A55='Données projet'!$A$192,'Données projet'!$B$192,EJ54+EI55-ER54)))</f>
        <v>299.25</v>
      </c>
      <c r="EK55" s="17">
        <f>EJ55*VLOOKUP('Données projet'!$B$15,Paramètres!$A$1:$I$89,3,0)*VLOOKUP('Données projet'!$B$15,Paramètres!$A$1:$I$89,5,0)</f>
        <v>178.95150000000001</v>
      </c>
      <c r="EL55" s="13">
        <f t="shared" si="45"/>
        <v>45.088834979390157</v>
      </c>
      <c r="EM55" s="20">
        <f t="shared" si="19"/>
        <v>390.20358342243782</v>
      </c>
      <c r="EN55" s="59">
        <f t="shared" si="20"/>
        <v>683.53691675577113</v>
      </c>
      <c r="EO55" s="59">
        <f ca="1">AVERAGE(OFFSET($EN$3,0,0,'Données projet'!$E$15+1,1))-AVERAGE(OFFSET($H$3,0,0,'Données projet'!$E$15+1,1))</f>
        <v>168.08890945052406</v>
      </c>
      <c r="EP55" s="59">
        <f t="shared" si="46"/>
        <v>182.52462557642343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4.018195505572959</v>
      </c>
      <c r="EW55" s="21">
        <f>EXP(-LN(2)/25)*EW54+(1-EXP(-LN(2)/25))/(LN(2)/25)*Calculateur!ER55*Calculateur!ET55*VLOOKUP('Données projet'!$B$15,Paramètres!$A$1:$I$89,3,0)*0.475*44/12</f>
        <v>6.7001998144521</v>
      </c>
      <c r="EX55" s="21">
        <f>EXP(-LN(2)/2)*EX54+(1-EXP(-LN(2)/2))/(LN(2)/2)*ER55*EU55*VLOOKUP('Données projet'!$B$15,Paramètres!$A$1:$I$89,3,0)*0.475*44/12</f>
        <v>2.6590294795283981E-3</v>
      </c>
      <c r="EY55" s="22">
        <f t="shared" si="21"/>
        <v>10.721054349504588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213.19999999999973</v>
      </c>
      <c r="FF55" s="17">
        <f>FE55*VLOOKUP('Données projet'!$B$16,Paramètres!$A$1:$I$89,3,0)*VLOOKUP('Données projet'!$B$16,Paramètres!$A$1:$I$89,5,0)</f>
        <v>143.01455999999982</v>
      </c>
      <c r="FG55" s="13">
        <f t="shared" si="47"/>
        <v>36.986740267426512</v>
      </c>
      <c r="FH55" s="20">
        <f t="shared" si="22"/>
        <v>313.50226463243422</v>
      </c>
      <c r="FI55" s="59">
        <f t="shared" si="23"/>
        <v>606.83559796576753</v>
      </c>
      <c r="FJ55" s="59">
        <f ca="1">AVERAGE(OFFSET($FI$3,0,0,'Données projet'!$E$16+1,1))-AVERAGE(OFFSET($H$3,0,0,'Données projet'!$E$16+1,1))</f>
        <v>156.63226020379989</v>
      </c>
      <c r="FK55" s="59">
        <f t="shared" si="48"/>
        <v>196.0481096619543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4.7109741946405173</v>
      </c>
      <c r="FS55" s="21">
        <f>EXP(-LN(2)/2)*FS54+(1-EXP(-LN(2)/2))/(LN(2)/2)*FM55*FP55*VLOOKUP('Données projet'!$B$16,Paramètres!$A$1:$I$89,3,0)*0.475*44/12</f>
        <v>4.4304056651009978E-3</v>
      </c>
      <c r="FT55" s="22">
        <f t="shared" si="24"/>
        <v>4.715404600305618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11.4</v>
      </c>
      <c r="FZ55" s="12">
        <f>IF('Données projet'!$A$244&gt;35,FZ54+FY55-GH54,IF(A55&lt;'Données projet'!$A$244,$FW$205^A55,IF(A55='Données projet'!$A$244,'Données projet'!$B$244,FZ54+FY55-GH54)))</f>
        <v>295.79999999999995</v>
      </c>
      <c r="GA55" s="17">
        <f>FZ55*VLOOKUP('Données projet'!$B$17,Paramètres!$A$1:$I$89,3,0)*VLOOKUP('Données projet'!$B$17,Paramètres!$A$1:$I$89,5,0)</f>
        <v>176.88839999999999</v>
      </c>
      <c r="GB55" s="13">
        <f t="shared" si="49"/>
        <v>44.629211487047861</v>
      </c>
      <c r="GC55" s="20">
        <f t="shared" si="25"/>
        <v>385.80984000660828</v>
      </c>
      <c r="GD55" s="59">
        <f t="shared" si="26"/>
        <v>679.14317333994154</v>
      </c>
      <c r="GE55" s="59">
        <f ca="1">AVERAGE(OFFSET($GD$3,0,0,'Données projet'!$E$17+1,1))-AVERAGE(OFFSET($H$3,0,0,'Données projet'!$E$17+1,1))</f>
        <v>216.94426559495264</v>
      </c>
      <c r="GF55" s="59">
        <f t="shared" si="50"/>
        <v>225.33715877618704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6.9818713297905344</v>
      </c>
      <c r="GN55" s="21">
        <f>EXP(-LN(2)/2)*GN54+(1-EXP(-LN(2)/2))/(LN(2)/2)*GH55*GK55*VLOOKUP('Données projet'!$B$17,Paramètres!$A$1:$I$89,3,0)*0.475*44/12</f>
        <v>1.158660150088817E-2</v>
      </c>
      <c r="GO55" s="21">
        <f t="shared" si="27"/>
        <v>6.9934579312914229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7.8</v>
      </c>
      <c r="GU55" s="12">
        <f>IF('Données projet'!$A$270&gt;35,GU54+GT55-HC54,IF(A55&lt;'Données projet'!$A$270,$GR$205^A55,IF(A55='Données projet'!$A$270,'Données projet'!$B$270,GU54+GT55-HC54)))</f>
        <v>172.60000000000008</v>
      </c>
      <c r="GV55" s="17">
        <f>GU55*VLOOKUP('Données projet'!$B$18,Paramètres!$A$1:$I$89,3,0)*VLOOKUP('Données projet'!$B$18,Paramètres!$A$1:$I$89,5,0)</f>
        <v>166.93872000000007</v>
      </c>
      <c r="GW55" s="13">
        <f t="shared" si="51"/>
        <v>42.403675278071923</v>
      </c>
      <c r="GX55" s="20">
        <f t="shared" si="28"/>
        <v>364.60467177597531</v>
      </c>
      <c r="GY55" s="59">
        <f t="shared" si="29"/>
        <v>657.93800510930862</v>
      </c>
      <c r="GZ55" s="59">
        <f ca="1">AVERAGE(OFFSET($GY$3,0,0,'Données projet'!$E$18+1,1))-AVERAGE(OFFSET($H$3,0,0,'Données projet'!$E$18+1,1))</f>
        <v>261.22357949323879</v>
      </c>
      <c r="HA55" s="59">
        <f t="shared" si="52"/>
        <v>163.41029152029387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1.8040563806853966</v>
      </c>
      <c r="HI55" s="21">
        <f>EXP(-LN(2)/2)*HI54+(1-EXP(-LN(2)/2))/(LN(2)/2)*HC55*HF55*VLOOKUP('Données projet'!$B$18,Paramètres!$A$1:$I$89,3,0)*0.475*44/12</f>
        <v>3.2305661282206561E-3</v>
      </c>
      <c r="HJ55" s="22">
        <f t="shared" si="30"/>
        <v>1.8072869468136172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237.22177246688199</v>
      </c>
      <c r="T56" s="59">
        <f t="shared" si="34"/>
        <v>149.27472147904302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5.7</v>
      </c>
      <c r="AI56" s="13">
        <f>IF('Données projet'!$A$62&gt;35,AI55+AH56-AQ55,IF(A56&lt;'Données projet'!$A$62,$AF$205^A56,IF(A56='Données projet'!$A$62,'Données projet'!$B$62,AI55+AH56-AQ55)))</f>
        <v>187.09999999999994</v>
      </c>
      <c r="AJ56" s="13">
        <f>AI56*VLOOKUP('Données projet'!$B$10,Paramètres!$A$1:$I$89,3,0)*VLOOKUP('Données projet'!$B$10,Paramètres!$A$1:$I$89,5,0)</f>
        <v>163.45055999999997</v>
      </c>
      <c r="AK56" s="13">
        <f t="shared" si="35"/>
        <v>41.619829742162572</v>
      </c>
      <c r="AL56" s="20">
        <f t="shared" si="4"/>
        <v>357.16426213426638</v>
      </c>
      <c r="AM56" s="59">
        <f t="shared" si="5"/>
        <v>650.49759546759969</v>
      </c>
      <c r="AN56" s="59">
        <f ca="1">AVERAGE(OFFSET($AM$3,0,0,'Données projet'!$E$10+1,1))-AVERAGE(OFFSET($H$3,0,0,'Données projet'!$E$10+1,1))</f>
        <v>210.07838338464626</v>
      </c>
      <c r="AO56" s="59">
        <f t="shared" si="36"/>
        <v>241.76003724236273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3.361042529549402</v>
      </c>
      <c r="AV56" s="21">
        <f>EXP(-LN(2)/25)*AV55+(1-EXP(-LN(2)/25))/(LN(2)/25)*Calculateur!AQ56*Calculateur!AS56*VLOOKUP('Données projet'!$B$10,Paramètres!$A$1:$I$89,3,0)*0.475*44/12</f>
        <v>7.166533126017482</v>
      </c>
      <c r="AW56" s="21">
        <f>EXP(-LN(2)/2)*AW55+(1-EXP(-LN(2)/2))/(LN(2)/2)*AQ56*AT56*VLOOKUP('Données projet'!$B$10,Paramètres!$A$1:$I$89,3,0)*0.475*44/12</f>
        <v>5.5144055412823644E-3</v>
      </c>
      <c r="AX56" s="21">
        <f t="shared" si="6"/>
        <v>10.533090061108167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8.8000000000000007</v>
      </c>
      <c r="BD56" s="12">
        <f>IF('Données projet'!$A$88&gt;35,BD55+BC56-BL55,IF(A56&lt;'Données projet'!$A$88,$BA$205^A56,IF(A56='Données projet'!$A$88,'Données projet'!$B$88,BD55+BC56-BL55)))</f>
        <v>289.4000000000002</v>
      </c>
      <c r="BE56" s="13">
        <f>BD56*VLOOKUP('Données projet'!$B$11,Paramètres!$A$1:$I$89,3,0)*VLOOKUP('Données projet'!$B$11,Paramètres!$A$1:$I$89,5,0)</f>
        <v>180.58560000000011</v>
      </c>
      <c r="BF56" s="13">
        <f t="shared" si="37"/>
        <v>45.452446738615699</v>
      </c>
      <c r="BG56" s="20">
        <f t="shared" si="7"/>
        <v>393.68293140308919</v>
      </c>
      <c r="BH56" s="59">
        <f t="shared" si="8"/>
        <v>687.0162647364225</v>
      </c>
      <c r="BI56" s="59">
        <f ca="1">AVERAGE(OFFSET($BH$3,0,0,'Données projet'!$E$11+1,1))-AVERAGE(OFFSET($H$3,0,0,'Données projet'!$E$11+1,1))</f>
        <v>209.93608079129638</v>
      </c>
      <c r="BJ56" s="59">
        <f t="shared" si="38"/>
        <v>240.15652428700969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4.4093291627811642</v>
      </c>
      <c r="BQ56" s="21">
        <f>EXP(-LN(2)/25)*BQ55+(1-EXP(-LN(2)/25))/(LN(2)/25)*Calculateur!BL56*Calculateur!BN56*VLOOKUP('Données projet'!$B$11,Paramètres!$A$1:$I$89,3,0)*0.475*44/12</f>
        <v>10.986597132738158</v>
      </c>
      <c r="BR56" s="21">
        <f>EXP(-LN(2)/2)*BR55+(1-EXP(-LN(2)/2))/(LN(2)/2)*BL56*BO56*VLOOKUP('Données projet'!$B$11,Paramètres!$A$1:$I$89,3,0)*0.475*44/12</f>
        <v>6.9712219533024549E-3</v>
      </c>
      <c r="BS56" s="22">
        <f t="shared" si="9"/>
        <v>15.402897517472624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13.499999999999996</v>
      </c>
      <c r="BY56" s="12">
        <f>IF('Données projet'!$A$114&gt;35,BY55+BX56-CG55,IF(A56&lt;'Données projet'!$A$114,$BV$205^A56,IF(A56='Données projet'!$A$114,'Données projet'!$B$114,BY55+BX56-CG55)))</f>
        <v>280.29999999999984</v>
      </c>
      <c r="BZ56" s="13">
        <f>BY56*VLOOKUP('Données projet'!$B$12,Paramètres!$A$1:$I$89,3,0)*VLOOKUP('Données projet'!$B$12,Paramètres!$A$1:$I$89,5,0)</f>
        <v>131.18039999999993</v>
      </c>
      <c r="CA56" s="13">
        <f t="shared" si="39"/>
        <v>34.268971460239172</v>
      </c>
      <c r="CB56" s="20">
        <f t="shared" si="10"/>
        <v>288.15765529324972</v>
      </c>
      <c r="CC56" s="59">
        <f t="shared" si="11"/>
        <v>581.49098862658298</v>
      </c>
      <c r="CD56" s="59">
        <f ca="1">AVERAGE(OFFSET($CC$3,0,0,'Données projet'!$E$12+1,1))-AVERAGE(OFFSET($H$3,0,0,'Données projet'!$E$12+1,1))</f>
        <v>215.23235148064941</v>
      </c>
      <c r="CE56" s="59">
        <f t="shared" si="40"/>
        <v>184.07239726900434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1.9877413341859023</v>
      </c>
      <c r="CL56" s="21">
        <f>EXP(-LN(2)/25)*CL55+(1-EXP(-LN(2)/25))/(LN(2)/25)*Calculateur!CG56*Calculateur!CI56*VLOOKUP('Données projet'!$B$12,Paramètres!$A$1:$I$89,3,0)*0.475*44/12</f>
        <v>4.1516837695788453</v>
      </c>
      <c r="CM56" s="21">
        <f>EXP(-LN(2)/2)*CM55+(1-EXP(-LN(2)/2))/(LN(2)/2)*CG56*CJ56*VLOOKUP('Données projet'!$B$12,Paramètres!$A$1:$I$89,3,0)*0.475*44/12</f>
        <v>3.3947259096875865E-3</v>
      </c>
      <c r="CN56" s="22">
        <f t="shared" si="12"/>
        <v>6.1428198296744343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</v>
      </c>
      <c r="CT56" s="12">
        <f>IF('Données projet'!$A$140&gt;35,CT55+CS56-DB55,IF(A56&lt;'Données projet'!$A$140,$CQ$205^A56,IF(A56='Données projet'!$A$140,'Données projet'!$B$140,CT55+CS56-DB55)))</f>
        <v>180.40000000000009</v>
      </c>
      <c r="CU56" s="17">
        <f>CT56*VLOOKUP('Données projet'!$B$13,Paramètres!$A$1:$I$89,3,0)*VLOOKUP('Données projet'!$B$13,Paramètres!$A$1:$I$89,5,0)</f>
        <v>182.92560000000012</v>
      </c>
      <c r="CV56" s="13">
        <f t="shared" si="41"/>
        <v>45.97246625045144</v>
      </c>
      <c r="CW56" s="20">
        <f t="shared" si="13"/>
        <v>398.66413205286977</v>
      </c>
      <c r="CX56" s="59">
        <f t="shared" si="14"/>
        <v>691.99746538620309</v>
      </c>
      <c r="CY56" s="59">
        <f ca="1">AVERAGE(OFFSET($CX$3,0,0,'Données projet'!$E$13+1,1))-AVERAGE(OFFSET($H$3,0,0,'Données projet'!$E$13+1,1))</f>
        <v>279.20364724206644</v>
      </c>
      <c r="CZ56" s="59">
        <f t="shared" si="42"/>
        <v>173.99850582760712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1.8396303817013373</v>
      </c>
      <c r="DH56" s="21">
        <f>EXP(-LN(2)/2)*DH55+(1-EXP(-LN(2)/2))/(LN(2)/2)*DB56*DE56*VLOOKUP('Données projet'!$B$13,Paramètres!$A$1:$I$89,3,0)*0.475*44/12</f>
        <v>2.3948885332558986E-3</v>
      </c>
      <c r="DI56" s="22">
        <f t="shared" si="15"/>
        <v>1.8420252702345932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7.8</v>
      </c>
      <c r="DO56" s="12">
        <f>IF('Données projet'!$A$166&gt;35,DO55+DN56-DW55,IF(A56&lt;'Données projet'!$A$166,$DL$205^A56,IF(A56='Données projet'!$A$166,'Données projet'!$B$166,DO55+DN56-DW55)))</f>
        <v>180.40000000000009</v>
      </c>
      <c r="DP56" s="17">
        <f>DO56*VLOOKUP('Données projet'!$B$14,Paramètres!$A$1:$I$89,3,0)*VLOOKUP('Données projet'!$B$14,Paramètres!$A$1:$I$89,5,0)</f>
        <v>188.55408000000011</v>
      </c>
      <c r="DQ56" s="13">
        <f t="shared" si="43"/>
        <v>47.220138480625046</v>
      </c>
      <c r="DR56" s="20">
        <f t="shared" si="16"/>
        <v>410.64009718708877</v>
      </c>
      <c r="DS56" s="59">
        <f t="shared" si="17"/>
        <v>703.97343052042208</v>
      </c>
      <c r="DT56" s="59">
        <f ca="1">AVERAGE(OFFSET($DS$3,0,0,'Données projet'!$E$14+1,1))-AVERAGE(OFFSET($H$3,0,0,'Données projet'!$E$14+1,1))</f>
        <v>291.18074901939718</v>
      </c>
      <c r="DU56" s="59">
        <f t="shared" si="44"/>
        <v>181.05123751753774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1.896234393445994</v>
      </c>
      <c r="EC56" s="21">
        <f>EXP(-LN(2)/2)*EC55+(1-EXP(-LN(2)/2))/(LN(2)/2)*DW56*DZ56*VLOOKUP('Données projet'!$B$14,Paramètres!$A$1:$I$89,3,0)*0.475*44/12</f>
        <v>2.4685774112022363E-3</v>
      </c>
      <c r="ED56" s="22">
        <f t="shared" si="18"/>
        <v>1.8987029708571963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5.875</v>
      </c>
      <c r="EJ56" s="12">
        <f>IF('Données projet'!$A$192&gt;35,EJ55+EI56-ER55,IF(A56&lt;'Données projet'!$A$192,$EG$205^A56,IF(A56='Données projet'!$A$192,'Données projet'!$B$192,EJ55+EI56-ER55)))</f>
        <v>305.125</v>
      </c>
      <c r="EK56" s="17">
        <f>EJ56*VLOOKUP('Données projet'!$B$15,Paramètres!$A$1:$I$89,3,0)*VLOOKUP('Données projet'!$B$15,Paramètres!$A$1:$I$89,5,0)</f>
        <v>182.46475000000004</v>
      </c>
      <c r="EL56" s="13">
        <f t="shared" si="45"/>
        <v>45.870112833182944</v>
      </c>
      <c r="EM56" s="20">
        <f t="shared" si="19"/>
        <v>397.68321943446034</v>
      </c>
      <c r="EN56" s="59">
        <f t="shared" si="20"/>
        <v>691.01655276779366</v>
      </c>
      <c r="EO56" s="59">
        <f ca="1">AVERAGE(OFFSET($EN$3,0,0,'Données projet'!$E$15+1,1))-AVERAGE(OFFSET($H$3,0,0,'Données projet'!$E$15+1,1))</f>
        <v>168.08890945052406</v>
      </c>
      <c r="EP56" s="59">
        <f t="shared" si="46"/>
        <v>182.52462557642343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3.9394011425659294</v>
      </c>
      <c r="EW56" s="21">
        <f>EXP(-LN(2)/25)*EW55+(1-EXP(-LN(2)/25))/(LN(2)/25)*Calculateur!ER56*Calculateur!ET56*VLOOKUP('Données projet'!$B$15,Paramètres!$A$1:$I$89,3,0)*0.475*44/12</f>
        <v>6.5169824981777129</v>
      </c>
      <c r="EX56" s="21">
        <f>EXP(-LN(2)/2)*EX55+(1-EXP(-LN(2)/2))/(LN(2)/2)*ER56*EU56*VLOOKUP('Données projet'!$B$15,Paramètres!$A$1:$I$89,3,0)*0.475*44/12</f>
        <v>1.8802177763494665E-3</v>
      </c>
      <c r="EY56" s="22">
        <f t="shared" si="21"/>
        <v>10.458263858519992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218.79999999999973</v>
      </c>
      <c r="FF56" s="17">
        <f>FE56*VLOOKUP('Données projet'!$B$16,Paramètres!$A$1:$I$89,3,0)*VLOOKUP('Données projet'!$B$16,Paramètres!$A$1:$I$89,5,0)</f>
        <v>146.7710399999998</v>
      </c>
      <c r="FG56" s="13">
        <f t="shared" si="47"/>
        <v>37.84386610242121</v>
      </c>
      <c r="FH56" s="20">
        <f t="shared" si="22"/>
        <v>321.53762812838323</v>
      </c>
      <c r="FI56" s="59">
        <f t="shared" si="23"/>
        <v>614.87096146171655</v>
      </c>
      <c r="FJ56" s="59">
        <f ca="1">AVERAGE(OFFSET($FI$3,0,0,'Données projet'!$E$16+1,1))-AVERAGE(OFFSET($H$3,0,0,'Données projet'!$E$16+1,1))</f>
        <v>156.63226020379989</v>
      </c>
      <c r="FK56" s="59">
        <f t="shared" si="48"/>
        <v>196.0481096619543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4.5821523575487069</v>
      </c>
      <c r="FS56" s="21">
        <f>EXP(-LN(2)/2)*FS55+(1-EXP(-LN(2)/2))/(LN(2)/2)*FM56*FP56*VLOOKUP('Données projet'!$B$16,Paramètres!$A$1:$I$89,3,0)*0.475*44/12</f>
        <v>3.1327698892002118E-3</v>
      </c>
      <c r="FT56" s="22">
        <f t="shared" si="24"/>
        <v>4.5852851274379072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11.4</v>
      </c>
      <c r="FZ56" s="12">
        <f>IF('Données projet'!$A$244&gt;35,FZ55+FY56-GH55,IF(A56&lt;'Données projet'!$A$244,$FW$205^A56,IF(A56='Données projet'!$A$244,'Données projet'!$B$244,FZ55+FY56-GH55)))</f>
        <v>307.19999999999993</v>
      </c>
      <c r="GA56" s="17">
        <f>FZ56*VLOOKUP('Données projet'!$B$17,Paramètres!$A$1:$I$89,3,0)*VLOOKUP('Données projet'!$B$17,Paramètres!$A$1:$I$89,5,0)</f>
        <v>183.70559999999998</v>
      </c>
      <c r="GB56" s="13">
        <f t="shared" si="49"/>
        <v>46.145633597806309</v>
      </c>
      <c r="GC56" s="20">
        <f t="shared" si="25"/>
        <v>400.32423184951267</v>
      </c>
      <c r="GD56" s="59">
        <f t="shared" si="26"/>
        <v>693.65756518284593</v>
      </c>
      <c r="GE56" s="59">
        <f ca="1">AVERAGE(OFFSET($GD$3,0,0,'Données projet'!$E$17+1,1))-AVERAGE(OFFSET($H$3,0,0,'Données projet'!$E$17+1,1))</f>
        <v>216.94426559495264</v>
      </c>
      <c r="GF56" s="59">
        <f t="shared" si="50"/>
        <v>225.33715877618704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6.7909516911167565</v>
      </c>
      <c r="GN56" s="21">
        <f>EXP(-LN(2)/2)*GN55+(1-EXP(-LN(2)/2))/(LN(2)/2)*GH56*GK56*VLOOKUP('Données projet'!$B$17,Paramètres!$A$1:$I$89,3,0)*0.475*44/12</f>
        <v>8.1929644921842539E-3</v>
      </c>
      <c r="GO56" s="21">
        <f t="shared" si="27"/>
        <v>6.7991446556089405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7.8</v>
      </c>
      <c r="GU56" s="12">
        <f>IF('Données projet'!$A$270&gt;35,GU55+GT56-HC55,IF(A56&lt;'Données projet'!$A$270,$GR$205^A56,IF(A56='Données projet'!$A$270,'Données projet'!$B$270,GU55+GT56-HC55)))</f>
        <v>180.40000000000009</v>
      </c>
      <c r="GV56" s="17">
        <f>GU56*VLOOKUP('Données projet'!$B$18,Paramètres!$A$1:$I$89,3,0)*VLOOKUP('Données projet'!$B$18,Paramètres!$A$1:$I$89,5,0)</f>
        <v>174.48288000000008</v>
      </c>
      <c r="GW56" s="13">
        <f t="shared" si="51"/>
        <v>44.092513602166207</v>
      </c>
      <c r="GX56" s="20">
        <f t="shared" si="28"/>
        <v>380.6854771904396</v>
      </c>
      <c r="GY56" s="59">
        <f t="shared" si="29"/>
        <v>674.01881052377291</v>
      </c>
      <c r="GZ56" s="59">
        <f ca="1">AVERAGE(OFFSET($GY$3,0,0,'Données projet'!$E$18+1,1))-AVERAGE(OFFSET($H$3,0,0,'Données projet'!$E$18+1,1))</f>
        <v>261.22357949323879</v>
      </c>
      <c r="HA56" s="59">
        <f t="shared" si="52"/>
        <v>163.41029152029387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1.7547243640843526</v>
      </c>
      <c r="HI56" s="21">
        <f>EXP(-LN(2)/2)*HI55+(1-EXP(-LN(2)/2))/(LN(2)/2)*HC56*HF56*VLOOKUP('Données projet'!$B$18,Paramètres!$A$1:$I$89,3,0)*0.475*44/12</f>
        <v>2.2843552163363955E-3</v>
      </c>
      <c r="HJ56" s="22">
        <f t="shared" si="30"/>
        <v>1.7570087193006889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237.22177246688199</v>
      </c>
      <c r="T57" s="59">
        <f t="shared" si="34"/>
        <v>149.27472147904302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5.7</v>
      </c>
      <c r="AI57" s="13">
        <f>IF('Données projet'!$A$62&gt;35,AI56+AH57-AQ56,IF(A57&lt;'Données projet'!$A$62,$AF$205^A57,IF(A57='Données projet'!$A$62,'Données projet'!$B$62,AI56+AH57-AQ56)))</f>
        <v>192.79999999999993</v>
      </c>
      <c r="AJ57" s="13">
        <f>AI57*VLOOKUP('Données projet'!$B$10,Paramètres!$A$1:$I$89,3,0)*VLOOKUP('Données projet'!$B$10,Paramètres!$A$1:$I$89,5,0)</f>
        <v>168.43007999999998</v>
      </c>
      <c r="AK57" s="13">
        <f t="shared" si="35"/>
        <v>42.738224098484984</v>
      </c>
      <c r="AL57" s="20">
        <f t="shared" si="4"/>
        <v>367.78479630486135</v>
      </c>
      <c r="AM57" s="59">
        <f t="shared" si="5"/>
        <v>661.11812963819466</v>
      </c>
      <c r="AN57" s="59">
        <f ca="1">AVERAGE(OFFSET($AM$3,0,0,'Données projet'!$E$10+1,1))-AVERAGE(OFFSET($H$3,0,0,'Données projet'!$E$10+1,1))</f>
        <v>210.07838338464626</v>
      </c>
      <c r="AO57" s="59">
        <f t="shared" si="36"/>
        <v>241.76003724236273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3.2951345355784571</v>
      </c>
      <c r="AV57" s="21">
        <f>EXP(-LN(2)/25)*AV56+(1-EXP(-LN(2)/25))/(LN(2)/25)*Calculateur!AQ57*Calculateur!AS57*VLOOKUP('Données projet'!$B$10,Paramètres!$A$1:$I$89,3,0)*0.475*44/12</f>
        <v>6.9705639008149358</v>
      </c>
      <c r="AW57" s="21">
        <f>EXP(-LN(2)/2)*AW56+(1-EXP(-LN(2)/2))/(LN(2)/2)*AQ57*AT57*VLOOKUP('Données projet'!$B$10,Paramètres!$A$1:$I$89,3,0)*0.475*44/12</f>
        <v>3.8992735524534341E-3</v>
      </c>
      <c r="AX57" s="21">
        <f t="shared" si="6"/>
        <v>10.269597709945847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8.8000000000000007</v>
      </c>
      <c r="BD57" s="12">
        <f>IF('Données projet'!$A$88&gt;35,BD56+BC57-BL56,IF(A57&lt;'Données projet'!$A$88,$BA$205^A57,IF(A57='Données projet'!$A$88,'Données projet'!$B$88,BD56+BC57-BL56)))</f>
        <v>298.20000000000022</v>
      </c>
      <c r="BE57" s="13">
        <f>BD57*VLOOKUP('Données projet'!$B$11,Paramètres!$A$1:$I$89,3,0)*VLOOKUP('Données projet'!$B$11,Paramètres!$A$1:$I$89,5,0)</f>
        <v>186.07680000000016</v>
      </c>
      <c r="BF57" s="13">
        <f t="shared" si="37"/>
        <v>46.671538591528716</v>
      </c>
      <c r="BG57" s="20">
        <f t="shared" si="7"/>
        <v>405.37002304691276</v>
      </c>
      <c r="BH57" s="59">
        <f t="shared" si="8"/>
        <v>698.70335638024608</v>
      </c>
      <c r="BI57" s="59">
        <f ca="1">AVERAGE(OFFSET($BH$3,0,0,'Données projet'!$E$11+1,1))-AVERAGE(OFFSET($H$3,0,0,'Données projet'!$E$11+1,1))</f>
        <v>209.93608079129638</v>
      </c>
      <c r="BJ57" s="59">
        <f t="shared" si="38"/>
        <v>240.15652428700969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4.3228649073242558</v>
      </c>
      <c r="BQ57" s="21">
        <f>EXP(-LN(2)/25)*BQ56+(1-EXP(-LN(2)/25))/(LN(2)/25)*Calculateur!BL57*Calculateur!BN57*VLOOKUP('Données projet'!$B$11,Paramètres!$A$1:$I$89,3,0)*0.475*44/12</f>
        <v>10.6861680563834</v>
      </c>
      <c r="BR57" s="21">
        <f>EXP(-LN(2)/2)*BR56+(1-EXP(-LN(2)/2))/(LN(2)/2)*BL57*BO57*VLOOKUP('Données projet'!$B$11,Paramètres!$A$1:$I$89,3,0)*0.475*44/12</f>
        <v>4.9293983163366953E-3</v>
      </c>
      <c r="BS57" s="22">
        <f t="shared" si="9"/>
        <v>15.013962362023992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13.499999999999996</v>
      </c>
      <c r="BY57" s="12">
        <f>IF('Données projet'!$A$114&gt;35,BY56+BX57-CG56,IF(A57&lt;'Données projet'!$A$114,$BV$205^A57,IF(A57='Données projet'!$A$114,'Données projet'!$B$114,BY56+BX57-CG56)))</f>
        <v>293.79999999999984</v>
      </c>
      <c r="BZ57" s="13">
        <f>BY57*VLOOKUP('Données projet'!$B$12,Paramètres!$A$1:$I$89,3,0)*VLOOKUP('Données projet'!$B$12,Paramètres!$A$1:$I$89,5,0)</f>
        <v>137.49839999999992</v>
      </c>
      <c r="CA57" s="13">
        <f t="shared" si="39"/>
        <v>35.723324086274197</v>
      </c>
      <c r="CB57" s="20">
        <f t="shared" si="10"/>
        <v>301.69450278359409</v>
      </c>
      <c r="CC57" s="59">
        <f t="shared" si="11"/>
        <v>595.02783611692735</v>
      </c>
      <c r="CD57" s="59">
        <f ca="1">AVERAGE(OFFSET($CC$3,0,0,'Données projet'!$E$12+1,1))-AVERAGE(OFFSET($H$3,0,0,'Données projet'!$E$12+1,1))</f>
        <v>215.23235148064941</v>
      </c>
      <c r="CE57" s="59">
        <f t="shared" si="40"/>
        <v>184.07239726900434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1.9487629390250159</v>
      </c>
      <c r="CL57" s="21">
        <f>EXP(-LN(2)/25)*CL56+(1-EXP(-LN(2)/25))/(LN(2)/25)*Calculateur!CG57*Calculateur!CI57*VLOOKUP('Données projet'!$B$12,Paramètres!$A$1:$I$89,3,0)*0.475*44/12</f>
        <v>4.0381557585721515</v>
      </c>
      <c r="CM57" s="21">
        <f>EXP(-LN(2)/2)*CM56+(1-EXP(-LN(2)/2))/(LN(2)/2)*CG57*CJ57*VLOOKUP('Données projet'!$B$12,Paramètres!$A$1:$I$89,3,0)*0.475*44/12</f>
        <v>2.4004337110097636E-3</v>
      </c>
      <c r="CN57" s="22">
        <f t="shared" si="12"/>
        <v>5.9893191313081768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</v>
      </c>
      <c r="CT57" s="12">
        <f>IF('Données projet'!$A$140&gt;35,CT56+CS57-DB56,IF(A57&lt;'Données projet'!$A$140,$CQ$205^A57,IF(A57='Données projet'!$A$140,'Données projet'!$B$140,CT56+CS57-DB56)))</f>
        <v>188.2000000000001</v>
      </c>
      <c r="CU57" s="17">
        <f>CT57*VLOOKUP('Données projet'!$B$13,Paramètres!$A$1:$I$89,3,0)*VLOOKUP('Données projet'!$B$13,Paramètres!$A$1:$I$89,5,0)</f>
        <v>190.83480000000012</v>
      </c>
      <c r="CV57" s="13">
        <f t="shared" si="41"/>
        <v>47.724468160640392</v>
      </c>
      <c r="CW57" s="20">
        <f t="shared" si="13"/>
        <v>415.49072537978219</v>
      </c>
      <c r="CX57" s="59">
        <f t="shared" si="14"/>
        <v>708.82405871311551</v>
      </c>
      <c r="CY57" s="59">
        <f ca="1">AVERAGE(OFFSET($CX$3,0,0,'Données projet'!$E$13+1,1))-AVERAGE(OFFSET($H$3,0,0,'Données projet'!$E$13+1,1))</f>
        <v>279.20364724206644</v>
      </c>
      <c r="CZ57" s="59">
        <f t="shared" si="42"/>
        <v>173.99850582760712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1.789325592171757</v>
      </c>
      <c r="DH57" s="21">
        <f>EXP(-LN(2)/2)*DH56+(1-EXP(-LN(2)/2))/(LN(2)/2)*DB57*DE57*VLOOKUP('Données projet'!$B$13,Paramètres!$A$1:$I$89,3,0)*0.475*44/12</f>
        <v>1.6934419220511504E-3</v>
      </c>
      <c r="DI57" s="22">
        <f t="shared" si="15"/>
        <v>1.7910190340938081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7.8</v>
      </c>
      <c r="DO57" s="12">
        <f>IF('Données projet'!$A$166&gt;35,DO56+DN57-DW56,IF(A57&lt;'Données projet'!$A$166,$DL$205^A57,IF(A57='Données projet'!$A$166,'Données projet'!$B$166,DO56+DN57-DW56)))</f>
        <v>188.2000000000001</v>
      </c>
      <c r="DP57" s="17">
        <f>DO57*VLOOKUP('Données projet'!$B$14,Paramètres!$A$1:$I$89,3,0)*VLOOKUP('Données projet'!$B$14,Paramètres!$A$1:$I$89,5,0)</f>
        <v>196.70664000000014</v>
      </c>
      <c r="DQ57" s="13">
        <f t="shared" si="43"/>
        <v>49.019688941258202</v>
      </c>
      <c r="DR57" s="20">
        <f t="shared" si="16"/>
        <v>427.97335623935828</v>
      </c>
      <c r="DS57" s="59">
        <f t="shared" si="17"/>
        <v>721.30668957269154</v>
      </c>
      <c r="DT57" s="59">
        <f ca="1">AVERAGE(OFFSET($DS$3,0,0,'Données projet'!$E$14+1,1))-AVERAGE(OFFSET($H$3,0,0,'Données projet'!$E$14+1,1))</f>
        <v>291.18074901939718</v>
      </c>
      <c r="DU57" s="59">
        <f t="shared" si="44"/>
        <v>181.05123751753774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1.8443817642385805</v>
      </c>
      <c r="EC57" s="21">
        <f>EXP(-LN(2)/2)*EC56+(1-EXP(-LN(2)/2))/(LN(2)/2)*DW57*DZ57*VLOOKUP('Données projet'!$B$14,Paramètres!$A$1:$I$89,3,0)*0.475*44/12</f>
        <v>1.7455478273450337E-3</v>
      </c>
      <c r="ED57" s="22">
        <f t="shared" si="18"/>
        <v>1.8461273120659254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311</v>
      </c>
      <c r="EH57" s="12">
        <f>VLOOKUP(A57,'Données projet'!$A$191:$I$211,9,0)</f>
        <v>5.875</v>
      </c>
      <c r="EI57" s="12">
        <f t="array" ref="EI57">INDEX(EH:EH,MIN(IF(ISNUMBER(EH57:EH253),ROW(EH57:EH253),"")))</f>
        <v>5.875</v>
      </c>
      <c r="EJ57" s="12">
        <f>IF('Données projet'!$A$192&gt;35,EJ56+EI57-ER56,IF(A57&lt;'Données projet'!$A$192,$EG$205^A57,IF(A57='Données projet'!$A$192,'Données projet'!$B$192,EJ56+EI57-ER56)))</f>
        <v>311</v>
      </c>
      <c r="EK57" s="17">
        <f>EJ57*VLOOKUP('Données projet'!$B$15,Paramètres!$A$1:$I$89,3,0)*VLOOKUP('Données projet'!$B$15,Paramètres!$A$1:$I$89,5,0)</f>
        <v>185.97800000000001</v>
      </c>
      <c r="EL57" s="13">
        <f t="shared" si="45"/>
        <v>46.649641523668571</v>
      </c>
      <c r="EM57" s="20">
        <f t="shared" si="19"/>
        <v>405.15980898705612</v>
      </c>
      <c r="EN57" s="59">
        <f t="shared" si="20"/>
        <v>698.49314232038944</v>
      </c>
      <c r="EO57" s="59">
        <f ca="1">AVERAGE(OFFSET($EN$3,0,0,'Données projet'!$E$15+1,1))-AVERAGE(OFFSET($H$3,0,0,'Données projet'!$E$15+1,1))</f>
        <v>168.08890945052406</v>
      </c>
      <c r="EP57" s="59">
        <f t="shared" si="46"/>
        <v>182.52462557642343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16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3.8621518889576518</v>
      </c>
      <c r="EW57" s="21">
        <f>EXP(-LN(2)/25)*EW56+(1-EXP(-LN(2)/25))/(LN(2)/25)*Calculateur!ER57*Calculateur!ET57*VLOOKUP('Données projet'!$B$15,Paramètres!$A$1:$I$89,3,0)*0.475*44/12</f>
        <v>6.3387752690518289</v>
      </c>
      <c r="EX57" s="21">
        <f>EXP(-LN(2)/2)*EX56+(1-EXP(-LN(2)/2))/(LN(2)/2)*ER57*EU57*VLOOKUP('Données projet'!$B$15,Paramètres!$A$1:$I$89,3,0)*0.475*44/12</f>
        <v>1.3295147397641993E-3</v>
      </c>
      <c r="EY57" s="22">
        <f t="shared" si="21"/>
        <v>10.202256672749245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224.39999999999972</v>
      </c>
      <c r="FF57" s="17">
        <f>FE57*VLOOKUP('Données projet'!$B$16,Paramètres!$A$1:$I$89,3,0)*VLOOKUP('Données projet'!$B$16,Paramètres!$A$1:$I$89,5,0)</f>
        <v>150.52751999999981</v>
      </c>
      <c r="FG57" s="13">
        <f t="shared" si="47"/>
        <v>38.698441928903449</v>
      </c>
      <c r="FH57" s="20">
        <f t="shared" si="22"/>
        <v>329.56855035950645</v>
      </c>
      <c r="FI57" s="59">
        <f t="shared" si="23"/>
        <v>622.90188369283976</v>
      </c>
      <c r="FJ57" s="59">
        <f ca="1">AVERAGE(OFFSET($FI$3,0,0,'Données projet'!$E$16+1,1))-AVERAGE(OFFSET($H$3,0,0,'Données projet'!$E$16+1,1))</f>
        <v>156.63226020379989</v>
      </c>
      <c r="FK57" s="59">
        <f t="shared" si="48"/>
        <v>196.0481096619543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4.4568531603666175</v>
      </c>
      <c r="FS57" s="21">
        <f>EXP(-LN(2)/2)*FS56+(1-EXP(-LN(2)/2))/(LN(2)/2)*FM57*FP57*VLOOKUP('Données projet'!$B$16,Paramètres!$A$1:$I$89,3,0)*0.475*44/12</f>
        <v>2.2152028325504989E-3</v>
      </c>
      <c r="FT57" s="22">
        <f t="shared" si="24"/>
        <v>4.4590683631991679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11.4</v>
      </c>
      <c r="FZ57" s="12">
        <f>IF('Données projet'!$A$244&gt;35,FZ56+FY57-GH56,IF(A57&lt;'Données projet'!$A$244,$FW$205^A57,IF(A57='Données projet'!$A$244,'Données projet'!$B$244,FZ56+FY57-GH56)))</f>
        <v>318.59999999999991</v>
      </c>
      <c r="GA57" s="17">
        <f>FZ57*VLOOKUP('Données projet'!$B$17,Paramètres!$A$1:$I$89,3,0)*VLOOKUP('Données projet'!$B$17,Paramètres!$A$1:$I$89,5,0)</f>
        <v>190.52279999999996</v>
      </c>
      <c r="GB57" s="13">
        <f t="shared" si="49"/>
        <v>47.655518017541539</v>
      </c>
      <c r="GC57" s="20">
        <f t="shared" si="25"/>
        <v>414.82723721388476</v>
      </c>
      <c r="GD57" s="59">
        <f t="shared" si="26"/>
        <v>708.16057054721807</v>
      </c>
      <c r="GE57" s="59">
        <f ca="1">AVERAGE(OFFSET($GD$3,0,0,'Données projet'!$E$17+1,1))-AVERAGE(OFFSET($H$3,0,0,'Données projet'!$E$17+1,1))</f>
        <v>216.94426559495264</v>
      </c>
      <c r="GF57" s="59">
        <f t="shared" si="50"/>
        <v>225.33715877618704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6.6052527600025401</v>
      </c>
      <c r="GN57" s="21">
        <f>EXP(-LN(2)/2)*GN56+(1-EXP(-LN(2)/2))/(LN(2)/2)*GH57*GK57*VLOOKUP('Données projet'!$B$17,Paramètres!$A$1:$I$89,3,0)*0.475*44/12</f>
        <v>5.7933007504440848E-3</v>
      </c>
      <c r="GO57" s="21">
        <f t="shared" si="27"/>
        <v>6.611046060752984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7.8</v>
      </c>
      <c r="GU57" s="12">
        <f>IF('Données projet'!$A$270&gt;35,GU56+GT57-HC56,IF(A57&lt;'Données projet'!$A$270,$GR$205^A57,IF(A57='Données projet'!$A$270,'Données projet'!$B$270,GU56+GT57-HC56)))</f>
        <v>188.2000000000001</v>
      </c>
      <c r="GV57" s="17">
        <f>GU57*VLOOKUP('Données projet'!$B$18,Paramètres!$A$1:$I$89,3,0)*VLOOKUP('Données projet'!$B$18,Paramètres!$A$1:$I$89,5,0)</f>
        <v>182.02704000000011</v>
      </c>
      <c r="GW57" s="13">
        <f t="shared" si="51"/>
        <v>45.772870875913057</v>
      </c>
      <c r="GX57" s="20">
        <f t="shared" si="28"/>
        <v>396.75151144221542</v>
      </c>
      <c r="GY57" s="59">
        <f t="shared" si="29"/>
        <v>690.08484477554873</v>
      </c>
      <c r="GZ57" s="59">
        <f ca="1">AVERAGE(OFFSET($GY$3,0,0,'Données projet'!$E$18+1,1))-AVERAGE(OFFSET($H$3,0,0,'Données projet'!$E$18+1,1))</f>
        <v>261.22357949323879</v>
      </c>
      <c r="HA57" s="59">
        <f t="shared" si="52"/>
        <v>163.41029152029387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1.7067413340715221</v>
      </c>
      <c r="HI57" s="21">
        <f>EXP(-LN(2)/2)*HI56+(1-EXP(-LN(2)/2))/(LN(2)/2)*HC57*HF57*VLOOKUP('Données projet'!$B$18,Paramètres!$A$1:$I$89,3,0)*0.475*44/12</f>
        <v>1.6152830641103281E-3</v>
      </c>
      <c r="HJ57" s="22">
        <f t="shared" si="30"/>
        <v>1.7083566171356324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237.22177246688199</v>
      </c>
      <c r="T58" s="59">
        <f t="shared" si="34"/>
        <v>149.27472147904302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5.7</v>
      </c>
      <c r="AI58" s="13">
        <f>IF('Données projet'!$A$62&gt;35,AI57+AH58-AQ57,IF(A58&lt;'Données projet'!$A$62,$AF$205^A58,IF(A58='Données projet'!$A$62,'Données projet'!$B$62,AI57+AH58-AQ57)))</f>
        <v>198.49999999999991</v>
      </c>
      <c r="AJ58" s="13">
        <f>AI58*VLOOKUP('Données projet'!$B$10,Paramètres!$A$1:$I$89,3,0)*VLOOKUP('Données projet'!$B$10,Paramètres!$A$1:$I$89,5,0)</f>
        <v>173.40959999999995</v>
      </c>
      <c r="AK58" s="13">
        <f t="shared" si="35"/>
        <v>43.852775762829346</v>
      </c>
      <c r="AL58" s="20">
        <f t="shared" si="4"/>
        <v>378.39863778692774</v>
      </c>
      <c r="AM58" s="59">
        <f t="shared" si="5"/>
        <v>671.73197112026105</v>
      </c>
      <c r="AN58" s="59">
        <f ca="1">AVERAGE(OFFSET($AM$3,0,0,'Données projet'!$E$10+1,1))-AVERAGE(OFFSET($H$3,0,0,'Données projet'!$E$10+1,1))</f>
        <v>210.07838338464626</v>
      </c>
      <c r="AO58" s="59">
        <f t="shared" si="36"/>
        <v>241.76003724236273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3.2305189571693758</v>
      </c>
      <c r="AV58" s="21">
        <f>EXP(-LN(2)/25)*AV57+(1-EXP(-LN(2)/25))/(LN(2)/25)*Calculateur!AQ58*Calculateur!AS58*VLOOKUP('Données projet'!$B$10,Paramètres!$A$1:$I$89,3,0)*0.475*44/12</f>
        <v>6.7799534643811272</v>
      </c>
      <c r="AW58" s="21">
        <f>EXP(-LN(2)/2)*AW57+(1-EXP(-LN(2)/2))/(LN(2)/2)*AQ58*AT58*VLOOKUP('Données projet'!$B$10,Paramètres!$A$1:$I$89,3,0)*0.475*44/12</f>
        <v>2.7572027706411826E-3</v>
      </c>
      <c r="AX58" s="21">
        <f t="shared" si="6"/>
        <v>10.013229624321145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8.8000000000000007</v>
      </c>
      <c r="BD58" s="12">
        <f>IF('Données projet'!$A$88&gt;35,BD57+BC58-BL57,IF(A58&lt;'Données projet'!$A$88,$BA$205^A58,IF(A58='Données projet'!$A$88,'Données projet'!$B$88,BD57+BC58-BL57)))</f>
        <v>307.00000000000023</v>
      </c>
      <c r="BE58" s="13">
        <f>BD58*VLOOKUP('Données projet'!$B$11,Paramètres!$A$1:$I$89,3,0)*VLOOKUP('Données projet'!$B$11,Paramètres!$A$1:$I$89,5,0)</f>
        <v>191.56800000000013</v>
      </c>
      <c r="BF58" s="13">
        <f t="shared" si="37"/>
        <v>47.886449394440142</v>
      </c>
      <c r="BG58" s="20">
        <f t="shared" si="7"/>
        <v>417.04983269531681</v>
      </c>
      <c r="BH58" s="59">
        <f t="shared" si="8"/>
        <v>710.38316602865007</v>
      </c>
      <c r="BI58" s="59">
        <f ca="1">AVERAGE(OFFSET($BH$3,0,0,'Données projet'!$E$11+1,1))-AVERAGE(OFFSET($H$3,0,0,'Données projet'!$E$11+1,1))</f>
        <v>209.93608079129638</v>
      </c>
      <c r="BJ58" s="59">
        <f t="shared" si="38"/>
        <v>240.15652428700969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4.2380961631788692</v>
      </c>
      <c r="BQ58" s="21">
        <f>EXP(-LN(2)/25)*BQ57+(1-EXP(-LN(2)/25))/(LN(2)/25)*Calculateur!BL58*Calculateur!BN58*VLOOKUP('Données projet'!$B$11,Paramètres!$A$1:$I$89,3,0)*0.475*44/12</f>
        <v>10.393954228920441</v>
      </c>
      <c r="BR58" s="21">
        <f>EXP(-LN(2)/2)*BR57+(1-EXP(-LN(2)/2))/(LN(2)/2)*BL58*BO58*VLOOKUP('Données projet'!$B$11,Paramètres!$A$1:$I$89,3,0)*0.475*44/12</f>
        <v>3.4856109766512274E-3</v>
      </c>
      <c r="BS58" s="22">
        <f t="shared" si="9"/>
        <v>14.635536003075961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13.499999999999996</v>
      </c>
      <c r="BY58" s="12">
        <f>IF('Données projet'!$A$114&gt;35,BY57+BX58-CG57,IF(A58&lt;'Données projet'!$A$114,$BV$205^A58,IF(A58='Données projet'!$A$114,'Données projet'!$B$114,BY57+BX58-CG57)))</f>
        <v>307.29999999999984</v>
      </c>
      <c r="BZ58" s="13">
        <f>BY58*VLOOKUP('Données projet'!$B$12,Paramètres!$A$1:$I$89,3,0)*VLOOKUP('Données projet'!$B$12,Paramètres!$A$1:$I$89,5,0)</f>
        <v>143.81639999999993</v>
      </c>
      <c r="CA58" s="13">
        <f t="shared" si="39"/>
        <v>37.169915935828818</v>
      </c>
      <c r="CB58" s="20">
        <f t="shared" si="10"/>
        <v>315.21783358823507</v>
      </c>
      <c r="CC58" s="59">
        <f t="shared" si="11"/>
        <v>608.55116692156844</v>
      </c>
      <c r="CD58" s="59">
        <f ca="1">AVERAGE(OFFSET($CC$3,0,0,'Données projet'!$E$12+1,1))-AVERAGE(OFFSET($H$3,0,0,'Données projet'!$E$12+1,1))</f>
        <v>215.23235148064941</v>
      </c>
      <c r="CE58" s="59">
        <f t="shared" si="40"/>
        <v>184.07239726900434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1.9105488864187608</v>
      </c>
      <c r="CL58" s="21">
        <f>EXP(-LN(2)/25)*CL57+(1-EXP(-LN(2)/25))/(LN(2)/25)*Calculateur!CG58*Calculateur!CI58*VLOOKUP('Données projet'!$B$12,Paramètres!$A$1:$I$89,3,0)*0.475*44/12</f>
        <v>3.927732176996614</v>
      </c>
      <c r="CM58" s="21">
        <f>EXP(-LN(2)/2)*CM57+(1-EXP(-LN(2)/2))/(LN(2)/2)*CG58*CJ58*VLOOKUP('Données projet'!$B$12,Paramètres!$A$1:$I$89,3,0)*0.475*44/12</f>
        <v>1.6973629548437932E-3</v>
      </c>
      <c r="CN58" s="22">
        <f t="shared" si="12"/>
        <v>5.8399784263702186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7.8</v>
      </c>
      <c r="CT58" s="12">
        <f>IF('Données projet'!$A$140&gt;35,CT57+CS58-DB57,IF(A58&lt;'Données projet'!$A$140,$CQ$205^A58,IF(A58='Données projet'!$A$140,'Données projet'!$B$140,CT57+CS58-DB57)))</f>
        <v>196.00000000000011</v>
      </c>
      <c r="CU58" s="17">
        <f>CT58*VLOOKUP('Données projet'!$B$13,Paramètres!$A$1:$I$89,3,0)*VLOOKUP('Données projet'!$B$13,Paramètres!$A$1:$I$89,5,0)</f>
        <v>198.74400000000011</v>
      </c>
      <c r="CV58" s="13">
        <f t="shared" si="41"/>
        <v>49.468035816012197</v>
      </c>
      <c r="CW58" s="20">
        <f t="shared" si="13"/>
        <v>432.3026290462214</v>
      </c>
      <c r="CX58" s="59">
        <f t="shared" si="14"/>
        <v>725.63596237955471</v>
      </c>
      <c r="CY58" s="59">
        <f ca="1">AVERAGE(OFFSET($CX$3,0,0,'Données projet'!$E$13+1,1))-AVERAGE(OFFSET($H$3,0,0,'Données projet'!$E$13+1,1))</f>
        <v>279.20364724206644</v>
      </c>
      <c r="CZ58" s="59">
        <f t="shared" si="42"/>
        <v>173.99850582760712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1.740396389757277</v>
      </c>
      <c r="DH58" s="21">
        <f>EXP(-LN(2)/2)*DH57+(1-EXP(-LN(2)/2))/(LN(2)/2)*DB58*DE58*VLOOKUP('Données projet'!$B$13,Paramètres!$A$1:$I$89,3,0)*0.475*44/12</f>
        <v>1.1974442666279493E-3</v>
      </c>
      <c r="DI58" s="22">
        <f t="shared" si="15"/>
        <v>1.741593834023905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7.8</v>
      </c>
      <c r="DO58" s="12">
        <f>IF('Données projet'!$A$166&gt;35,DO57+DN58-DW57,IF(A58&lt;'Données projet'!$A$166,$DL$205^A58,IF(A58='Données projet'!$A$166,'Données projet'!$B$166,DO57+DN58-DW57)))</f>
        <v>196.00000000000011</v>
      </c>
      <c r="DP58" s="17">
        <f>DO58*VLOOKUP('Données projet'!$B$14,Paramètres!$A$1:$I$89,3,0)*VLOOKUP('Données projet'!$B$14,Paramètres!$A$1:$I$89,5,0)</f>
        <v>204.85920000000013</v>
      </c>
      <c r="DQ58" s="13">
        <f t="shared" si="43"/>
        <v>50.810576245160128</v>
      </c>
      <c r="DR58" s="20">
        <f t="shared" si="16"/>
        <v>445.29152696032071</v>
      </c>
      <c r="DS58" s="59">
        <f t="shared" si="17"/>
        <v>738.62486029365402</v>
      </c>
      <c r="DT58" s="59">
        <f ca="1">AVERAGE(OFFSET($DS$3,0,0,'Données projet'!$E$14+1,1))-AVERAGE(OFFSET($H$3,0,0,'Données projet'!$E$14+1,1))</f>
        <v>291.18074901939718</v>
      </c>
      <c r="DU58" s="59">
        <f t="shared" si="44"/>
        <v>181.05123751753774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1.793947047903655</v>
      </c>
      <c r="EC58" s="21">
        <f>EXP(-LN(2)/2)*EC57+(1-EXP(-LN(2)/2))/(LN(2)/2)*DW58*DZ58*VLOOKUP('Données projet'!$B$14,Paramètres!$A$1:$I$89,3,0)*0.475*44/12</f>
        <v>1.2342887056011182E-3</v>
      </c>
      <c r="ED58" s="22">
        <f t="shared" si="18"/>
        <v>1.7951813366092562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2.625</v>
      </c>
      <c r="EJ58" s="12">
        <f>IF('Données projet'!$A$192&gt;35,EJ57+EI58-ER57,IF(A58&lt;'Données projet'!$A$192,$EG$205^A58,IF(A58='Données projet'!$A$192,'Données projet'!$B$192,EJ57+EI58-ER57)))</f>
        <v>297.625</v>
      </c>
      <c r="EK58" s="17">
        <f>EJ58*VLOOKUP('Données projet'!$B$15,Paramètres!$A$1:$I$89,3,0)*VLOOKUP('Données projet'!$B$15,Paramètres!$A$1:$I$89,5,0)</f>
        <v>177.97975</v>
      </c>
      <c r="EL58" s="13">
        <f t="shared" si="45"/>
        <v>44.87242292972973</v>
      </c>
      <c r="EM58" s="20">
        <f t="shared" si="19"/>
        <v>388.13420118594587</v>
      </c>
      <c r="EN58" s="59">
        <f t="shared" si="20"/>
        <v>681.46753451927918</v>
      </c>
      <c r="EO58" s="59">
        <f ca="1">AVERAGE(OFFSET($EN$3,0,0,'Données projet'!$E$15+1,1))-AVERAGE(OFFSET($H$3,0,0,'Données projet'!$E$15+1,1))</f>
        <v>168.08890945052406</v>
      </c>
      <c r="EP58" s="59">
        <f t="shared" si="46"/>
        <v>182.52462557642343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3.7864174460952404</v>
      </c>
      <c r="EW58" s="21">
        <f>EXP(-LN(2)/25)*EW57+(1-EXP(-LN(2)/25))/(LN(2)/25)*Calculateur!ER58*Calculateur!ET58*VLOOKUP('Données projet'!$B$15,Paramètres!$A$1:$I$89,3,0)*0.475*44/12</f>
        <v>6.1654411259779023</v>
      </c>
      <c r="EX58" s="21">
        <f>EXP(-LN(2)/2)*EX57+(1-EXP(-LN(2)/2))/(LN(2)/2)*ER58*EU58*VLOOKUP('Données projet'!$B$15,Paramètres!$A$1:$I$89,3,0)*0.475*44/12</f>
        <v>9.4010888817473346E-4</v>
      </c>
      <c r="EY58" s="22">
        <f t="shared" si="21"/>
        <v>9.9527986809613171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229.99999999999972</v>
      </c>
      <c r="FF58" s="17">
        <f>FE58*VLOOKUP('Données projet'!$B$16,Paramètres!$A$1:$I$89,3,0)*VLOOKUP('Données projet'!$B$16,Paramètres!$A$1:$I$89,5,0)</f>
        <v>154.28399999999982</v>
      </c>
      <c r="FG58" s="13">
        <f t="shared" si="47"/>
        <v>39.550538702560964</v>
      </c>
      <c r="FH58" s="20">
        <f t="shared" si="22"/>
        <v>337.59515490695998</v>
      </c>
      <c r="FI58" s="59">
        <f t="shared" si="23"/>
        <v>630.92848824029329</v>
      </c>
      <c r="FJ58" s="59">
        <f ca="1">AVERAGE(OFFSET($FI$3,0,0,'Données projet'!$E$16+1,1))-AVERAGE(OFFSET($H$3,0,0,'Données projet'!$E$16+1,1))</f>
        <v>156.63226020379989</v>
      </c>
      <c r="FK58" s="59">
        <f t="shared" si="48"/>
        <v>196.0481096619543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4.3349802763206711</v>
      </c>
      <c r="FS58" s="21">
        <f>EXP(-LN(2)/2)*FS57+(1-EXP(-LN(2)/2))/(LN(2)/2)*FM58*FP58*VLOOKUP('Données projet'!$B$16,Paramètres!$A$1:$I$89,3,0)*0.475*44/12</f>
        <v>1.5663849446001059E-3</v>
      </c>
      <c r="FT58" s="22">
        <f t="shared" si="24"/>
        <v>4.3365466612652712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11.4</v>
      </c>
      <c r="FZ58" s="12">
        <f>IF('Données projet'!$A$244&gt;35,FZ57+FY58-GH57,IF(A58&lt;'Données projet'!$A$244,$FW$205^A58,IF(A58='Données projet'!$A$244,'Données projet'!$B$244,FZ57+FY58-GH57)))</f>
        <v>329.99999999999989</v>
      </c>
      <c r="GA58" s="17">
        <f>FZ58*VLOOKUP('Données projet'!$B$17,Paramètres!$A$1:$I$89,3,0)*VLOOKUP('Données projet'!$B$17,Paramètres!$A$1:$I$89,5,0)</f>
        <v>197.33999999999995</v>
      </c>
      <c r="GB58" s="13">
        <f t="shared" si="49"/>
        <v>49.159125474269977</v>
      </c>
      <c r="GC58" s="20">
        <f t="shared" si="25"/>
        <v>429.31931020102019</v>
      </c>
      <c r="GD58" s="59">
        <f t="shared" si="26"/>
        <v>722.6526435343535</v>
      </c>
      <c r="GE58" s="59">
        <f ca="1">AVERAGE(OFFSET($GD$3,0,0,'Données projet'!$E$17+1,1))-AVERAGE(OFFSET($H$3,0,0,'Données projet'!$E$17+1,1))</f>
        <v>216.94426559495264</v>
      </c>
      <c r="GF58" s="59">
        <f t="shared" si="50"/>
        <v>225.33715877618704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6.4246317759251248</v>
      </c>
      <c r="GN58" s="21">
        <f>EXP(-LN(2)/2)*GN57+(1-EXP(-LN(2)/2))/(LN(2)/2)*GH58*GK58*VLOOKUP('Données projet'!$B$17,Paramètres!$A$1:$I$89,3,0)*0.475*44/12</f>
        <v>4.096482246092127E-3</v>
      </c>
      <c r="GO58" s="21">
        <f t="shared" si="27"/>
        <v>6.4287282581712173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7.8</v>
      </c>
      <c r="GU58" s="12">
        <f>IF('Données projet'!$A$270&gt;35,GU57+GT58-HC57,IF(A58&lt;'Données projet'!$A$270,$GR$205^A58,IF(A58='Données projet'!$A$270,'Données projet'!$B$270,GU57+GT58-HC57)))</f>
        <v>196.00000000000011</v>
      </c>
      <c r="GV58" s="17">
        <f>GU58*VLOOKUP('Données projet'!$B$18,Paramètres!$A$1:$I$89,3,0)*VLOOKUP('Données projet'!$B$18,Paramètres!$A$1:$I$89,5,0)</f>
        <v>189.57120000000012</v>
      </c>
      <c r="GW58" s="13">
        <f t="shared" si="51"/>
        <v>47.445138796932483</v>
      </c>
      <c r="GX58" s="20">
        <f t="shared" si="28"/>
        <v>412.80345673799087</v>
      </c>
      <c r="GY58" s="59">
        <f t="shared" si="29"/>
        <v>706.13679007132419</v>
      </c>
      <c r="GZ58" s="59">
        <f ca="1">AVERAGE(OFFSET($GY$3,0,0,'Données projet'!$E$18+1,1))-AVERAGE(OFFSET($H$3,0,0,'Données projet'!$E$18+1,1))</f>
        <v>261.22357949323879</v>
      </c>
      <c r="HA58" s="59">
        <f t="shared" si="52"/>
        <v>163.41029152029387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1.6600704025377104</v>
      </c>
      <c r="HI58" s="21">
        <f>EXP(-LN(2)/2)*HI57+(1-EXP(-LN(2)/2))/(LN(2)/2)*HC58*HF58*VLOOKUP('Données projet'!$B$18,Paramètres!$A$1:$I$89,3,0)*0.475*44/12</f>
        <v>1.1421776081681977E-3</v>
      </c>
      <c r="HJ58" s="22">
        <f t="shared" si="30"/>
        <v>1.6612125801458786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237.22177246688199</v>
      </c>
      <c r="T59" s="59">
        <f t="shared" si="34"/>
        <v>149.27472147904302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5.7</v>
      </c>
      <c r="AI59" s="13">
        <f>IF('Données projet'!$A$62&gt;35,AI58+AH59-AQ58,IF(A59&lt;'Données projet'!$A$62,$AF$205^A59,IF(A59='Données projet'!$A$62,'Données projet'!$B$62,AI58+AH59-AQ58)))</f>
        <v>204.1999999999999</v>
      </c>
      <c r="AJ59" s="13">
        <f>AI59*VLOOKUP('Données projet'!$B$10,Paramètres!$A$1:$I$89,3,0)*VLOOKUP('Données projet'!$B$10,Paramètres!$A$1:$I$89,5,0)</f>
        <v>178.38911999999993</v>
      </c>
      <c r="AK59" s="13">
        <f t="shared" si="35"/>
        <v>44.963607752190804</v>
      </c>
      <c r="AL59" s="20">
        <f t="shared" si="4"/>
        <v>389.00600083506555</v>
      </c>
      <c r="AM59" s="59">
        <f t="shared" si="5"/>
        <v>682.33933416839886</v>
      </c>
      <c r="AN59" s="59">
        <f ca="1">AVERAGE(OFFSET($AM$3,0,0,'Données projet'!$E$10+1,1))-AVERAGE(OFFSET($H$3,0,0,'Données projet'!$E$10+1,1))</f>
        <v>210.07838338464626</v>
      </c>
      <c r="AO59" s="59">
        <f t="shared" si="36"/>
        <v>241.76003724236273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3.1671704508412852</v>
      </c>
      <c r="AV59" s="21">
        <f>EXP(-LN(2)/25)*AV58+(1-EXP(-LN(2)/25))/(LN(2)/25)*Calculateur!AQ59*Calculateur!AS59*VLOOKUP('Données projet'!$B$10,Paramètres!$A$1:$I$89,3,0)*0.475*44/12</f>
        <v>6.594555280355368</v>
      </c>
      <c r="AW59" s="21">
        <f>EXP(-LN(2)/2)*AW58+(1-EXP(-LN(2)/2))/(LN(2)/2)*AQ59*AT59*VLOOKUP('Données projet'!$B$10,Paramètres!$A$1:$I$89,3,0)*0.475*44/12</f>
        <v>1.9496367762267175E-3</v>
      </c>
      <c r="AX59" s="21">
        <f t="shared" si="6"/>
        <v>9.7636753679728798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8.8000000000000007</v>
      </c>
      <c r="BD59" s="12">
        <f>IF('Données projet'!$A$88&gt;35,BD58+BC59-BL58,IF(A59&lt;'Données projet'!$A$88,$BA$205^A59,IF(A59='Données projet'!$A$88,'Données projet'!$B$88,BD58+BC59-BL58)))</f>
        <v>315.80000000000024</v>
      </c>
      <c r="BE59" s="13">
        <f>BD59*VLOOKUP('Données projet'!$B$11,Paramètres!$A$1:$I$89,3,0)*VLOOKUP('Données projet'!$B$11,Paramètres!$A$1:$I$89,5,0)</f>
        <v>197.05920000000015</v>
      </c>
      <c r="BF59" s="13">
        <f t="shared" si="37"/>
        <v>49.097312759424973</v>
      </c>
      <c r="BG59" s="20">
        <f t="shared" si="7"/>
        <v>428.72259305599874</v>
      </c>
      <c r="BH59" s="59">
        <f t="shared" si="8"/>
        <v>722.05592638933206</v>
      </c>
      <c r="BI59" s="59">
        <f ca="1">AVERAGE(OFFSET($BH$3,0,0,'Données projet'!$E$11+1,1))-AVERAGE(OFFSET($H$3,0,0,'Données projet'!$E$11+1,1))</f>
        <v>209.93608079129638</v>
      </c>
      <c r="BJ59" s="59">
        <f t="shared" si="38"/>
        <v>240.15652428700969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4.1549896824023449</v>
      </c>
      <c r="BQ59" s="21">
        <f>EXP(-LN(2)/25)*BQ58+(1-EXP(-LN(2)/25))/(LN(2)/25)*Calculateur!BL59*Calculateur!BN59*VLOOKUP('Données projet'!$B$11,Paramètres!$A$1:$I$89,3,0)*0.475*44/12</f>
        <v>10.109731003936314</v>
      </c>
      <c r="BR59" s="21">
        <f>EXP(-LN(2)/2)*BR58+(1-EXP(-LN(2)/2))/(LN(2)/2)*BL59*BO59*VLOOKUP('Données projet'!$B$11,Paramètres!$A$1:$I$89,3,0)*0.475*44/12</f>
        <v>2.4646991581683477E-3</v>
      </c>
      <c r="BS59" s="22">
        <f t="shared" si="9"/>
        <v>14.267185385496827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13.499999999999996</v>
      </c>
      <c r="BY59" s="12">
        <f>IF('Données projet'!$A$114&gt;35,BY58+BX59-CG58,IF(A59&lt;'Données projet'!$A$114,$BV$205^A59,IF(A59='Données projet'!$A$114,'Données projet'!$B$114,BY58+BX59-CG58)))</f>
        <v>320.79999999999984</v>
      </c>
      <c r="BZ59" s="13">
        <f>BY59*VLOOKUP('Données projet'!$B$12,Paramètres!$A$1:$I$89,3,0)*VLOOKUP('Données projet'!$B$12,Paramètres!$A$1:$I$89,5,0)</f>
        <v>150.13439999999994</v>
      </c>
      <c r="CA59" s="13">
        <f t="shared" si="39"/>
        <v>38.609126910934812</v>
      </c>
      <c r="CB59" s="20">
        <f t="shared" si="10"/>
        <v>328.72830936987799</v>
      </c>
      <c r="CC59" s="59">
        <f t="shared" si="11"/>
        <v>622.06164270321131</v>
      </c>
      <c r="CD59" s="59">
        <f ca="1">AVERAGE(OFFSET($CC$3,0,0,'Données projet'!$E$12+1,1))-AVERAGE(OFFSET($H$3,0,0,'Données projet'!$E$12+1,1))</f>
        <v>215.23235148064941</v>
      </c>
      <c r="CE59" s="59">
        <f t="shared" si="40"/>
        <v>184.07239726900434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1.8730841880758438</v>
      </c>
      <c r="CL59" s="21">
        <f>EXP(-LN(2)/25)*CL58+(1-EXP(-LN(2)/25))/(LN(2)/25)*Calculateur!CG59*Calculateur!CI59*VLOOKUP('Données projet'!$B$12,Paramètres!$A$1:$I$89,3,0)*0.475*44/12</f>
        <v>3.8203281340661834</v>
      </c>
      <c r="CM59" s="21">
        <f>EXP(-LN(2)/2)*CM58+(1-EXP(-LN(2)/2))/(LN(2)/2)*CG59*CJ59*VLOOKUP('Données projet'!$B$12,Paramètres!$A$1:$I$89,3,0)*0.475*44/12</f>
        <v>1.2002168555048818E-3</v>
      </c>
      <c r="CN59" s="22">
        <f t="shared" si="12"/>
        <v>5.6946125389975322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7.8</v>
      </c>
      <c r="CT59" s="12">
        <f>IF('Données projet'!$A$140&gt;35,CT58+CS59-DB58,IF(A59&lt;'Données projet'!$A$140,$CQ$205^A59,IF(A59='Données projet'!$A$140,'Données projet'!$B$140,CT58+CS59-DB58)))</f>
        <v>203.80000000000013</v>
      </c>
      <c r="CU59" s="17">
        <f>CT59*VLOOKUP('Données projet'!$B$13,Paramètres!$A$1:$I$89,3,0)*VLOOKUP('Données projet'!$B$13,Paramètres!$A$1:$I$89,5,0)</f>
        <v>206.65320000000014</v>
      </c>
      <c r="CV59" s="13">
        <f t="shared" si="41"/>
        <v>51.20354326964263</v>
      </c>
      <c r="CW59" s="20">
        <f t="shared" si="13"/>
        <v>449.10049452796119</v>
      </c>
      <c r="CX59" s="59">
        <f t="shared" si="14"/>
        <v>742.4338278612945</v>
      </c>
      <c r="CY59" s="59">
        <f ca="1">AVERAGE(OFFSET($CX$3,0,0,'Données projet'!$E$13+1,1))-AVERAGE(OFFSET($H$3,0,0,'Données projet'!$E$13+1,1))</f>
        <v>279.20364724206644</v>
      </c>
      <c r="CZ59" s="59">
        <f t="shared" si="42"/>
        <v>173.99850582760712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1.6928051589558959</v>
      </c>
      <c r="DH59" s="21">
        <f>EXP(-LN(2)/2)*DH58+(1-EXP(-LN(2)/2))/(LN(2)/2)*DB59*DE59*VLOOKUP('Données projet'!$B$13,Paramètres!$A$1:$I$89,3,0)*0.475*44/12</f>
        <v>8.4672096102557522E-4</v>
      </c>
      <c r="DI59" s="22">
        <f t="shared" si="15"/>
        <v>1.6936518799169216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7.8</v>
      </c>
      <c r="DO59" s="12">
        <f>IF('Données projet'!$A$166&gt;35,DO58+DN59-DW58,IF(A59&lt;'Données projet'!$A$166,$DL$205^A59,IF(A59='Données projet'!$A$166,'Données projet'!$B$166,DO58+DN59-DW58)))</f>
        <v>203.80000000000013</v>
      </c>
      <c r="DP59" s="17">
        <f>DO59*VLOOKUP('Données projet'!$B$14,Paramètres!$A$1:$I$89,3,0)*VLOOKUP('Données projet'!$B$14,Paramètres!$A$1:$I$89,5,0)</f>
        <v>213.01176000000018</v>
      </c>
      <c r="DQ59" s="13">
        <f t="shared" si="43"/>
        <v>52.593184597040342</v>
      </c>
      <c r="DR59" s="20">
        <f t="shared" si="16"/>
        <v>462.59527850651216</v>
      </c>
      <c r="DS59" s="59">
        <f t="shared" si="17"/>
        <v>755.92861183984542</v>
      </c>
      <c r="DT59" s="59">
        <f ca="1">AVERAGE(OFFSET($DS$3,0,0,'Données projet'!$E$14+1,1))-AVERAGE(OFFSET($H$3,0,0,'Données projet'!$E$14+1,1))</f>
        <v>291.18074901939718</v>
      </c>
      <c r="DU59" s="59">
        <f t="shared" si="44"/>
        <v>181.05123751753774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1.7448914715391544</v>
      </c>
      <c r="EC59" s="21">
        <f>EXP(-LN(2)/2)*EC58+(1-EXP(-LN(2)/2))/(LN(2)/2)*DW59*DZ59*VLOOKUP('Données projet'!$B$14,Paramètres!$A$1:$I$89,3,0)*0.475*44/12</f>
        <v>8.7277391367251685E-4</v>
      </c>
      <c r="ED59" s="22">
        <f t="shared" si="18"/>
        <v>1.7457642454528268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2.625</v>
      </c>
      <c r="EJ59" s="12">
        <f>IF('Données projet'!$A$192&gt;35,EJ58+EI59-ER58,IF(A59&lt;'Données projet'!$A$192,$EG$205^A59,IF(A59='Données projet'!$A$192,'Données projet'!$B$192,EJ58+EI59-ER58)))</f>
        <v>300.25</v>
      </c>
      <c r="EK59" s="17">
        <f>EJ59*VLOOKUP('Données projet'!$B$15,Paramètres!$A$1:$I$89,3,0)*VLOOKUP('Données projet'!$B$15,Paramètres!$A$1:$I$89,5,0)</f>
        <v>179.54950000000002</v>
      </c>
      <c r="EL59" s="13">
        <f t="shared" si="45"/>
        <v>45.221943603548368</v>
      </c>
      <c r="EM59" s="20">
        <f t="shared" si="19"/>
        <v>391.47693094284676</v>
      </c>
      <c r="EN59" s="59">
        <f t="shared" si="20"/>
        <v>684.81026427618008</v>
      </c>
      <c r="EO59" s="59">
        <f ca="1">AVERAGE(OFFSET($EN$3,0,0,'Données projet'!$E$15+1,1))-AVERAGE(OFFSET($H$3,0,0,'Données projet'!$E$15+1,1))</f>
        <v>168.08890945052406</v>
      </c>
      <c r="EP59" s="59">
        <f t="shared" si="46"/>
        <v>182.52462557642343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3.7121681094639118</v>
      </c>
      <c r="EW59" s="21">
        <f>EXP(-LN(2)/25)*EW58+(1-EXP(-LN(2)/25))/(LN(2)/25)*Calculateur!ER59*Calculateur!ET59*VLOOKUP('Données projet'!$B$15,Paramètres!$A$1:$I$89,3,0)*0.475*44/12</f>
        <v>5.9968468141615787</v>
      </c>
      <c r="EX59" s="21">
        <f>EXP(-LN(2)/2)*EX58+(1-EXP(-LN(2)/2))/(LN(2)/2)*ER59*EU59*VLOOKUP('Données projet'!$B$15,Paramètres!$A$1:$I$89,3,0)*0.475*44/12</f>
        <v>6.6475736988209975E-4</v>
      </c>
      <c r="EY59" s="22">
        <f t="shared" si="21"/>
        <v>9.7096796809953734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5.6</v>
      </c>
      <c r="FE59" s="12">
        <f>IF('Données projet'!$A$218&gt;35,FE58+FD59-FM58,IF(A59&lt;'Données projet'!$A$218,$FB$205^A59,IF(A59='Données projet'!$A$218,'Données projet'!$B$218,FE58+FD59-FM58)))</f>
        <v>235.59999999999971</v>
      </c>
      <c r="FF59" s="17">
        <f>FE59*VLOOKUP('Données projet'!$B$16,Paramètres!$A$1:$I$89,3,0)*VLOOKUP('Données projet'!$B$16,Paramètres!$A$1:$I$89,5,0)</f>
        <v>158.0404799999998</v>
      </c>
      <c r="FG59" s="13">
        <f t="shared" si="47"/>
        <v>40.400223726842633</v>
      </c>
      <c r="FH59" s="20">
        <f t="shared" si="22"/>
        <v>345.61755899091719</v>
      </c>
      <c r="FI59" s="59">
        <f t="shared" si="23"/>
        <v>638.9508923242505</v>
      </c>
      <c r="FJ59" s="59">
        <f ca="1">AVERAGE(OFFSET($FI$3,0,0,'Données projet'!$E$16+1,1))-AVERAGE(OFFSET($H$3,0,0,'Données projet'!$E$16+1,1))</f>
        <v>156.63226020379989</v>
      </c>
      <c r="FK59" s="59">
        <f t="shared" si="48"/>
        <v>196.0481096619543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4.2164400126979773</v>
      </c>
      <c r="FS59" s="21">
        <f>EXP(-LN(2)/2)*FS58+(1-EXP(-LN(2)/2))/(LN(2)/2)*FM59*FP59*VLOOKUP('Données projet'!$B$16,Paramètres!$A$1:$I$89,3,0)*0.475*44/12</f>
        <v>1.1076014162752495E-3</v>
      </c>
      <c r="FT59" s="22">
        <f t="shared" si="24"/>
        <v>4.2175476141142525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11.4</v>
      </c>
      <c r="FZ59" s="12">
        <f>IF('Données projet'!$A$244&gt;35,FZ58+FY59-GH58,IF(A59&lt;'Données projet'!$A$244,$FW$205^A59,IF(A59='Données projet'!$A$244,'Données projet'!$B$244,FZ58+FY59-GH58)))</f>
        <v>341.39999999999986</v>
      </c>
      <c r="GA59" s="17">
        <f>FZ59*VLOOKUP('Données projet'!$B$17,Paramètres!$A$1:$I$89,3,0)*VLOOKUP('Données projet'!$B$17,Paramètres!$A$1:$I$89,5,0)</f>
        <v>204.15719999999996</v>
      </c>
      <c r="GB59" s="13">
        <f t="shared" si="49"/>
        <v>50.656697660408256</v>
      </c>
      <c r="GC59" s="20">
        <f t="shared" si="25"/>
        <v>443.80087175854425</v>
      </c>
      <c r="GD59" s="59">
        <f t="shared" si="26"/>
        <v>737.13420509187756</v>
      </c>
      <c r="GE59" s="59">
        <f ca="1">AVERAGE(OFFSET($GD$3,0,0,'Données projet'!$E$17+1,1))-AVERAGE(OFFSET($H$3,0,0,'Données projet'!$E$17+1,1))</f>
        <v>216.94426559495264</v>
      </c>
      <c r="GF59" s="59">
        <f t="shared" si="50"/>
        <v>225.33715877618704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6.2489498821557508</v>
      </c>
      <c r="GN59" s="21">
        <f>EXP(-LN(2)/2)*GN58+(1-EXP(-LN(2)/2))/(LN(2)/2)*GH59*GK59*VLOOKUP('Données projet'!$B$17,Paramètres!$A$1:$I$89,3,0)*0.475*44/12</f>
        <v>2.8966503752220424E-3</v>
      </c>
      <c r="GO59" s="21">
        <f t="shared" si="27"/>
        <v>6.2518465325309727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7.8</v>
      </c>
      <c r="GU59" s="12">
        <f>IF('Données projet'!$A$270&gt;35,GU58+GT59-HC58,IF(A59&lt;'Données projet'!$A$270,$GR$205^A59,IF(A59='Données projet'!$A$270,'Données projet'!$B$270,GU58+GT59-HC58)))</f>
        <v>203.80000000000013</v>
      </c>
      <c r="GV59" s="17">
        <f>GU59*VLOOKUP('Données projet'!$B$18,Paramètres!$A$1:$I$89,3,0)*VLOOKUP('Données projet'!$B$18,Paramètres!$A$1:$I$89,5,0)</f>
        <v>197.11536000000012</v>
      </c>
      <c r="GW59" s="13">
        <f t="shared" si="51"/>
        <v>49.109676122143078</v>
      </c>
      <c r="GX59" s="20">
        <f t="shared" si="28"/>
        <v>428.8419379127327</v>
      </c>
      <c r="GY59" s="59">
        <f t="shared" si="29"/>
        <v>722.17527124606602</v>
      </c>
      <c r="GZ59" s="59">
        <f ca="1">AVERAGE(OFFSET($GY$3,0,0,'Données projet'!$E$18+1,1))-AVERAGE(OFFSET($H$3,0,0,'Données projet'!$E$18+1,1))</f>
        <v>261.22357949323879</v>
      </c>
      <c r="HA59" s="59">
        <f t="shared" si="52"/>
        <v>163.41029152029387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1.6146756900810084</v>
      </c>
      <c r="HI59" s="21">
        <f>EXP(-LN(2)/2)*HI58+(1-EXP(-LN(2)/2))/(LN(2)/2)*HC59*HF59*VLOOKUP('Données projet'!$B$18,Paramètres!$A$1:$I$89,3,0)*0.475*44/12</f>
        <v>8.0764153205516403E-4</v>
      </c>
      <c r="HJ59" s="22">
        <f t="shared" si="30"/>
        <v>1.6154833316130637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237.22177246688199</v>
      </c>
      <c r="T60" s="59">
        <f t="shared" si="34"/>
        <v>149.27472147904302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5.7</v>
      </c>
      <c r="AI60" s="13">
        <f>IF('Données projet'!$A$62&gt;35,AI59+AH60-AQ59,IF(A60&lt;'Données projet'!$A$62,$AF$205^A60,IF(A60='Données projet'!$A$62,'Données projet'!$B$62,AI59+AH60-AQ59)))</f>
        <v>209.89999999999989</v>
      </c>
      <c r="AJ60" s="13">
        <f>AI60*VLOOKUP('Données projet'!$B$10,Paramètres!$A$1:$I$89,3,0)*VLOOKUP('Données projet'!$B$10,Paramètres!$A$1:$I$89,5,0)</f>
        <v>183.36863999999994</v>
      </c>
      <c r="AK60" s="13">
        <f t="shared" si="35"/>
        <v>46.07083582505949</v>
      </c>
      <c r="AL60" s="20">
        <f t="shared" si="4"/>
        <v>399.60708706197852</v>
      </c>
      <c r="AM60" s="59">
        <f t="shared" si="5"/>
        <v>692.94042039531178</v>
      </c>
      <c r="AN60" s="59">
        <f ca="1">AVERAGE(OFFSET($AM$3,0,0,'Données projet'!$E$10+1,1))-AVERAGE(OFFSET($H$3,0,0,'Données projet'!$E$10+1,1))</f>
        <v>210.07838338464626</v>
      </c>
      <c r="AO60" s="59">
        <f t="shared" si="36"/>
        <v>241.76003724236273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3.1050641700835149</v>
      </c>
      <c r="AV60" s="21">
        <f>EXP(-LN(2)/25)*AV59+(1-EXP(-LN(2)/25))/(LN(2)/25)*Calculateur!AQ60*Calculateur!AS60*VLOOKUP('Données projet'!$B$10,Paramètres!$A$1:$I$89,3,0)*0.475*44/12</f>
        <v>6.4142268194214607</v>
      </c>
      <c r="AW60" s="21">
        <f>EXP(-LN(2)/2)*AW59+(1-EXP(-LN(2)/2))/(LN(2)/2)*AQ60*AT60*VLOOKUP('Données projet'!$B$10,Paramètres!$A$1:$I$89,3,0)*0.475*44/12</f>
        <v>1.3786013853205915E-3</v>
      </c>
      <c r="AX60" s="21">
        <f t="shared" si="6"/>
        <v>9.5206695908902965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8.8000000000000007</v>
      </c>
      <c r="BD60" s="12">
        <f>IF('Données projet'!$A$88&gt;35,BD59+BC60-BL59,IF(A60&lt;'Données projet'!$A$88,$BA$205^A60,IF(A60='Données projet'!$A$88,'Données projet'!$B$88,BD59+BC60-BL59)))</f>
        <v>324.60000000000025</v>
      </c>
      <c r="BE60" s="13">
        <f>BD60*VLOOKUP('Données projet'!$B$11,Paramètres!$A$1:$I$89,3,0)*VLOOKUP('Données projet'!$B$11,Paramètres!$A$1:$I$89,5,0)</f>
        <v>202.55040000000014</v>
      </c>
      <c r="BF60" s="13">
        <f t="shared" si="37"/>
        <v>50.304254428465725</v>
      </c>
      <c r="BG60" s="20">
        <f t="shared" si="7"/>
        <v>440.38852312957806</v>
      </c>
      <c r="BH60" s="59">
        <f t="shared" si="8"/>
        <v>733.72185646291132</v>
      </c>
      <c r="BI60" s="59">
        <f ca="1">AVERAGE(OFFSET($BH$3,0,0,'Données projet'!$E$11+1,1))-AVERAGE(OFFSET($H$3,0,0,'Données projet'!$E$11+1,1))</f>
        <v>209.93608079129638</v>
      </c>
      <c r="BJ60" s="59">
        <f t="shared" si="38"/>
        <v>240.15652428700969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4.0735128690239009</v>
      </c>
      <c r="BQ60" s="21">
        <f>EXP(-LN(2)/25)*BQ59+(1-EXP(-LN(2)/25))/(LN(2)/25)*Calculateur!BL60*Calculateur!BN60*VLOOKUP('Données projet'!$B$11,Paramètres!$A$1:$I$89,3,0)*0.475*44/12</f>
        <v>9.833279877986028</v>
      </c>
      <c r="BR60" s="21">
        <f>EXP(-LN(2)/2)*BR59+(1-EXP(-LN(2)/2))/(LN(2)/2)*BL60*BO60*VLOOKUP('Données projet'!$B$11,Paramètres!$A$1:$I$89,3,0)*0.475*44/12</f>
        <v>1.7428054883256137E-3</v>
      </c>
      <c r="BS60" s="22">
        <f t="shared" si="9"/>
        <v>13.908535552498254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13.499999999999996</v>
      </c>
      <c r="BY60" s="12">
        <f>IF('Données projet'!$A$114&gt;35,BY59+BX60-CG59,IF(A60&lt;'Données projet'!$A$114,$BV$205^A60,IF(A60='Données projet'!$A$114,'Données projet'!$B$114,BY59+BX60-CG59)))</f>
        <v>334.29999999999984</v>
      </c>
      <c r="BZ60" s="13">
        <f>BY60*VLOOKUP('Données projet'!$B$12,Paramètres!$A$1:$I$89,3,0)*VLOOKUP('Données projet'!$B$12,Paramètres!$A$1:$I$89,5,0)</f>
        <v>156.45239999999993</v>
      </c>
      <c r="CA60" s="13">
        <f t="shared" si="39"/>
        <v>40.041303130551007</v>
      </c>
      <c r="CB60" s="20">
        <f t="shared" si="10"/>
        <v>342.2265329523762</v>
      </c>
      <c r="CC60" s="59">
        <f t="shared" si="11"/>
        <v>635.55986628570952</v>
      </c>
      <c r="CD60" s="59">
        <f ca="1">AVERAGE(OFFSET($CC$3,0,0,'Données projet'!$E$12+1,1))-AVERAGE(OFFSET($H$3,0,0,'Données projet'!$E$12+1,1))</f>
        <v>215.23235148064941</v>
      </c>
      <c r="CE60" s="59">
        <f t="shared" si="40"/>
        <v>184.07239726900434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1.8363541496162219</v>
      </c>
      <c r="CL60" s="21">
        <f>EXP(-LN(2)/25)*CL59+(1-EXP(-LN(2)/25))/(LN(2)/25)*Calculateur!CG60*Calculateur!CI60*VLOOKUP('Données projet'!$B$12,Paramètres!$A$1:$I$89,3,0)*0.475*44/12</f>
        <v>3.7158610603378186</v>
      </c>
      <c r="CM60" s="21">
        <f>EXP(-LN(2)/2)*CM59+(1-EXP(-LN(2)/2))/(LN(2)/2)*CG60*CJ60*VLOOKUP('Données projet'!$B$12,Paramètres!$A$1:$I$89,3,0)*0.475*44/12</f>
        <v>8.4868147742189661E-4</v>
      </c>
      <c r="CN60" s="22">
        <f t="shared" si="12"/>
        <v>5.5530638914314618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7.8</v>
      </c>
      <c r="CT60" s="12">
        <f>IF('Données projet'!$A$140&gt;35,CT59+CS60-DB59,IF(A60&lt;'Données projet'!$A$140,$CQ$205^A60,IF(A60='Données projet'!$A$140,'Données projet'!$B$140,CT59+CS60-DB59)))</f>
        <v>211.60000000000014</v>
      </c>
      <c r="CU60" s="17">
        <f>CT60*VLOOKUP('Données projet'!$B$13,Paramètres!$A$1:$I$89,3,0)*VLOOKUP('Données projet'!$B$13,Paramètres!$A$1:$I$89,5,0)</f>
        <v>214.56240000000017</v>
      </c>
      <c r="CV60" s="13">
        <f t="shared" si="41"/>
        <v>52.931334320900255</v>
      </c>
      <c r="CW60" s="20">
        <f t="shared" si="13"/>
        <v>465.88492060890161</v>
      </c>
      <c r="CX60" s="59">
        <f t="shared" si="14"/>
        <v>759.21825394223492</v>
      </c>
      <c r="CY60" s="59">
        <f ca="1">AVERAGE(OFFSET($CX$3,0,0,'Données projet'!$E$13+1,1))-AVERAGE(OFFSET($H$3,0,0,'Données projet'!$E$13+1,1))</f>
        <v>279.20364724206644</v>
      </c>
      <c r="CZ60" s="59">
        <f t="shared" si="42"/>
        <v>173.99850582760712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1.6465153128634926</v>
      </c>
      <c r="DH60" s="21">
        <f>EXP(-LN(2)/2)*DH59+(1-EXP(-LN(2)/2))/(LN(2)/2)*DB60*DE60*VLOOKUP('Données projet'!$B$13,Paramètres!$A$1:$I$89,3,0)*0.475*44/12</f>
        <v>5.9872213331397465E-4</v>
      </c>
      <c r="DI60" s="22">
        <f t="shared" si="15"/>
        <v>1.6471140349968065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7.8</v>
      </c>
      <c r="DO60" s="12">
        <f>IF('Données projet'!$A$166&gt;35,DO59+DN60-DW59,IF(A60&lt;'Données projet'!$A$166,$DL$205^A60,IF(A60='Données projet'!$A$166,'Données projet'!$B$166,DO59+DN60-DW59)))</f>
        <v>211.60000000000014</v>
      </c>
      <c r="DP60" s="17">
        <f>DO60*VLOOKUP('Données projet'!$B$14,Paramètres!$A$1:$I$89,3,0)*VLOOKUP('Données projet'!$B$14,Paramètres!$A$1:$I$89,5,0)</f>
        <v>221.16432000000017</v>
      </c>
      <c r="DQ60" s="13">
        <f t="shared" si="43"/>
        <v>54.367867126828884</v>
      </c>
      <c r="DR60" s="20">
        <f t="shared" si="16"/>
        <v>479.8852259125606</v>
      </c>
      <c r="DS60" s="59">
        <f t="shared" si="17"/>
        <v>773.21855924589386</v>
      </c>
      <c r="DT60" s="59">
        <f ca="1">AVERAGE(OFFSET($DS$3,0,0,'Données projet'!$E$14+1,1))-AVERAGE(OFFSET($H$3,0,0,'Données projet'!$E$14+1,1))</f>
        <v>291.18074901939718</v>
      </c>
      <c r="DU60" s="59">
        <f t="shared" si="44"/>
        <v>181.05123751753774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1.6971773224900617</v>
      </c>
      <c r="EC60" s="21">
        <f>EXP(-LN(2)/2)*EC59+(1-EXP(-LN(2)/2))/(LN(2)/2)*DW60*DZ60*VLOOKUP('Données projet'!$B$14,Paramètres!$A$1:$I$89,3,0)*0.475*44/12</f>
        <v>6.1714435280055908E-4</v>
      </c>
      <c r="ED60" s="22">
        <f t="shared" si="18"/>
        <v>1.6977944668428622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2.625</v>
      </c>
      <c r="EJ60" s="12">
        <f>IF('Données projet'!$A$192&gt;35,EJ59+EI60-ER59,IF(A60&lt;'Données projet'!$A$192,$EG$205^A60,IF(A60='Données projet'!$A$192,'Données projet'!$B$192,EJ59+EI60-ER59)))</f>
        <v>302.875</v>
      </c>
      <c r="EK60" s="17">
        <f>EJ60*VLOOKUP('Données projet'!$B$15,Paramètres!$A$1:$I$89,3,0)*VLOOKUP('Données projet'!$B$15,Paramètres!$A$1:$I$89,5,0)</f>
        <v>181.11925000000002</v>
      </c>
      <c r="EL60" s="13">
        <f t="shared" si="45"/>
        <v>45.571108763102352</v>
      </c>
      <c r="EM60" s="20">
        <f t="shared" si="19"/>
        <v>394.81904151240332</v>
      </c>
      <c r="EN60" s="59">
        <f t="shared" si="20"/>
        <v>688.15237484573663</v>
      </c>
      <c r="EO60" s="59">
        <f ca="1">AVERAGE(OFFSET($EN$3,0,0,'Données projet'!$E$15+1,1))-AVERAGE(OFFSET($H$3,0,0,'Données projet'!$E$15+1,1))</f>
        <v>168.08890945052406</v>
      </c>
      <c r="EP60" s="59">
        <f t="shared" si="46"/>
        <v>182.52462557642343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3.6393747570363004</v>
      </c>
      <c r="EW60" s="21">
        <f>EXP(-LN(2)/25)*EW59+(1-EXP(-LN(2)/25))/(LN(2)/25)*Calculateur!ER60*Calculateur!ET60*VLOOKUP('Données projet'!$B$15,Paramètres!$A$1:$I$89,3,0)*0.475*44/12</f>
        <v>5.832862722667862</v>
      </c>
      <c r="EX60" s="21">
        <f>EXP(-LN(2)/2)*EX59+(1-EXP(-LN(2)/2))/(LN(2)/2)*ER60*EU60*VLOOKUP('Données projet'!$B$15,Paramètres!$A$1:$I$89,3,0)*0.475*44/12</f>
        <v>4.7005444408736678E-4</v>
      </c>
      <c r="EY60" s="22">
        <f t="shared" si="21"/>
        <v>9.472707534148249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5.6</v>
      </c>
      <c r="FE60" s="12">
        <f>IF('Données projet'!$A$218&gt;35,FE59+FD60-FM59,IF(A60&lt;'Données projet'!$A$218,$FB$205^A60,IF(A60='Données projet'!$A$218,'Données projet'!$B$218,FE59+FD60-FM59)))</f>
        <v>241.1999999999997</v>
      </c>
      <c r="FF60" s="17">
        <f>FE60*VLOOKUP('Données projet'!$B$16,Paramètres!$A$1:$I$89,3,0)*VLOOKUP('Données projet'!$B$16,Paramètres!$A$1:$I$89,5,0)</f>
        <v>161.79695999999979</v>
      </c>
      <c r="FG60" s="13">
        <f t="shared" si="47"/>
        <v>41.247560923222927</v>
      </c>
      <c r="FH60" s="20">
        <f t="shared" si="22"/>
        <v>353.6358739412795</v>
      </c>
      <c r="FI60" s="59">
        <f t="shared" si="23"/>
        <v>646.96920727461281</v>
      </c>
      <c r="FJ60" s="59">
        <f ca="1">AVERAGE(OFFSET($FI$3,0,0,'Données projet'!$E$16+1,1))-AVERAGE(OFFSET($H$3,0,0,'Données projet'!$E$16+1,1))</f>
        <v>156.63226020379989</v>
      </c>
      <c r="FK60" s="59">
        <f t="shared" si="48"/>
        <v>196.0481096619543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4.1011412388178075</v>
      </c>
      <c r="FS60" s="21">
        <f>EXP(-LN(2)/2)*FS59+(1-EXP(-LN(2)/2))/(LN(2)/2)*FM60*FP60*VLOOKUP('Données projet'!$B$16,Paramètres!$A$1:$I$89,3,0)*0.475*44/12</f>
        <v>7.8319247230005295E-4</v>
      </c>
      <c r="FT60" s="22">
        <f t="shared" si="24"/>
        <v>4.1019244312901071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11.4</v>
      </c>
      <c r="FZ60" s="12">
        <f>IF('Données projet'!$A$244&gt;35,FZ59+FY60-GH59,IF(A60&lt;'Données projet'!$A$244,$FW$205^A60,IF(A60='Données projet'!$A$244,'Données projet'!$B$244,FZ59+FY60-GH59)))</f>
        <v>352.79999999999984</v>
      </c>
      <c r="GA60" s="17">
        <f>FZ60*VLOOKUP('Données projet'!$B$17,Paramètres!$A$1:$I$89,3,0)*VLOOKUP('Données projet'!$B$17,Paramètres!$A$1:$I$89,5,0)</f>
        <v>210.97439999999992</v>
      </c>
      <c r="GB60" s="13">
        <f t="shared" si="49"/>
        <v>52.148459211324706</v>
      </c>
      <c r="GC60" s="20">
        <f t="shared" si="25"/>
        <v>458.27231312639037</v>
      </c>
      <c r="GD60" s="59">
        <f t="shared" si="26"/>
        <v>751.60564645972363</v>
      </c>
      <c r="GE60" s="59">
        <f ca="1">AVERAGE(OFFSET($GD$3,0,0,'Données projet'!$E$17+1,1))-AVERAGE(OFFSET($H$3,0,0,'Données projet'!$E$17+1,1))</f>
        <v>216.94426559495264</v>
      </c>
      <c r="GF60" s="59">
        <f t="shared" si="50"/>
        <v>225.33715877618704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6.07807201901021</v>
      </c>
      <c r="GN60" s="21">
        <f>EXP(-LN(2)/2)*GN59+(1-EXP(-LN(2)/2))/(LN(2)/2)*GH60*GK60*VLOOKUP('Données projet'!$B$17,Paramètres!$A$1:$I$89,3,0)*0.475*44/12</f>
        <v>2.0482411230460635E-3</v>
      </c>
      <c r="GO60" s="21">
        <f t="shared" si="27"/>
        <v>6.0801202601332562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7.8</v>
      </c>
      <c r="GU60" s="12">
        <f>IF('Données projet'!$A$270&gt;35,GU59+GT60-HC59,IF(A60&lt;'Données projet'!$A$270,$GR$205^A60,IF(A60='Données projet'!$A$270,'Données projet'!$B$270,GU59+GT60-HC59)))</f>
        <v>211.60000000000014</v>
      </c>
      <c r="GV60" s="17">
        <f>GU60*VLOOKUP('Données projet'!$B$18,Paramètres!$A$1:$I$89,3,0)*VLOOKUP('Données projet'!$B$18,Paramètres!$A$1:$I$89,5,0)</f>
        <v>204.65952000000016</v>
      </c>
      <c r="GW60" s="13">
        <f t="shared" si="51"/>
        <v>50.766812591921436</v>
      </c>
      <c r="GX60" s="20">
        <f t="shared" si="28"/>
        <v>444.8675292642634</v>
      </c>
      <c r="GY60" s="59">
        <f t="shared" si="29"/>
        <v>738.20086259759671</v>
      </c>
      <c r="GZ60" s="59">
        <f ca="1">AVERAGE(OFFSET($GY$3,0,0,'Données projet'!$E$18+1,1))-AVERAGE(OFFSET($H$3,0,0,'Données projet'!$E$18+1,1))</f>
        <v>261.22357949323879</v>
      </c>
      <c r="HA60" s="59">
        <f t="shared" si="52"/>
        <v>163.41029152029387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1.5705222984236391</v>
      </c>
      <c r="HI60" s="21">
        <f>EXP(-LN(2)/2)*HI59+(1-EXP(-LN(2)/2))/(LN(2)/2)*HC60*HF60*VLOOKUP('Données projet'!$B$18,Paramètres!$A$1:$I$89,3,0)*0.475*44/12</f>
        <v>5.7108880408409887E-4</v>
      </c>
      <c r="HJ60" s="22">
        <f t="shared" si="30"/>
        <v>1.5710933872277233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237.22177246688199</v>
      </c>
      <c r="T61" s="59">
        <f t="shared" si="34"/>
        <v>149.27472147904302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5.7</v>
      </c>
      <c r="AI61" s="13">
        <f>IF('Données projet'!$A$62&gt;35,AI60+AH61-AQ60,IF(A61&lt;'Données projet'!$A$62,$AF$205^A61,IF(A61='Données projet'!$A$62,'Données projet'!$B$62,AI60+AH61-AQ60)))</f>
        <v>215.59999999999988</v>
      </c>
      <c r="AJ61" s="13">
        <f>AI61*VLOOKUP('Données projet'!$B$10,Paramètres!$A$1:$I$89,3,0)*VLOOKUP('Données projet'!$B$10,Paramètres!$A$1:$I$89,5,0)</f>
        <v>188.34815999999992</v>
      </c>
      <c r="AK61" s="13">
        <f t="shared" si="35"/>
        <v>47.174569095030364</v>
      </c>
      <c r="AL61" s="20">
        <f t="shared" si="4"/>
        <v>410.20208650717768</v>
      </c>
      <c r="AM61" s="59">
        <f t="shared" si="5"/>
        <v>703.53541984051094</v>
      </c>
      <c r="AN61" s="59">
        <f ca="1">AVERAGE(OFFSET($AM$3,0,0,'Données projet'!$E$10+1,1))-AVERAGE(OFFSET($H$3,0,0,'Données projet'!$E$10+1,1))</f>
        <v>210.07838338464626</v>
      </c>
      <c r="AO61" s="59">
        <f t="shared" si="36"/>
        <v>241.76003724236273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3.0441757556103135</v>
      </c>
      <c r="AV61" s="21">
        <f>EXP(-LN(2)/25)*AV60+(1-EXP(-LN(2)/25))/(LN(2)/25)*Calculateur!AQ61*Calculateur!AS61*VLOOKUP('Données projet'!$B$10,Paramètres!$A$1:$I$89,3,0)*0.475*44/12</f>
        <v>6.238829449734852</v>
      </c>
      <c r="AW61" s="21">
        <f>EXP(-LN(2)/2)*AW60+(1-EXP(-LN(2)/2))/(LN(2)/2)*AQ61*AT61*VLOOKUP('Données projet'!$B$10,Paramètres!$A$1:$I$89,3,0)*0.475*44/12</f>
        <v>9.7481838811335885E-4</v>
      </c>
      <c r="AX61" s="21">
        <f t="shared" si="6"/>
        <v>9.2839800237332799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8.8000000000000007</v>
      </c>
      <c r="BD61" s="12">
        <f>IF('Données projet'!$A$88&gt;35,BD60+BC61-BL60,IF(A61&lt;'Données projet'!$A$88,$BA$205^A61,IF(A61='Données projet'!$A$88,'Données projet'!$B$88,BD60+BC61-BL60)))</f>
        <v>333.40000000000026</v>
      </c>
      <c r="BE61" s="13">
        <f>BD61*VLOOKUP('Données projet'!$B$11,Paramètres!$A$1:$I$89,3,0)*VLOOKUP('Données projet'!$B$11,Paramètres!$A$1:$I$89,5,0)</f>
        <v>208.04160000000016</v>
      </c>
      <c r="BF61" s="13">
        <f t="shared" si="37"/>
        <v>51.507392937650074</v>
      </c>
      <c r="BG61" s="20">
        <f t="shared" si="7"/>
        <v>452.04782936640748</v>
      </c>
      <c r="BH61" s="59">
        <f t="shared" si="8"/>
        <v>745.3811626997408</v>
      </c>
      <c r="BI61" s="59">
        <f ca="1">AVERAGE(OFFSET($BH$3,0,0,'Données projet'!$E$11+1,1))-AVERAGE(OFFSET($H$3,0,0,'Données projet'!$E$11+1,1))</f>
        <v>209.93608079129638</v>
      </c>
      <c r="BJ61" s="59">
        <f t="shared" si="38"/>
        <v>240.15652428700969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3.9936337662598587</v>
      </c>
      <c r="BQ61" s="21">
        <f>EXP(-LN(2)/25)*BQ60+(1-EXP(-LN(2)/25))/(LN(2)/25)*Calculateur!BL61*Calculateur!BN61*VLOOKUP('Données projet'!$B$11,Paramètres!$A$1:$I$89,3,0)*0.475*44/12</f>
        <v>9.5643883226127855</v>
      </c>
      <c r="BR61" s="21">
        <f>EXP(-LN(2)/2)*BR60+(1-EXP(-LN(2)/2))/(LN(2)/2)*BL61*BO61*VLOOKUP('Données projet'!$B$11,Paramètres!$A$1:$I$89,3,0)*0.475*44/12</f>
        <v>1.2323495790841738E-3</v>
      </c>
      <c r="BS61" s="22">
        <f t="shared" si="9"/>
        <v>13.559254438451728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13.499999999999996</v>
      </c>
      <c r="BY61" s="12">
        <f>IF('Données projet'!$A$114&gt;35,BY60+BX61-CG60,IF(A61&lt;'Données projet'!$A$114,$BV$205^A61,IF(A61='Données projet'!$A$114,'Données projet'!$B$114,BY60+BX61-CG60)))</f>
        <v>347.79999999999984</v>
      </c>
      <c r="BZ61" s="13">
        <f>BY61*VLOOKUP('Données projet'!$B$12,Paramètres!$A$1:$I$89,3,0)*VLOOKUP('Données projet'!$B$12,Paramètres!$A$1:$I$89,5,0)</f>
        <v>162.77039999999994</v>
      </c>
      <c r="CA61" s="13">
        <f t="shared" si="39"/>
        <v>41.466761176934256</v>
      </c>
      <c r="CB61" s="20">
        <f t="shared" si="10"/>
        <v>355.71305571649367</v>
      </c>
      <c r="CC61" s="59">
        <f t="shared" si="11"/>
        <v>649.04638904982698</v>
      </c>
      <c r="CD61" s="59">
        <f ca="1">AVERAGE(OFFSET($CC$3,0,0,'Données projet'!$E$12+1,1))-AVERAGE(OFFSET($H$3,0,0,'Données projet'!$E$12+1,1))</f>
        <v>215.23235148064941</v>
      </c>
      <c r="CE61" s="59">
        <f t="shared" si="40"/>
        <v>184.07239726900434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1.8003443648076818</v>
      </c>
      <c r="CL61" s="21">
        <f>EXP(-LN(2)/25)*CL60+(1-EXP(-LN(2)/25))/(LN(2)/25)*Calculateur!CG61*Calculateur!CI61*VLOOKUP('Données projet'!$B$12,Paramètres!$A$1:$I$89,3,0)*0.475*44/12</f>
        <v>3.6142506442342404</v>
      </c>
      <c r="CM61" s="21">
        <f>EXP(-LN(2)/2)*CM60+(1-EXP(-LN(2)/2))/(LN(2)/2)*CG61*CJ61*VLOOKUP('Données projet'!$B$12,Paramètres!$A$1:$I$89,3,0)*0.475*44/12</f>
        <v>6.0010842775244091E-4</v>
      </c>
      <c r="CN61" s="22">
        <f t="shared" si="12"/>
        <v>5.4151951174696746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7.8</v>
      </c>
      <c r="CT61" s="12">
        <f>IF('Données projet'!$A$140&gt;35,CT60+CS61-DB60,IF(A61&lt;'Données projet'!$A$140,$CQ$205^A61,IF(A61='Données projet'!$A$140,'Données projet'!$B$140,CT60+CS61-DB60)))</f>
        <v>219.40000000000015</v>
      </c>
      <c r="CU61" s="17">
        <f>CT61*VLOOKUP('Données projet'!$B$13,Paramètres!$A$1:$I$89,3,0)*VLOOKUP('Données projet'!$B$13,Paramètres!$A$1:$I$89,5,0)</f>
        <v>222.47160000000017</v>
      </c>
      <c r="CV61" s="13">
        <f t="shared" si="41"/>
        <v>54.651725986680781</v>
      </c>
      <c r="CW61" s="20">
        <f t="shared" si="13"/>
        <v>482.65645942680254</v>
      </c>
      <c r="CX61" s="59">
        <f t="shared" si="14"/>
        <v>775.98979276013586</v>
      </c>
      <c r="CY61" s="59">
        <f ca="1">AVERAGE(OFFSET($CX$3,0,0,'Données projet'!$E$13+1,1))-AVERAGE(OFFSET($H$3,0,0,'Données projet'!$E$13+1,1))</f>
        <v>279.20364724206644</v>
      </c>
      <c r="CZ61" s="59">
        <f t="shared" si="42"/>
        <v>173.99850582760712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1.6014912650467632</v>
      </c>
      <c r="DH61" s="21">
        <f>EXP(-LN(2)/2)*DH60+(1-EXP(-LN(2)/2))/(LN(2)/2)*DB61*DE61*VLOOKUP('Données projet'!$B$13,Paramètres!$A$1:$I$89,3,0)*0.475*44/12</f>
        <v>4.2336048051278761E-4</v>
      </c>
      <c r="DI61" s="22">
        <f t="shared" si="15"/>
        <v>1.601914625527276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7.8</v>
      </c>
      <c r="DO61" s="12">
        <f>IF('Données projet'!$A$166&gt;35,DO60+DN61-DW60,IF(A61&lt;'Données projet'!$A$166,$DL$205^A61,IF(A61='Données projet'!$A$166,'Données projet'!$B$166,DO60+DN61-DW60)))</f>
        <v>219.40000000000015</v>
      </c>
      <c r="DP61" s="17">
        <f>DO61*VLOOKUP('Données projet'!$B$14,Paramètres!$A$1:$I$89,3,0)*VLOOKUP('Données projet'!$B$14,Paramètres!$A$1:$I$89,5,0)</f>
        <v>229.31688000000017</v>
      </c>
      <c r="DQ61" s="13">
        <f t="shared" si="43"/>
        <v>56.13494945511863</v>
      </c>
      <c r="DR61" s="20">
        <f t="shared" si="16"/>
        <v>497.16193630099855</v>
      </c>
      <c r="DS61" s="59">
        <f t="shared" si="17"/>
        <v>790.49526963433186</v>
      </c>
      <c r="DT61" s="59">
        <f ca="1">AVERAGE(OFFSET($DS$3,0,0,'Données projet'!$E$14+1,1))-AVERAGE(OFFSET($H$3,0,0,'Données projet'!$E$14+1,1))</f>
        <v>291.18074901939718</v>
      </c>
      <c r="DU61" s="59">
        <f t="shared" si="44"/>
        <v>181.05123751753774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1.6507679193558946</v>
      </c>
      <c r="EC61" s="21">
        <f>EXP(-LN(2)/2)*EC60+(1-EXP(-LN(2)/2))/(LN(2)/2)*DW61*DZ61*VLOOKUP('Données projet'!$B$14,Paramètres!$A$1:$I$89,3,0)*0.475*44/12</f>
        <v>4.3638695683625842E-4</v>
      </c>
      <c r="ED61" s="22">
        <f t="shared" si="18"/>
        <v>1.6512043063127309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2.625</v>
      </c>
      <c r="EJ61" s="12">
        <f>IF('Données projet'!$A$192&gt;35,EJ60+EI61-ER60,IF(A61&lt;'Données projet'!$A$192,$EG$205^A61,IF(A61='Données projet'!$A$192,'Données projet'!$B$192,EJ60+EI61-ER60)))</f>
        <v>305.5</v>
      </c>
      <c r="EK61" s="17">
        <f>EJ61*VLOOKUP('Données projet'!$B$15,Paramètres!$A$1:$I$89,3,0)*VLOOKUP('Données projet'!$B$15,Paramètres!$A$1:$I$89,5,0)</f>
        <v>182.68900000000002</v>
      </c>
      <c r="EL61" s="13">
        <f t="shared" si="45"/>
        <v>45.919921846619154</v>
      </c>
      <c r="EM61" s="20">
        <f t="shared" si="19"/>
        <v>398.16053888286166</v>
      </c>
      <c r="EN61" s="59">
        <f t="shared" si="20"/>
        <v>691.49387221619497</v>
      </c>
      <c r="EO61" s="59">
        <f ca="1">AVERAGE(OFFSET($EN$3,0,0,'Données projet'!$E$15+1,1))-AVERAGE(OFFSET($H$3,0,0,'Données projet'!$E$15+1,1))</f>
        <v>168.08890945052406</v>
      </c>
      <c r="EP61" s="59">
        <f t="shared" si="46"/>
        <v>182.52462557642343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3.5680088378502335</v>
      </c>
      <c r="EW61" s="21">
        <f>EXP(-LN(2)/25)*EW60+(1-EXP(-LN(2)/25))/(LN(2)/25)*Calculateur!ER61*Calculateur!ET61*VLOOKUP('Données projet'!$B$15,Paramètres!$A$1:$I$89,3,0)*0.475*44/12</f>
        <v>5.6733627847795898</v>
      </c>
      <c r="EX61" s="21">
        <f>EXP(-LN(2)/2)*EX60+(1-EXP(-LN(2)/2))/(LN(2)/2)*ER61*EU61*VLOOKUP('Données projet'!$B$15,Paramètres!$A$1:$I$89,3,0)*0.475*44/12</f>
        <v>3.3237868494104993E-4</v>
      </c>
      <c r="EY61" s="22">
        <f t="shared" si="21"/>
        <v>9.2417040013147655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5.6</v>
      </c>
      <c r="FE61" s="12">
        <f>IF('Données projet'!$A$218&gt;35,FE60+FD61-FM60,IF(A61&lt;'Données projet'!$A$218,$FB$205^A61,IF(A61='Données projet'!$A$218,'Données projet'!$B$218,FE60+FD61-FM60)))</f>
        <v>246.7999999999997</v>
      </c>
      <c r="FF61" s="17">
        <f>FE61*VLOOKUP('Données projet'!$B$16,Paramètres!$A$1:$I$89,3,0)*VLOOKUP('Données projet'!$B$16,Paramètres!$A$1:$I$89,5,0)</f>
        <v>165.5534399999998</v>
      </c>
      <c r="FG61" s="13">
        <f t="shared" si="47"/>
        <v>42.092611075660102</v>
      </c>
      <c r="FH61" s="20">
        <f t="shared" si="22"/>
        <v>361.65020562344097</v>
      </c>
      <c r="FI61" s="59">
        <f t="shared" si="23"/>
        <v>654.98353895677428</v>
      </c>
      <c r="FJ61" s="59">
        <f ca="1">AVERAGE(OFFSET($FI$3,0,0,'Données projet'!$E$16+1,1))-AVERAGE(OFFSET($H$3,0,0,'Données projet'!$E$16+1,1))</f>
        <v>156.63226020379989</v>
      </c>
      <c r="FK61" s="59">
        <f t="shared" si="48"/>
        <v>196.0481096619543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3.9889953159726899</v>
      </c>
      <c r="FS61" s="21">
        <f>EXP(-LN(2)/2)*FS60+(1-EXP(-LN(2)/2))/(LN(2)/2)*FM61*FP61*VLOOKUP('Données projet'!$B$16,Paramètres!$A$1:$I$89,3,0)*0.475*44/12</f>
        <v>5.5380070813762473E-4</v>
      </c>
      <c r="FT61" s="22">
        <f t="shared" si="24"/>
        <v>3.9895491166808275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11.4</v>
      </c>
      <c r="FZ61" s="12">
        <f>IF('Données projet'!$A$244&gt;35,FZ60+FY61-GH60,IF(A61&lt;'Données projet'!$A$244,$FW$205^A61,IF(A61='Données projet'!$A$244,'Données projet'!$B$244,FZ60+FY61-GH60)))</f>
        <v>364.19999999999982</v>
      </c>
      <c r="GA61" s="17">
        <f>FZ61*VLOOKUP('Données projet'!$B$17,Paramètres!$A$1:$I$89,3,0)*VLOOKUP('Données projet'!$B$17,Paramètres!$A$1:$I$89,5,0)</f>
        <v>217.7915999999999</v>
      </c>
      <c r="GB61" s="13">
        <f t="shared" si="49"/>
        <v>53.634619420976641</v>
      </c>
      <c r="GC61" s="20">
        <f t="shared" si="25"/>
        <v>472.73399882486751</v>
      </c>
      <c r="GD61" s="59">
        <f t="shared" si="26"/>
        <v>766.06733215820077</v>
      </c>
      <c r="GE61" s="59">
        <f ca="1">AVERAGE(OFFSET($GD$3,0,0,'Données projet'!$E$17+1,1))-AVERAGE(OFFSET($H$3,0,0,'Données projet'!$E$17+1,1))</f>
        <v>216.94426559495264</v>
      </c>
      <c r="GF61" s="59">
        <f t="shared" si="50"/>
        <v>225.33715877618704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5.9118668200184601</v>
      </c>
      <c r="GN61" s="21">
        <f>EXP(-LN(2)/2)*GN60+(1-EXP(-LN(2)/2))/(LN(2)/2)*GH61*GK61*VLOOKUP('Données projet'!$B$17,Paramètres!$A$1:$I$89,3,0)*0.475*44/12</f>
        <v>1.4483251876110212E-3</v>
      </c>
      <c r="GO61" s="21">
        <f t="shared" si="27"/>
        <v>5.913315145206071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7.8</v>
      </c>
      <c r="GU61" s="12">
        <f>IF('Données projet'!$A$270&gt;35,GU60+GT61-HC60,IF(A61&lt;'Données projet'!$A$270,$GR$205^A61,IF(A61='Données projet'!$A$270,'Données projet'!$B$270,GU60+GT61-HC60)))</f>
        <v>219.40000000000015</v>
      </c>
      <c r="GV61" s="17">
        <f>GU61*VLOOKUP('Données projet'!$B$18,Paramètres!$A$1:$I$89,3,0)*VLOOKUP('Données projet'!$B$18,Paramètres!$A$1:$I$89,5,0)</f>
        <v>212.20368000000013</v>
      </c>
      <c r="GW61" s="13">
        <f t="shared" si="51"/>
        <v>52.416852259387269</v>
      </c>
      <c r="GX61" s="20">
        <f t="shared" si="28"/>
        <v>460.88076035176641</v>
      </c>
      <c r="GY61" s="59">
        <f t="shared" si="29"/>
        <v>754.21409368509967</v>
      </c>
      <c r="GZ61" s="59">
        <f ca="1">AVERAGE(OFFSET($GY$3,0,0,'Données projet'!$E$18+1,1))-AVERAGE(OFFSET($H$3,0,0,'Données projet'!$E$18+1,1))</f>
        <v>261.22357949323879</v>
      </c>
      <c r="HA61" s="59">
        <f t="shared" si="52"/>
        <v>163.41029152029387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1.5275762835830664</v>
      </c>
      <c r="HI61" s="21">
        <f>EXP(-LN(2)/2)*HI60+(1-EXP(-LN(2)/2))/(LN(2)/2)*HC61*HF61*VLOOKUP('Données projet'!$B$18,Paramètres!$A$1:$I$89,3,0)*0.475*44/12</f>
        <v>4.0382076602758202E-4</v>
      </c>
      <c r="HJ61" s="22">
        <f t="shared" si="30"/>
        <v>1.5279801043490939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237.22177246688199</v>
      </c>
      <c r="T62" s="59">
        <f t="shared" si="34"/>
        <v>149.27472147904302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5.7</v>
      </c>
      <c r="AI62" s="13">
        <f>IF('Données projet'!$A$62&gt;35,AI61+AH62-AQ61,IF(A62&lt;'Données projet'!$A$62,$AF$205^A62,IF(A62='Données projet'!$A$62,'Données projet'!$B$62,AI61+AH62-AQ61)))</f>
        <v>221.29999999999987</v>
      </c>
      <c r="AJ62" s="13">
        <f>AI62*VLOOKUP('Données projet'!$B$10,Paramètres!$A$1:$I$89,3,0)*VLOOKUP('Données projet'!$B$10,Paramètres!$A$1:$I$89,5,0)</f>
        <v>193.3276799999999</v>
      </c>
      <c r="AK62" s="13">
        <f t="shared" si="35"/>
        <v>48.274910577698478</v>
      </c>
      <c r="AL62" s="20">
        <f t="shared" si="4"/>
        <v>420.79117858949138</v>
      </c>
      <c r="AM62" s="59">
        <f t="shared" si="5"/>
        <v>714.12451192282469</v>
      </c>
      <c r="AN62" s="59">
        <f ca="1">AVERAGE(OFFSET($AM$3,0,0,'Données projet'!$E$10+1,1))-AVERAGE(OFFSET($H$3,0,0,'Données projet'!$E$10+1,1))</f>
        <v>210.07838338464626</v>
      </c>
      <c r="AO62" s="59">
        <f t="shared" si="36"/>
        <v>241.76003724236273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2.9844813258066658</v>
      </c>
      <c r="AV62" s="21">
        <f>EXP(-LN(2)/25)*AV61+(1-EXP(-LN(2)/25))/(LN(2)/25)*Calculateur!AQ62*Calculateur!AS62*VLOOKUP('Données projet'!$B$10,Paramètres!$A$1:$I$89,3,0)*0.475*44/12</f>
        <v>6.0682283303460709</v>
      </c>
      <c r="AW62" s="21">
        <f>EXP(-LN(2)/2)*AW61+(1-EXP(-LN(2)/2))/(LN(2)/2)*AQ62*AT62*VLOOKUP('Données projet'!$B$10,Paramètres!$A$1:$I$89,3,0)*0.475*44/12</f>
        <v>6.8930069266029588E-4</v>
      </c>
      <c r="AX62" s="21">
        <f t="shared" si="6"/>
        <v>9.0533989568453954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8.8000000000000007</v>
      </c>
      <c r="BD62" s="12">
        <f>IF('Données projet'!$A$88&gt;35,BD61+BC62-BL61,IF(A62&lt;'Données projet'!$A$88,$BA$205^A62,IF(A62='Données projet'!$A$88,'Données projet'!$B$88,BD61+BC62-BL61)))</f>
        <v>342.20000000000027</v>
      </c>
      <c r="BE62" s="13">
        <f>BD62*VLOOKUP('Données projet'!$B$11,Paramètres!$A$1:$I$89,3,0)*VLOOKUP('Données projet'!$B$11,Paramètres!$A$1:$I$89,5,0)</f>
        <v>213.53280000000015</v>
      </c>
      <c r="BF62" s="13">
        <f t="shared" si="37"/>
        <v>52.706840209271277</v>
      </c>
      <c r="BG62" s="20">
        <f t="shared" si="7"/>
        <v>463.70070669781438</v>
      </c>
      <c r="BH62" s="59">
        <f t="shared" si="8"/>
        <v>757.0340400311477</v>
      </c>
      <c r="BI62" s="59">
        <f ca="1">AVERAGE(OFFSET($BH$3,0,0,'Données projet'!$E$11+1,1))-AVERAGE(OFFSET($H$3,0,0,'Données projet'!$E$11+1,1))</f>
        <v>209.93608079129638</v>
      </c>
      <c r="BJ62" s="59">
        <f t="shared" si="38"/>
        <v>240.15652428700969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3.9153210439795774</v>
      </c>
      <c r="BQ62" s="21">
        <f>EXP(-LN(2)/25)*BQ61+(1-EXP(-LN(2)/25))/(LN(2)/25)*Calculateur!BL62*Calculateur!BN62*VLOOKUP('Données projet'!$B$11,Paramètres!$A$1:$I$89,3,0)*0.475*44/12</f>
        <v>9.3028496209616165</v>
      </c>
      <c r="BR62" s="21">
        <f>EXP(-LN(2)/2)*BR61+(1-EXP(-LN(2)/2))/(LN(2)/2)*BL62*BO62*VLOOKUP('Données projet'!$B$11,Paramètres!$A$1:$I$89,3,0)*0.475*44/12</f>
        <v>8.7140274416280686E-4</v>
      </c>
      <c r="BS62" s="22">
        <f t="shared" si="9"/>
        <v>13.219042067685358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13.499999999999996</v>
      </c>
      <c r="BY62" s="12">
        <f>IF('Données projet'!$A$114&gt;35,BY61+BX62-CG61,IF(A62&lt;'Données projet'!$A$114,$BV$205^A62,IF(A62='Données projet'!$A$114,'Données projet'!$B$114,BY61+BX62-CG61)))</f>
        <v>361.29999999999984</v>
      </c>
      <c r="BZ62" s="13">
        <f>BY62*VLOOKUP('Données projet'!$B$12,Paramètres!$A$1:$I$89,3,0)*VLOOKUP('Données projet'!$B$12,Paramètres!$A$1:$I$89,5,0)</f>
        <v>169.08839999999992</v>
      </c>
      <c r="CA62" s="13">
        <f t="shared" si="39"/>
        <v>42.885791664164614</v>
      </c>
      <c r="CB62" s="20">
        <f t="shared" si="10"/>
        <v>369.18838381508658</v>
      </c>
      <c r="CC62" s="59">
        <f t="shared" si="11"/>
        <v>662.52171714841984</v>
      </c>
      <c r="CD62" s="59">
        <f ca="1">AVERAGE(OFFSET($CC$3,0,0,'Données projet'!$E$12+1,1))-AVERAGE(OFFSET($H$3,0,0,'Données projet'!$E$12+1,1))</f>
        <v>215.23235148064941</v>
      </c>
      <c r="CE62" s="59">
        <f t="shared" si="40"/>
        <v>184.07239726900434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1.765040709915437</v>
      </c>
      <c r="CL62" s="21">
        <f>EXP(-LN(2)/25)*CL61+(1-EXP(-LN(2)/25))/(LN(2)/25)*Calculateur!CG62*Calculateur!CI62*VLOOKUP('Données projet'!$B$12,Paramètres!$A$1:$I$89,3,0)*0.475*44/12</f>
        <v>3.5154187703024742</v>
      </c>
      <c r="CM62" s="21">
        <f>EXP(-LN(2)/2)*CM61+(1-EXP(-LN(2)/2))/(LN(2)/2)*CG62*CJ62*VLOOKUP('Données projet'!$B$12,Paramètres!$A$1:$I$89,3,0)*0.475*44/12</f>
        <v>4.2434073871094831E-4</v>
      </c>
      <c r="CN62" s="22">
        <f t="shared" si="12"/>
        <v>5.280883820956622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7.8</v>
      </c>
      <c r="CT62" s="12">
        <f>IF('Données projet'!$A$140&gt;35,CT61+CS62-DB61,IF(A62&lt;'Données projet'!$A$140,$CQ$205^A62,IF(A62='Données projet'!$A$140,'Données projet'!$B$140,CT61+CS62-DB61)))</f>
        <v>227.20000000000016</v>
      </c>
      <c r="CU62" s="17">
        <f>CT62*VLOOKUP('Données projet'!$B$13,Paramètres!$A$1:$I$89,3,0)*VLOOKUP('Données projet'!$B$13,Paramètres!$A$1:$I$89,5,0)</f>
        <v>230.38080000000019</v>
      </c>
      <c r="CV62" s="13">
        <f t="shared" si="41"/>
        <v>56.365011465140029</v>
      </c>
      <c r="CW62" s="20">
        <f t="shared" si="13"/>
        <v>499.41562163511918</v>
      </c>
      <c r="CX62" s="59">
        <f t="shared" si="14"/>
        <v>792.74895496845249</v>
      </c>
      <c r="CY62" s="59">
        <f ca="1">AVERAGE(OFFSET($CX$3,0,0,'Données projet'!$E$13+1,1))-AVERAGE(OFFSET($H$3,0,0,'Données projet'!$E$13+1,1))</f>
        <v>279.20364724206644</v>
      </c>
      <c r="CZ62" s="59">
        <f t="shared" si="42"/>
        <v>173.99850582760712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1.557698402185294</v>
      </c>
      <c r="DH62" s="21">
        <f>EXP(-LN(2)/2)*DH61+(1-EXP(-LN(2)/2))/(LN(2)/2)*DB62*DE62*VLOOKUP('Données projet'!$B$13,Paramètres!$A$1:$I$89,3,0)*0.475*44/12</f>
        <v>2.9936106665698733E-4</v>
      </c>
      <c r="DI62" s="22">
        <f t="shared" si="15"/>
        <v>1.5579977632519511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7.8</v>
      </c>
      <c r="DO62" s="12">
        <f>IF('Données projet'!$A$166&gt;35,DO61+DN62-DW61,IF(A62&lt;'Données projet'!$A$166,$DL$205^A62,IF(A62='Données projet'!$A$166,'Données projet'!$B$166,DO61+DN62-DW61)))</f>
        <v>227.20000000000016</v>
      </c>
      <c r="DP62" s="17">
        <f>DO62*VLOOKUP('Données projet'!$B$14,Paramètres!$A$1:$I$89,3,0)*VLOOKUP('Données projet'!$B$14,Paramètres!$A$1:$I$89,5,0)</f>
        <v>237.46944000000016</v>
      </c>
      <c r="DQ62" s="13">
        <f t="shared" si="43"/>
        <v>57.894732737332582</v>
      </c>
      <c r="DR62" s="20">
        <f t="shared" si="16"/>
        <v>514.42593418418789</v>
      </c>
      <c r="DS62" s="59">
        <f t="shared" si="17"/>
        <v>807.75926751752127</v>
      </c>
      <c r="DT62" s="59">
        <f ca="1">AVERAGE(OFFSET($DS$3,0,0,'Données projet'!$E$14+1,1))-AVERAGE(OFFSET($H$3,0,0,'Données projet'!$E$14+1,1))</f>
        <v>291.18074901939718</v>
      </c>
      <c r="DU62" s="59">
        <f t="shared" si="44"/>
        <v>181.05123751753774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1.6056275837909957</v>
      </c>
      <c r="EC62" s="21">
        <f>EXP(-LN(2)/2)*EC61+(1-EXP(-LN(2)/2))/(LN(2)/2)*DW62*DZ62*VLOOKUP('Données projet'!$B$14,Paramètres!$A$1:$I$89,3,0)*0.475*44/12</f>
        <v>3.0857217640027954E-4</v>
      </c>
      <c r="ED62" s="22">
        <f t="shared" si="18"/>
        <v>1.6059361559673959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2.625</v>
      </c>
      <c r="EJ62" s="12">
        <f>IF('Données projet'!$A$192&gt;35,EJ61+EI62-ER61,IF(A62&lt;'Données projet'!$A$192,$EG$205^A62,IF(A62='Données projet'!$A$192,'Données projet'!$B$192,EJ61+EI62-ER61)))</f>
        <v>308.125</v>
      </c>
      <c r="EK62" s="17">
        <f>EJ62*VLOOKUP('Données projet'!$B$15,Paramètres!$A$1:$I$89,3,0)*VLOOKUP('Données projet'!$B$15,Paramètres!$A$1:$I$89,5,0)</f>
        <v>184.25875000000002</v>
      </c>
      <c r="EL62" s="13">
        <f t="shared" si="45"/>
        <v>46.26838622983076</v>
      </c>
      <c r="EM62" s="20">
        <f t="shared" si="19"/>
        <v>401.50142893362187</v>
      </c>
      <c r="EN62" s="59">
        <f t="shared" si="20"/>
        <v>694.83476226695518</v>
      </c>
      <c r="EO62" s="59">
        <f ca="1">AVERAGE(OFFSET($EN$3,0,0,'Données projet'!$E$15+1,1))-AVERAGE(OFFSET($H$3,0,0,'Données projet'!$E$15+1,1))</f>
        <v>168.08890945052406</v>
      </c>
      <c r="EP62" s="59">
        <f t="shared" si="46"/>
        <v>182.52462557642343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3.4980423608104925</v>
      </c>
      <c r="EW62" s="21">
        <f>EXP(-LN(2)/25)*EW61+(1-EXP(-LN(2)/25))/(LN(2)/25)*Calculateur!ER62*Calculateur!ET62*VLOOKUP('Données projet'!$B$15,Paramètres!$A$1:$I$89,3,0)*0.475*44/12</f>
        <v>5.5182243810806098</v>
      </c>
      <c r="EX62" s="21">
        <f>EXP(-LN(2)/2)*EX61+(1-EXP(-LN(2)/2))/(LN(2)/2)*ER62*EU62*VLOOKUP('Données projet'!$B$15,Paramètres!$A$1:$I$89,3,0)*0.475*44/12</f>
        <v>2.3502722204368342E-4</v>
      </c>
      <c r="EY62" s="22">
        <f t="shared" si="21"/>
        <v>9.0165017691131446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5.6</v>
      </c>
      <c r="FE62" s="12">
        <f>IF('Données projet'!$A$218&gt;35,FE61+FD62-FM61,IF(A62&lt;'Données projet'!$A$218,$FB$205^A62,IF(A62='Données projet'!$A$218,'Données projet'!$B$218,FE61+FD62-FM61)))</f>
        <v>252.39999999999969</v>
      </c>
      <c r="FF62" s="17">
        <f>FE62*VLOOKUP('Données projet'!$B$16,Paramètres!$A$1:$I$89,3,0)*VLOOKUP('Données projet'!$B$16,Paramètres!$A$1:$I$89,5,0)</f>
        <v>169.30991999999981</v>
      </c>
      <c r="FG62" s="13">
        <f t="shared" si="47"/>
        <v>42.935432052241438</v>
      </c>
      <c r="FH62" s="20">
        <f t="shared" si="22"/>
        <v>369.66065482432015</v>
      </c>
      <c r="FI62" s="59">
        <f t="shared" si="23"/>
        <v>662.99398815765346</v>
      </c>
      <c r="FJ62" s="59">
        <f ca="1">AVERAGE(OFFSET($FI$3,0,0,'Données projet'!$E$16+1,1))-AVERAGE(OFFSET($H$3,0,0,'Données projet'!$E$16+1,1))</f>
        <v>156.63226020379989</v>
      </c>
      <c r="FK62" s="59">
        <f t="shared" si="48"/>
        <v>196.0481096619543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3.8799160292852699</v>
      </c>
      <c r="FS62" s="21">
        <f>EXP(-LN(2)/2)*FS61+(1-EXP(-LN(2)/2))/(LN(2)/2)*FM62*FP62*VLOOKUP('Données projet'!$B$16,Paramètres!$A$1:$I$89,3,0)*0.475*44/12</f>
        <v>3.9159623615002648E-4</v>
      </c>
      <c r="FT62" s="22">
        <f t="shared" si="24"/>
        <v>3.8803076255214197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11.4</v>
      </c>
      <c r="FZ62" s="12">
        <f>IF('Données projet'!$A$244&gt;35,FZ61+FY62-GH61,IF(A62&lt;'Données projet'!$A$244,$FW$205^A62,IF(A62='Données projet'!$A$244,'Données projet'!$B$244,FZ61+FY62-GH61)))</f>
        <v>375.5999999999998</v>
      </c>
      <c r="GA62" s="17">
        <f>FZ62*VLOOKUP('Données projet'!$B$17,Paramètres!$A$1:$I$89,3,0)*VLOOKUP('Données projet'!$B$17,Paramètres!$A$1:$I$89,5,0)</f>
        <v>224.60879999999992</v>
      </c>
      <c r="GB62" s="13">
        <f t="shared" si="49"/>
        <v>55.11537373670501</v>
      </c>
      <c r="GC62" s="20">
        <f t="shared" si="25"/>
        <v>487.1862692580944</v>
      </c>
      <c r="GD62" s="59">
        <f t="shared" si="26"/>
        <v>780.51960259142766</v>
      </c>
      <c r="GE62" s="59">
        <f ca="1">AVERAGE(OFFSET($GD$3,0,0,'Données projet'!$E$17+1,1))-AVERAGE(OFFSET($H$3,0,0,'Données projet'!$E$17+1,1))</f>
        <v>216.94426559495264</v>
      </c>
      <c r="GF62" s="59">
        <f t="shared" si="50"/>
        <v>225.33715877618704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5.7502065109334906</v>
      </c>
      <c r="GN62" s="21">
        <f>EXP(-LN(2)/2)*GN61+(1-EXP(-LN(2)/2))/(LN(2)/2)*GH62*GK62*VLOOKUP('Données projet'!$B$17,Paramètres!$A$1:$I$89,3,0)*0.475*44/12</f>
        <v>1.0241205615230317E-3</v>
      </c>
      <c r="GO62" s="21">
        <f t="shared" si="27"/>
        <v>5.7512306314950132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7.8</v>
      </c>
      <c r="GU62" s="12">
        <f>IF('Données projet'!$A$270&gt;35,GU61+GT62-HC61,IF(A62&lt;'Données projet'!$A$270,$GR$205^A62,IF(A62='Données projet'!$A$270,'Données projet'!$B$270,GU61+GT62-HC61)))</f>
        <v>227.20000000000016</v>
      </c>
      <c r="GV62" s="17">
        <f>GU62*VLOOKUP('Données projet'!$B$18,Paramètres!$A$1:$I$89,3,0)*VLOOKUP('Données projet'!$B$18,Paramètres!$A$1:$I$89,5,0)</f>
        <v>219.74784000000014</v>
      </c>
      <c r="GW62" s="13">
        <f t="shared" si="51"/>
        <v>54.060076332940611</v>
      </c>
      <c r="GX62" s="20">
        <f t="shared" si="28"/>
        <v>476.88212094653846</v>
      </c>
      <c r="GY62" s="59">
        <f t="shared" si="29"/>
        <v>770.21545427987178</v>
      </c>
      <c r="GZ62" s="59">
        <f ca="1">AVERAGE(OFFSET($GY$3,0,0,'Données projet'!$E$18+1,1))-AVERAGE(OFFSET($H$3,0,0,'Données projet'!$E$18+1,1))</f>
        <v>261.22357949323879</v>
      </c>
      <c r="HA62" s="59">
        <f t="shared" si="52"/>
        <v>163.41029152029387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1.485804629776742</v>
      </c>
      <c r="HI62" s="21">
        <f>EXP(-LN(2)/2)*HI61+(1-EXP(-LN(2)/2))/(LN(2)/2)*HC62*HF62*VLOOKUP('Données projet'!$B$18,Paramètres!$A$1:$I$89,3,0)*0.475*44/12</f>
        <v>2.8554440204204943E-4</v>
      </c>
      <c r="HJ62" s="22">
        <f t="shared" si="30"/>
        <v>1.486090174178784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237.22177246688199</v>
      </c>
      <c r="T63" s="59">
        <f t="shared" si="34"/>
        <v>149.27472147904302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227</v>
      </c>
      <c r="AG63" s="12">
        <f>VLOOKUP(A63,'Données projet'!$A$61:$I$81,9,0)</f>
        <v>5.7</v>
      </c>
      <c r="AH63" s="12">
        <f t="array" ref="AH63">INDEX(AG:AG,MIN(IF(ISNUMBER(AG63:AG259),ROW(AG63:AG259),"")))</f>
        <v>5.7</v>
      </c>
      <c r="AI63" s="13">
        <f>IF('Données projet'!$A$62&gt;35,AI62+AH63-AQ62,IF(A63&lt;'Données projet'!$A$62,$AF$205^A63,IF(A63='Données projet'!$A$62,'Données projet'!$B$62,AI62+AH63-AQ62)))</f>
        <v>226.99999999999986</v>
      </c>
      <c r="AJ63" s="13">
        <f>AI63*VLOOKUP('Données projet'!$B$10,Paramètres!$A$1:$I$89,3,0)*VLOOKUP('Données projet'!$B$10,Paramètres!$A$1:$I$89,5,0)</f>
        <v>198.30719999999991</v>
      </c>
      <c r="AK63" s="13">
        <f t="shared" si="35"/>
        <v>49.371957679623371</v>
      </c>
      <c r="AL63" s="20">
        <f t="shared" si="4"/>
        <v>431.37453295867721</v>
      </c>
      <c r="AM63" s="59">
        <f t="shared" si="5"/>
        <v>724.70786629201052</v>
      </c>
      <c r="AN63" s="59">
        <f ca="1">AVERAGE(OFFSET($AM$3,0,0,'Données projet'!$E$10+1,1))-AVERAGE(OFFSET($H$3,0,0,'Données projet'!$E$10+1,1))</f>
        <v>210.07838338464626</v>
      </c>
      <c r="AO63" s="59">
        <f t="shared" si="36"/>
        <v>241.76003724236273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38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2.925957467361461</v>
      </c>
      <c r="AV63" s="21">
        <f>EXP(-LN(2)/25)*AV62+(1-EXP(-LN(2)/25))/(LN(2)/25)*Calculateur!AQ63*Calculateur!AS63*VLOOKUP('Données projet'!$B$10,Paramètres!$A$1:$I$89,3,0)*0.475*44/12</f>
        <v>5.9022923075384988</v>
      </c>
      <c r="AW63" s="21">
        <f>EXP(-LN(2)/2)*AW62+(1-EXP(-LN(2)/2))/(LN(2)/2)*AQ63*AT63*VLOOKUP('Données projet'!$B$10,Paramètres!$A$1:$I$89,3,0)*0.475*44/12</f>
        <v>4.8740919405667953E-4</v>
      </c>
      <c r="AX63" s="21">
        <f t="shared" si="6"/>
        <v>8.828737184094015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351</v>
      </c>
      <c r="BB63" s="12">
        <f>VLOOKUP(A63,'Données projet'!$A$87:$I$107,9,0)</f>
        <v>8.8000000000000007</v>
      </c>
      <c r="BC63" s="12">
        <f t="array" ref="BC63">INDEX(BB:BB,MIN(IF(ISNUMBER(BB63:BB259),ROW(BB63:BB259),"")))</f>
        <v>8.8000000000000007</v>
      </c>
      <c r="BD63" s="12">
        <f>IF('Données projet'!$A$88&gt;35,BD62+BC63-BL62,IF(A63&lt;'Données projet'!$A$88,$BA$205^A63,IF(A63='Données projet'!$A$88,'Données projet'!$B$88,BD62+BC63-BL62)))</f>
        <v>351.00000000000028</v>
      </c>
      <c r="BE63" s="13">
        <f>BD63*VLOOKUP('Données projet'!$B$11,Paramètres!$A$1:$I$89,3,0)*VLOOKUP('Données projet'!$B$11,Paramètres!$A$1:$I$89,5,0)</f>
        <v>219.02400000000017</v>
      </c>
      <c r="BF63" s="13">
        <f t="shared" si="37"/>
        <v>53.902702081308355</v>
      </c>
      <c r="BG63" s="20">
        <f t="shared" si="7"/>
        <v>475.34733945827901</v>
      </c>
      <c r="BH63" s="59">
        <f t="shared" si="8"/>
        <v>768.68067279161232</v>
      </c>
      <c r="BI63" s="59">
        <f ca="1">AVERAGE(OFFSET($BH$3,0,0,'Données projet'!$E$11+1,1))-AVERAGE(OFFSET($H$3,0,0,'Données projet'!$E$11+1,1))</f>
        <v>209.93608079129638</v>
      </c>
      <c r="BJ63" s="59">
        <f t="shared" si="38"/>
        <v>240.15652428700969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3.8385439864171684</v>
      </c>
      <c r="BQ63" s="21">
        <f>EXP(-LN(2)/25)*BQ62+(1-EXP(-LN(2)/25))/(LN(2)/25)*Calculateur!BL63*Calculateur!BN63*VLOOKUP('Données projet'!$B$11,Paramètres!$A$1:$I$89,3,0)*0.475*44/12</f>
        <v>9.0484627088608214</v>
      </c>
      <c r="BR63" s="21">
        <f>EXP(-LN(2)/2)*BR62+(1-EXP(-LN(2)/2))/(LN(2)/2)*BL63*BO63*VLOOKUP('Données projet'!$B$11,Paramètres!$A$1:$I$89,3,0)*0.475*44/12</f>
        <v>6.1617478954208691E-4</v>
      </c>
      <c r="BS63" s="22">
        <f t="shared" si="9"/>
        <v>12.887622870067531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374.79999999999995</v>
      </c>
      <c r="BW63" s="12">
        <f>VLOOKUP(A63,'Données projet'!$A$113:$I$133,9,0)</f>
        <v>13.499999999999996</v>
      </c>
      <c r="BX63" s="12">
        <f t="array" ref="BX63">INDEX(BW:BW,MIN(IF(ISNUMBER(BW63:BW259),ROW(BW63:BW259),"")))</f>
        <v>13.499999999999996</v>
      </c>
      <c r="BY63" s="12">
        <f>IF('Données projet'!$A$114&gt;35,BY62+BX63-CG62,IF(A63&lt;'Données projet'!$A$114,$BV$205^A63,IF(A63='Données projet'!$A$114,'Données projet'!$B$114,BY62+BX63-CG62)))</f>
        <v>374.79999999999984</v>
      </c>
      <c r="BZ63" s="13">
        <f>BY63*VLOOKUP('Données projet'!$B$12,Paramètres!$A$1:$I$89,3,0)*VLOOKUP('Données projet'!$B$12,Paramètres!$A$1:$I$89,5,0)</f>
        <v>175.40639999999993</v>
      </c>
      <c r="CA63" s="13">
        <f t="shared" si="39"/>
        <v>44.298662258322672</v>
      </c>
      <c r="CB63" s="20">
        <f t="shared" si="10"/>
        <v>382.65298343324525</v>
      </c>
      <c r="CC63" s="59">
        <f t="shared" si="11"/>
        <v>675.98631676657851</v>
      </c>
      <c r="CD63" s="59">
        <f ca="1">AVERAGE(OFFSET($CC$3,0,0,'Données projet'!$E$12+1,1))-AVERAGE(OFFSET($H$3,0,0,'Données projet'!$E$12+1,1))</f>
        <v>215.23235148064941</v>
      </c>
      <c r="CE63" s="59">
        <f t="shared" si="40"/>
        <v>184.07239726900434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83.4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1.730429338162526</v>
      </c>
      <c r="CL63" s="21">
        <f>EXP(-LN(2)/25)*CL62+(1-EXP(-LN(2)/25))/(LN(2)/25)*Calculateur!CG63*Calculateur!CI63*VLOOKUP('Données projet'!$B$12,Paramètres!$A$1:$I$89,3,0)*0.475*44/12</f>
        <v>3.4192894591607144</v>
      </c>
      <c r="CM63" s="21">
        <f>EXP(-LN(2)/2)*CM62+(1-EXP(-LN(2)/2))/(LN(2)/2)*CG63*CJ63*VLOOKUP('Données projet'!$B$12,Paramètres!$A$1:$I$89,3,0)*0.475*44/12</f>
        <v>3.0005421387622046E-4</v>
      </c>
      <c r="CN63" s="22">
        <f t="shared" si="12"/>
        <v>5.1500188515371166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235</v>
      </c>
      <c r="CR63" s="12">
        <f>VLOOKUP(A63,'Données projet'!$A$139:$I$159,9,0)</f>
        <v>7.8</v>
      </c>
      <c r="CS63" s="12">
        <f t="array" ref="CS63">INDEX(CR:CR,MIN(IF(ISNUMBER(CR63:CR259),ROW(CR63:CR259),"")))</f>
        <v>7.8</v>
      </c>
      <c r="CT63" s="12">
        <f>IF('Données projet'!$A$140&gt;35,CT62+CS63-DB62,IF(A63&lt;'Données projet'!$A$140,$CQ$205^A63,IF(A63='Données projet'!$A$140,'Données projet'!$B$140,CT62+CS63-DB62)))</f>
        <v>235.00000000000017</v>
      </c>
      <c r="CU63" s="17">
        <f>CT63*VLOOKUP('Données projet'!$B$13,Paramètres!$A$1:$I$89,3,0)*VLOOKUP('Données projet'!$B$13,Paramètres!$A$1:$I$89,5,0)</f>
        <v>238.29000000000019</v>
      </c>
      <c r="CV63" s="13">
        <f t="shared" si="41"/>
        <v>58.071462681001563</v>
      </c>
      <c r="CW63" s="20">
        <f t="shared" si="13"/>
        <v>516.16288083607799</v>
      </c>
      <c r="CX63" s="59">
        <f t="shared" si="14"/>
        <v>809.49621416941136</v>
      </c>
      <c r="CY63" s="59">
        <f ca="1">AVERAGE(OFFSET($CX$3,0,0,'Données projet'!$E$13+1,1))-AVERAGE(OFFSET($H$3,0,0,'Données projet'!$E$13+1,1))</f>
        <v>279.20364724206644</v>
      </c>
      <c r="CZ63" s="59">
        <f t="shared" si="42"/>
        <v>173.99850582760712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42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1.5151030574617383</v>
      </c>
      <c r="DH63" s="21">
        <f>EXP(-LN(2)/2)*DH62+(1-EXP(-LN(2)/2))/(LN(2)/2)*DB63*DE63*VLOOKUP('Données projet'!$B$13,Paramètres!$A$1:$I$89,3,0)*0.475*44/12</f>
        <v>2.1168024025639381E-4</v>
      </c>
      <c r="DI63" s="22">
        <f t="shared" si="15"/>
        <v>1.5153147377019947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235</v>
      </c>
      <c r="DM63" s="12">
        <f>VLOOKUP(A63,'Données projet'!$A$165:$I$185,9,0)</f>
        <v>7.8</v>
      </c>
      <c r="DN63" s="12">
        <f t="array" ref="DN63">INDEX(DM:DM,MIN(IF(ISNUMBER(DM63:DM259),ROW(DM63:DM259),"")))</f>
        <v>7.8</v>
      </c>
      <c r="DO63" s="12">
        <f>IF('Données projet'!$A$166&gt;35,DO62+DN63-DW62,IF(A63&lt;'Données projet'!$A$166,$DL$205^A63,IF(A63='Données projet'!$A$166,'Données projet'!$B$166,DO62+DN63-DW62)))</f>
        <v>235.00000000000017</v>
      </c>
      <c r="DP63" s="17">
        <f>DO63*VLOOKUP('Données projet'!$B$14,Paramètres!$A$1:$I$89,3,0)*VLOOKUP('Données projet'!$B$14,Paramètres!$A$1:$I$89,5,0)</f>
        <v>245.62200000000021</v>
      </c>
      <c r="DQ63" s="13">
        <f t="shared" si="43"/>
        <v>59.647496278110026</v>
      </c>
      <c r="DR63" s="20">
        <f t="shared" si="16"/>
        <v>531.6777060177086</v>
      </c>
      <c r="DS63" s="59">
        <f t="shared" si="17"/>
        <v>825.01103935104197</v>
      </c>
      <c r="DT63" s="59">
        <f ca="1">AVERAGE(OFFSET($DS$3,0,0,'Données projet'!$E$14+1,1))-AVERAGE(OFFSET($H$3,0,0,'Données projet'!$E$14+1,1))</f>
        <v>291.18074901939718</v>
      </c>
      <c r="DU63" s="59">
        <f t="shared" si="44"/>
        <v>181.05123751753774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42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1.5617216130759459</v>
      </c>
      <c r="EC63" s="21">
        <f>EXP(-LN(2)/2)*EC62+(1-EXP(-LN(2)/2))/(LN(2)/2)*DW63*DZ63*VLOOKUP('Données projet'!$B$14,Paramètres!$A$1:$I$89,3,0)*0.475*44/12</f>
        <v>2.1819347841812921E-4</v>
      </c>
      <c r="ED63" s="22">
        <f t="shared" si="18"/>
        <v>1.5619398065543642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2.625</v>
      </c>
      <c r="EJ63" s="12">
        <f>IF('Données projet'!$A$192&gt;35,EJ62+EI63-ER62,IF(A63&lt;'Données projet'!$A$192,$EG$205^A63,IF(A63='Données projet'!$A$192,'Données projet'!$B$192,EJ62+EI63-ER62)))</f>
        <v>310.75</v>
      </c>
      <c r="EK63" s="17">
        <f>EJ63*VLOOKUP('Données projet'!$B$15,Paramètres!$A$1:$I$89,3,0)*VLOOKUP('Données projet'!$B$15,Paramètres!$A$1:$I$89,5,0)</f>
        <v>185.82849999999999</v>
      </c>
      <c r="EL63" s="13">
        <f t="shared" si="45"/>
        <v>46.616505227631926</v>
      </c>
      <c r="EM63" s="20">
        <f t="shared" si="19"/>
        <v>404.84171743812561</v>
      </c>
      <c r="EN63" s="59">
        <f t="shared" si="20"/>
        <v>698.17505077145893</v>
      </c>
      <c r="EO63" s="59">
        <f ca="1">AVERAGE(OFFSET($EN$3,0,0,'Données projet'!$E$15+1,1))-AVERAGE(OFFSET($H$3,0,0,'Données projet'!$E$15+1,1))</f>
        <v>168.08890945052406</v>
      </c>
      <c r="EP63" s="59">
        <f t="shared" si="46"/>
        <v>182.52462557642343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3.4294478837101638</v>
      </c>
      <c r="EW63" s="21">
        <f>EXP(-LN(2)/25)*EW62+(1-EXP(-LN(2)/25))/(LN(2)/25)*Calculateur!ER63*Calculateur!ET63*VLOOKUP('Données projet'!$B$15,Paramètres!$A$1:$I$89,3,0)*0.475*44/12</f>
        <v>5.3673282451891522</v>
      </c>
      <c r="EX63" s="21">
        <f>EXP(-LN(2)/2)*EX62+(1-EXP(-LN(2)/2))/(LN(2)/2)*ER63*EU63*VLOOKUP('Données projet'!$B$15,Paramètres!$A$1:$I$89,3,0)*0.475*44/12</f>
        <v>1.6618934247052499E-4</v>
      </c>
      <c r="EY63" s="22">
        <f t="shared" si="21"/>
        <v>8.7969423182417863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258</v>
      </c>
      <c r="FC63" s="12">
        <f>VLOOKUP(A63,'Données projet'!$A$217:$I$237,9,0)</f>
        <v>5.6</v>
      </c>
      <c r="FD63" s="12">
        <f t="array" ref="FD63">INDEX(FC:FC,MIN(IF(ISNUMBER(FC63:FC259),ROW(FC63:FC259),"")))</f>
        <v>5.6</v>
      </c>
      <c r="FE63" s="12">
        <f>IF('Données projet'!$A$218&gt;35,FE62+FD63-FM62,IF(A63&lt;'Données projet'!$A$218,$FB$205^A63,IF(A63='Données projet'!$A$218,'Données projet'!$B$218,FE62+FD63-FM62)))</f>
        <v>257.99999999999972</v>
      </c>
      <c r="FF63" s="17">
        <f>FE63*VLOOKUP('Données projet'!$B$16,Paramètres!$A$1:$I$89,3,0)*VLOOKUP('Données projet'!$B$16,Paramètres!$A$1:$I$89,5,0)</f>
        <v>173.06639999999982</v>
      </c>
      <c r="FG63" s="13">
        <f t="shared" si="47"/>
        <v>43.776079006603076</v>
      </c>
      <c r="FH63" s="20">
        <f t="shared" si="22"/>
        <v>377.66731760316674</v>
      </c>
      <c r="FI63" s="59">
        <f t="shared" si="23"/>
        <v>671.00065093650005</v>
      </c>
      <c r="FJ63" s="59">
        <f ca="1">AVERAGE(OFFSET($FI$3,0,0,'Données projet'!$E$16+1,1))-AVERAGE(OFFSET($H$3,0,0,'Données projet'!$E$16+1,1))</f>
        <v>156.63226020379989</v>
      </c>
      <c r="FK63" s="59">
        <f t="shared" si="48"/>
        <v>196.0481096619543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25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3.7738195214285479</v>
      </c>
      <c r="FS63" s="21">
        <f>EXP(-LN(2)/2)*FS62+(1-EXP(-LN(2)/2))/(LN(2)/2)*FM63*FP63*VLOOKUP('Données projet'!$B$16,Paramètres!$A$1:$I$89,3,0)*0.475*44/12</f>
        <v>2.7690035406881236E-4</v>
      </c>
      <c r="FT63" s="22">
        <f t="shared" si="24"/>
        <v>3.774096421782617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387</v>
      </c>
      <c r="FX63" s="12">
        <f>VLOOKUP(A63,'Données projet'!$A$243:$I$263,9,0)</f>
        <v>11.4</v>
      </c>
      <c r="FY63" s="12">
        <f t="array" ref="FY63">INDEX(FX:FX,MIN(IF(ISNUMBER(FX63:FX259),ROW(FX63:FX259),"")))</f>
        <v>11.4</v>
      </c>
      <c r="FZ63" s="12">
        <f>IF('Données projet'!$A$244&gt;35,FZ62+FY63-GH62,IF(A63&lt;'Données projet'!$A$244,$FW$205^A63,IF(A63='Données projet'!$A$244,'Données projet'!$B$244,FZ62+FY63-GH62)))</f>
        <v>386.99999999999977</v>
      </c>
      <c r="GA63" s="17">
        <f>FZ63*VLOOKUP('Données projet'!$B$17,Paramètres!$A$1:$I$89,3,0)*VLOOKUP('Données projet'!$B$17,Paramètres!$A$1:$I$89,5,0)</f>
        <v>231.42599999999987</v>
      </c>
      <c r="GB63" s="13">
        <f t="shared" si="49"/>
        <v>56.590905067453171</v>
      </c>
      <c r="GC63" s="20">
        <f t="shared" si="25"/>
        <v>501.62944299248062</v>
      </c>
      <c r="GD63" s="59">
        <f t="shared" si="26"/>
        <v>794.96277632581393</v>
      </c>
      <c r="GE63" s="59">
        <f ca="1">AVERAGE(OFFSET($GD$3,0,0,'Données projet'!$E$17+1,1))-AVERAGE(OFFSET($H$3,0,0,'Données projet'!$E$17+1,1))</f>
        <v>216.94426559495264</v>
      </c>
      <c r="GF63" s="59">
        <f t="shared" si="50"/>
        <v>225.33715877618704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57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5.5929668115017961</v>
      </c>
      <c r="GN63" s="21">
        <f>EXP(-LN(2)/2)*GN62+(1-EXP(-LN(2)/2))/(LN(2)/2)*GH63*GK63*VLOOKUP('Données projet'!$B$17,Paramètres!$A$1:$I$89,3,0)*0.475*44/12</f>
        <v>7.241625938055106E-4</v>
      </c>
      <c r="GO63" s="21">
        <f t="shared" si="27"/>
        <v>5.593690974095602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235</v>
      </c>
      <c r="GS63" s="12">
        <f>VLOOKUP(A63,'Données projet'!$A$269:$I$289,9,0)</f>
        <v>7.8</v>
      </c>
      <c r="GT63" s="12">
        <f t="array" ref="GT63">INDEX(GS:GS,MIN(IF(ISNUMBER(GS63:GS259),ROW(GS63:GS259),"")))</f>
        <v>7.8</v>
      </c>
      <c r="GU63" s="12">
        <f>IF('Données projet'!$A$270&gt;35,GU62+GT63-HC62,IF(A63&lt;'Données projet'!$A$270,$GR$205^A63,IF(A63='Données projet'!$A$270,'Données projet'!$B$270,GU62+GT63-HC62)))</f>
        <v>235.00000000000017</v>
      </c>
      <c r="GV63" s="17">
        <f>GU63*VLOOKUP('Données projet'!$B$18,Paramètres!$A$1:$I$89,3,0)*VLOOKUP('Données projet'!$B$18,Paramètres!$A$1:$I$89,5,0)</f>
        <v>227.29200000000017</v>
      </c>
      <c r="GW63" s="13">
        <f t="shared" si="51"/>
        <v>55.696745617483749</v>
      </c>
      <c r="GX63" s="20">
        <f t="shared" si="28"/>
        <v>492.87206528378442</v>
      </c>
      <c r="GY63" s="59">
        <f t="shared" si="29"/>
        <v>786.20539861711768</v>
      </c>
      <c r="GZ63" s="59">
        <f ca="1">AVERAGE(OFFSET($GY$3,0,0,'Données projet'!$E$18+1,1))-AVERAGE(OFFSET($H$3,0,0,'Données projet'!$E$18+1,1))</f>
        <v>261.22357949323879</v>
      </c>
      <c r="HA63" s="59">
        <f t="shared" si="52"/>
        <v>163.41029152029387</v>
      </c>
      <c r="HB63" s="15">
        <f>IF(ISNA(VLOOKUP(A63,'Données projet'!$A$269:$I$289,3,0)),0,VLOOKUP(A63,'Données projet'!$A$269:$I$289,3,0))</f>
        <v>4</v>
      </c>
      <c r="HC63" s="15">
        <f>IF(ISNA(VLOOKUP(A63,'Données projet'!$A$269:$I$289,4,0)),0,VLOOKUP(A63,'Données projet'!$A$269:$I$289,4,0))</f>
        <v>42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1.4451752240404274</v>
      </c>
      <c r="HI63" s="21">
        <f>EXP(-LN(2)/2)*HI62+(1-EXP(-LN(2)/2))/(LN(2)/2)*HC63*HF63*VLOOKUP('Données projet'!$B$18,Paramètres!$A$1:$I$89,3,0)*0.475*44/12</f>
        <v>2.0191038301379101E-4</v>
      </c>
      <c r="HJ63" s="22">
        <f t="shared" si="30"/>
        <v>1.4453771344234412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237.22177246688199</v>
      </c>
      <c r="T64" s="59">
        <f t="shared" si="34"/>
        <v>149.27472147904302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4.8</v>
      </c>
      <c r="AI64" s="13">
        <f>IF('Données projet'!$A$62&gt;35,AI63+AH64-AQ63,IF(A64&lt;'Données projet'!$A$62,$AF$205^A64,IF(A64='Données projet'!$A$62,'Données projet'!$B$62,AI63+AH64-AQ63)))</f>
        <v>193.79999999999987</v>
      </c>
      <c r="AJ64" s="13">
        <f>AI64*VLOOKUP('Données projet'!$B$10,Paramètres!$A$1:$I$89,3,0)*VLOOKUP('Données projet'!$B$10,Paramètres!$A$1:$I$89,5,0)</f>
        <v>169.3036799999999</v>
      </c>
      <c r="AK64" s="13">
        <f t="shared" si="35"/>
        <v>42.934033834973214</v>
      </c>
      <c r="AL64" s="20">
        <f t="shared" si="4"/>
        <v>369.64735159591146</v>
      </c>
      <c r="AM64" s="59">
        <f t="shared" si="5"/>
        <v>662.98068492924472</v>
      </c>
      <c r="AN64" s="59">
        <f ca="1">AVERAGE(OFFSET($AM$3,0,0,'Données projet'!$E$10+1,1))-AVERAGE(OFFSET($H$3,0,0,'Données projet'!$E$10+1,1))</f>
        <v>210.07838338464626</v>
      </c>
      <c r="AO64" s="59">
        <f t="shared" si="36"/>
        <v>241.76003724236273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2.8685812260843377</v>
      </c>
      <c r="AV64" s="21">
        <f>EXP(-LN(2)/25)*AV63+(1-EXP(-LN(2)/25))/(LN(2)/25)*Calculateur!AQ64*Calculateur!AS64*VLOOKUP('Données projet'!$B$10,Paramètres!$A$1:$I$89,3,0)*0.475*44/12</f>
        <v>5.7408938140007963</v>
      </c>
      <c r="AW64" s="21">
        <f>EXP(-LN(2)/2)*AW63+(1-EXP(-LN(2)/2))/(LN(2)/2)*AQ64*AT64*VLOOKUP('Données projet'!$B$10,Paramètres!$A$1:$I$89,3,0)*0.475*44/12</f>
        <v>3.4465034633014799E-4</v>
      </c>
      <c r="AX64" s="21">
        <f t="shared" si="6"/>
        <v>8.609819690431463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</v>
      </c>
      <c r="BD64" s="12">
        <f>IF('Données projet'!$A$88&gt;35,BD63+BC64-BL63,IF(A64&lt;'Données projet'!$A$88,$BA$205^A64,IF(A64='Données projet'!$A$88,'Données projet'!$B$88,BD63+BC64-BL63)))</f>
        <v>310.8000000000003</v>
      </c>
      <c r="BE64" s="13">
        <f>BD64*VLOOKUP('Données projet'!$B$11,Paramètres!$A$1:$I$89,3,0)*VLOOKUP('Données projet'!$B$11,Paramètres!$A$1:$I$89,5,0)</f>
        <v>193.9392000000002</v>
      </c>
      <c r="BF64" s="13">
        <f t="shared" si="37"/>
        <v>48.409811198069427</v>
      </c>
      <c r="BG64" s="20">
        <f t="shared" si="7"/>
        <v>422.09119450330462</v>
      </c>
      <c r="BH64" s="59">
        <f t="shared" si="8"/>
        <v>715.42452783663794</v>
      </c>
      <c r="BI64" s="59">
        <f ca="1">AVERAGE(OFFSET($BH$3,0,0,'Données projet'!$E$11+1,1))-AVERAGE(OFFSET($H$3,0,0,'Données projet'!$E$11+1,1))</f>
        <v>209.93608079129638</v>
      </c>
      <c r="BJ64" s="59">
        <f t="shared" si="38"/>
        <v>240.15652428700969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3.763272480124177</v>
      </c>
      <c r="BQ64" s="21">
        <f>EXP(-LN(2)/25)*BQ63+(1-EXP(-LN(2)/25))/(LN(2)/25)*Calculateur!BL64*Calculateur!BN64*VLOOKUP('Données projet'!$B$11,Paramètres!$A$1:$I$89,3,0)*0.475*44/12</f>
        <v>8.8010320202490497</v>
      </c>
      <c r="BR64" s="21">
        <f>EXP(-LN(2)/2)*BR63+(1-EXP(-LN(2)/2))/(LN(2)/2)*BL64*BO64*VLOOKUP('Données projet'!$B$11,Paramètres!$A$1:$I$89,3,0)*0.475*44/12</f>
        <v>4.3570137208140343E-4</v>
      </c>
      <c r="BS64" s="22">
        <f t="shared" si="9"/>
        <v>12.564740201745309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306.89999999999986</v>
      </c>
      <c r="BZ64" s="13">
        <f>BY64*VLOOKUP('Données projet'!$B$12,Paramètres!$A$1:$I$89,3,0)*VLOOKUP('Données projet'!$B$12,Paramètres!$A$1:$I$89,5,0)</f>
        <v>143.62919999999994</v>
      </c>
      <c r="CA64" s="13">
        <f t="shared" si="39"/>
        <v>37.127161849234348</v>
      </c>
      <c r="CB64" s="20">
        <f t="shared" si="10"/>
        <v>314.81733022074968</v>
      </c>
      <c r="CC64" s="59">
        <f t="shared" si="11"/>
        <v>608.15066355408294</v>
      </c>
      <c r="CD64" s="59">
        <f ca="1">AVERAGE(OFFSET($CC$3,0,0,'Données projet'!$E$12+1,1))-AVERAGE(OFFSET($H$3,0,0,'Données projet'!$E$12+1,1))</f>
        <v>215.23235148064941</v>
      </c>
      <c r="CE64" s="59">
        <f t="shared" si="40"/>
        <v>184.07239726900434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1.6964966742988374</v>
      </c>
      <c r="CL64" s="21">
        <f>EXP(-LN(2)/25)*CL63+(1-EXP(-LN(2)/25))/(LN(2)/25)*Calculateur!CG64*Calculateur!CI64*VLOOKUP('Données projet'!$B$12,Paramètres!$A$1:$I$89,3,0)*0.475*44/12</f>
        <v>3.3257888090873466</v>
      </c>
      <c r="CM64" s="21">
        <f>EXP(-LN(2)/2)*CM63+(1-EXP(-LN(2)/2))/(LN(2)/2)*CG64*CJ64*VLOOKUP('Données projet'!$B$12,Paramètres!$A$1:$I$89,3,0)*0.475*44/12</f>
        <v>2.1217036935547415E-4</v>
      </c>
      <c r="CN64" s="22">
        <f t="shared" si="12"/>
        <v>5.0224976537555399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</v>
      </c>
      <c r="CT64" s="12">
        <f>IF('Données projet'!$A$140&gt;35,CT63+CS64-DB63,IF(A64&lt;'Données projet'!$A$140,$CQ$205^A64,IF(A64='Données projet'!$A$140,'Données projet'!$B$140,CT63+CS64-DB63)))</f>
        <v>200.00000000000017</v>
      </c>
      <c r="CU64" s="17">
        <f>CT64*VLOOKUP('Données projet'!$B$13,Paramètres!$A$1:$I$89,3,0)*VLOOKUP('Données projet'!$B$13,Paramètres!$A$1:$I$89,5,0)</f>
        <v>202.80000000000018</v>
      </c>
      <c r="CV64" s="13">
        <f t="shared" si="41"/>
        <v>50.359024179354016</v>
      </c>
      <c r="CW64" s="20">
        <f t="shared" si="13"/>
        <v>440.91863377904184</v>
      </c>
      <c r="CX64" s="59">
        <f t="shared" si="14"/>
        <v>734.25196711237516</v>
      </c>
      <c r="CY64" s="59">
        <f ca="1">AVERAGE(OFFSET($CX$3,0,0,'Données projet'!$E$13+1,1))-AVERAGE(OFFSET($H$3,0,0,'Données projet'!$E$13+1,1))</f>
        <v>279.20364724206644</v>
      </c>
      <c r="CZ64" s="59">
        <f t="shared" si="42"/>
        <v>173.99850582760712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1.4736724846796401</v>
      </c>
      <c r="DH64" s="21">
        <f>EXP(-LN(2)/2)*DH63+(1-EXP(-LN(2)/2))/(LN(2)/2)*DB64*DE64*VLOOKUP('Données projet'!$B$13,Paramètres!$A$1:$I$89,3,0)*0.475*44/12</f>
        <v>1.4968053332849366E-4</v>
      </c>
      <c r="DI64" s="22">
        <f t="shared" si="15"/>
        <v>1.4738221652129686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</v>
      </c>
      <c r="DO64" s="12">
        <f>IF('Données projet'!$A$166&gt;35,DO63+DN64-DW63,IF(A64&lt;'Données projet'!$A$166,$DL$205^A64,IF(A64='Données projet'!$A$166,'Données projet'!$B$166,DO63+DN64-DW63)))</f>
        <v>200.00000000000017</v>
      </c>
      <c r="DP64" s="17">
        <f>DO64*VLOOKUP('Données projet'!$B$14,Paramètres!$A$1:$I$89,3,0)*VLOOKUP('Données projet'!$B$14,Paramètres!$A$1:$I$89,5,0)</f>
        <v>209.04000000000019</v>
      </c>
      <c r="DQ64" s="13">
        <f t="shared" si="43"/>
        <v>51.725745635299496</v>
      </c>
      <c r="DR64" s="20">
        <f t="shared" si="16"/>
        <v>454.16700698148026</v>
      </c>
      <c r="DS64" s="59">
        <f t="shared" si="17"/>
        <v>747.50034031481357</v>
      </c>
      <c r="DT64" s="59">
        <f ca="1">AVERAGE(OFFSET($DS$3,0,0,'Données projet'!$E$14+1,1))-AVERAGE(OFFSET($H$3,0,0,'Données projet'!$E$14+1,1))</f>
        <v>291.18074901939718</v>
      </c>
      <c r="DU64" s="59">
        <f t="shared" si="44"/>
        <v>181.05123751753774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1.5190162534390139</v>
      </c>
      <c r="EC64" s="21">
        <f>EXP(-LN(2)/2)*EC63+(1-EXP(-LN(2)/2))/(LN(2)/2)*DW64*DZ64*VLOOKUP('Données projet'!$B$14,Paramètres!$A$1:$I$89,3,0)*0.475*44/12</f>
        <v>1.5428608820013977E-4</v>
      </c>
      <c r="ED64" s="22">
        <f t="shared" si="18"/>
        <v>1.5191705395272141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2.625</v>
      </c>
      <c r="EJ64" s="12">
        <f>IF('Données projet'!$A$192&gt;35,EJ63+EI64-ER63,IF(A64&lt;'Données projet'!$A$192,$EG$205^A64,IF(A64='Données projet'!$A$192,'Données projet'!$B$192,EJ63+EI64-ER63)))</f>
        <v>313.375</v>
      </c>
      <c r="EK64" s="17">
        <f>EJ64*VLOOKUP('Données projet'!$B$15,Paramètres!$A$1:$I$89,3,0)*VLOOKUP('Données projet'!$B$15,Paramètres!$A$1:$I$89,5,0)</f>
        <v>187.39825000000002</v>
      </c>
      <c r="EL64" s="13">
        <f t="shared" si="45"/>
        <v>46.964282095681376</v>
      </c>
      <c r="EM64" s="20">
        <f t="shared" si="19"/>
        <v>408.18141006664501</v>
      </c>
      <c r="EN64" s="59">
        <f t="shared" si="20"/>
        <v>701.51474339997833</v>
      </c>
      <c r="EO64" s="59">
        <f ca="1">AVERAGE(OFFSET($EN$3,0,0,'Données projet'!$E$15+1,1))-AVERAGE(OFFSET($H$3,0,0,'Données projet'!$E$15+1,1))</f>
        <v>168.08890945052406</v>
      </c>
      <c r="EP64" s="59">
        <f t="shared" si="46"/>
        <v>182.52462557642343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3.3621985024672729</v>
      </c>
      <c r="EW64" s="21">
        <f>EXP(-LN(2)/25)*EW63+(1-EXP(-LN(2)/25))/(LN(2)/25)*Calculateur!ER64*Calculateur!ET64*VLOOKUP('Données projet'!$B$15,Paramètres!$A$1:$I$89,3,0)*0.475*44/12</f>
        <v>5.2205583720689299</v>
      </c>
      <c r="EX64" s="21">
        <f>EXP(-LN(2)/2)*EX63+(1-EXP(-LN(2)/2))/(LN(2)/2)*ER64*EU64*VLOOKUP('Données projet'!$B$15,Paramètres!$A$1:$I$89,3,0)*0.475*44/12</f>
        <v>1.1751361102184174E-4</v>
      </c>
      <c r="EY64" s="22">
        <f t="shared" si="21"/>
        <v>8.5828743881472249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4.0999999999999996</v>
      </c>
      <c r="FE64" s="12">
        <f>IF('Données projet'!$A$218&gt;35,FE63+FD64-FM63,IF(A64&lt;'Données projet'!$A$218,$FB$205^A64,IF(A64='Données projet'!$A$218,'Données projet'!$B$218,FE63+FD64-FM63)))</f>
        <v>237.09999999999974</v>
      </c>
      <c r="FF64" s="17">
        <f>FE64*VLOOKUP('Données projet'!$B$16,Paramètres!$A$1:$I$89,3,0)*VLOOKUP('Données projet'!$B$16,Paramètres!$A$1:$I$89,5,0)</f>
        <v>159.04667999999984</v>
      </c>
      <c r="FG64" s="13">
        <f t="shared" si="47"/>
        <v>40.627416689910589</v>
      </c>
      <c r="FH64" s="20">
        <f t="shared" si="22"/>
        <v>347.76571840159392</v>
      </c>
      <c r="FI64" s="59">
        <f t="shared" si="23"/>
        <v>641.09905173492723</v>
      </c>
      <c r="FJ64" s="59">
        <f ca="1">AVERAGE(OFFSET($FI$3,0,0,'Données projet'!$E$16+1,1))-AVERAGE(OFFSET($H$3,0,0,'Données projet'!$E$16+1,1))</f>
        <v>156.63226020379989</v>
      </c>
      <c r="FK64" s="59">
        <f t="shared" si="48"/>
        <v>196.0481096619543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3.6706242281585411</v>
      </c>
      <c r="FS64" s="21">
        <f>EXP(-LN(2)/2)*FS63+(1-EXP(-LN(2)/2))/(LN(2)/2)*FM64*FP64*VLOOKUP('Données projet'!$B$16,Paramètres!$A$1:$I$89,3,0)*0.475*44/12</f>
        <v>1.9579811807501324E-4</v>
      </c>
      <c r="FT64" s="22">
        <f t="shared" si="24"/>
        <v>3.670820026276616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9.1999999999999993</v>
      </c>
      <c r="FZ64" s="12">
        <f>IF('Données projet'!$A$244&gt;35,FZ63+FY64-GH63,IF(A64&lt;'Données projet'!$A$244,$FW$205^A64,IF(A64='Données projet'!$A$244,'Données projet'!$B$244,FZ63+FY64-GH63)))</f>
        <v>339.19999999999976</v>
      </c>
      <c r="GA64" s="17">
        <f>FZ64*VLOOKUP('Données projet'!$B$17,Paramètres!$A$1:$I$89,3,0)*VLOOKUP('Données projet'!$B$17,Paramètres!$A$1:$I$89,5,0)</f>
        <v>202.84159999999989</v>
      </c>
      <c r="GB64" s="13">
        <f t="shared" si="49"/>
        <v>50.368151708087709</v>
      </c>
      <c r="GC64" s="20">
        <f t="shared" si="25"/>
        <v>441.00698422491922</v>
      </c>
      <c r="GD64" s="59">
        <f t="shared" si="26"/>
        <v>734.34031755825254</v>
      </c>
      <c r="GE64" s="59">
        <f ca="1">AVERAGE(OFFSET($GD$3,0,0,'Données projet'!$E$17+1,1))-AVERAGE(OFFSET($H$3,0,0,'Données projet'!$E$17+1,1))</f>
        <v>216.94426559495264</v>
      </c>
      <c r="GF64" s="59">
        <f t="shared" si="50"/>
        <v>225.33715877618704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5.4400268399199376</v>
      </c>
      <c r="GN64" s="21">
        <f>EXP(-LN(2)/2)*GN63+(1-EXP(-LN(2)/2))/(LN(2)/2)*GH64*GK64*VLOOKUP('Données projet'!$B$17,Paramètres!$A$1:$I$89,3,0)*0.475*44/12</f>
        <v>5.1206028076151587E-4</v>
      </c>
      <c r="GO64" s="21">
        <f t="shared" si="27"/>
        <v>5.440538900200699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7</v>
      </c>
      <c r="GU64" s="12">
        <f>IF('Données projet'!$A$270&gt;35,GU63+GT64-HC63,IF(A64&lt;'Données projet'!$A$270,$GR$205^A64,IF(A64='Données projet'!$A$270,'Données projet'!$B$270,GU63+GT64-HC63)))</f>
        <v>200.00000000000017</v>
      </c>
      <c r="GV64" s="17">
        <f>GU64*VLOOKUP('Données projet'!$B$18,Paramètres!$A$1:$I$89,3,0)*VLOOKUP('Données projet'!$B$18,Paramètres!$A$1:$I$89,5,0)</f>
        <v>193.44000000000017</v>
      </c>
      <c r="GW64" s="13">
        <f t="shared" si="51"/>
        <v>48.299691961776787</v>
      </c>
      <c r="GX64" s="20">
        <f t="shared" si="28"/>
        <v>421.02996350009477</v>
      </c>
      <c r="GY64" s="59">
        <f t="shared" si="29"/>
        <v>714.36329683342808</v>
      </c>
      <c r="GZ64" s="59">
        <f ca="1">AVERAGE(OFFSET($GY$3,0,0,'Données projet'!$E$18+1,1))-AVERAGE(OFFSET($H$3,0,0,'Données projet'!$E$18+1,1))</f>
        <v>261.22357949323879</v>
      </c>
      <c r="HA64" s="59">
        <f t="shared" si="52"/>
        <v>163.41029152029387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1.40565683154058</v>
      </c>
      <c r="HI64" s="21">
        <f>EXP(-LN(2)/2)*HI63+(1-EXP(-LN(2)/2))/(LN(2)/2)*HC64*HF64*VLOOKUP('Données projet'!$B$18,Paramètres!$A$1:$I$89,3,0)*0.475*44/12</f>
        <v>1.4277220102102472E-4</v>
      </c>
      <c r="HJ64" s="22">
        <f t="shared" si="30"/>
        <v>1.405799603741601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237.22177246688199</v>
      </c>
      <c r="T65" s="59">
        <f t="shared" si="34"/>
        <v>149.27472147904302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4.8</v>
      </c>
      <c r="AI65" s="13">
        <f>IF('Données projet'!$A$62&gt;35,AI64+AH65-AQ64,IF(A65&lt;'Données projet'!$A$62,$AF$205^A65,IF(A65='Données projet'!$A$62,'Données projet'!$B$62,AI64+AH65-AQ64)))</f>
        <v>198.59999999999988</v>
      </c>
      <c r="AJ65" s="13">
        <f>AI65*VLOOKUP('Données projet'!$B$10,Paramètres!$A$1:$I$89,3,0)*VLOOKUP('Données projet'!$B$10,Paramètres!$A$1:$I$89,5,0)</f>
        <v>173.49695999999992</v>
      </c>
      <c r="AK65" s="13">
        <f t="shared" si="35"/>
        <v>43.872295751131787</v>
      </c>
      <c r="AL65" s="20">
        <f t="shared" si="4"/>
        <v>378.58478709988776</v>
      </c>
      <c r="AM65" s="59">
        <f t="shared" si="5"/>
        <v>671.91812043322102</v>
      </c>
      <c r="AN65" s="59">
        <f ca="1">AVERAGE(OFFSET($AM$3,0,0,'Données projet'!$E$10+1,1))-AVERAGE(OFFSET($H$3,0,0,'Données projet'!$E$10+1,1))</f>
        <v>210.07838338464626</v>
      </c>
      <c r="AO65" s="59">
        <f t="shared" si="36"/>
        <v>241.76003724236273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2.8123300979026071</v>
      </c>
      <c r="AV65" s="21">
        <f>EXP(-LN(2)/25)*AV64+(1-EXP(-LN(2)/25))/(LN(2)/25)*Calculateur!AQ65*Calculateur!AS65*VLOOKUP('Données projet'!$B$10,Paramètres!$A$1:$I$89,3,0)*0.475*44/12</f>
        <v>5.5839087707564596</v>
      </c>
      <c r="AW65" s="21">
        <f>EXP(-LN(2)/2)*AW64+(1-EXP(-LN(2)/2))/(LN(2)/2)*AQ65*AT65*VLOOKUP('Données projet'!$B$10,Paramètres!$A$1:$I$89,3,0)*0.475*44/12</f>
        <v>2.4370459702833979E-4</v>
      </c>
      <c r="AX65" s="21">
        <f t="shared" si="6"/>
        <v>8.3964825732560957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</v>
      </c>
      <c r="BD65" s="12">
        <f>IF('Données projet'!$A$88&gt;35,BD64+BC65-BL64,IF(A65&lt;'Données projet'!$A$88,$BA$205^A65,IF(A65='Données projet'!$A$88,'Données projet'!$B$88,BD64+BC65-BL64)))</f>
        <v>317.60000000000031</v>
      </c>
      <c r="BE65" s="13">
        <f>BD65*VLOOKUP('Données projet'!$B$11,Paramètres!$A$1:$I$89,3,0)*VLOOKUP('Données projet'!$B$11,Paramètres!$A$1:$I$89,5,0)</f>
        <v>198.1824000000002</v>
      </c>
      <c r="BF65" s="13">
        <f t="shared" si="37"/>
        <v>49.344502261104303</v>
      </c>
      <c r="BG65" s="20">
        <f t="shared" si="7"/>
        <v>431.10935477142363</v>
      </c>
      <c r="BH65" s="59">
        <f t="shared" si="8"/>
        <v>724.44268810475694</v>
      </c>
      <c r="BI65" s="59">
        <f ca="1">AVERAGE(OFFSET($BH$3,0,0,'Données projet'!$E$11+1,1))-AVERAGE(OFFSET($H$3,0,0,'Données projet'!$E$11+1,1))</f>
        <v>209.93608079129638</v>
      </c>
      <c r="BJ65" s="59">
        <f t="shared" si="38"/>
        <v>240.15652428700969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3.6894770021585059</v>
      </c>
      <c r="BQ65" s="21">
        <f>EXP(-LN(2)/25)*BQ64+(1-EXP(-LN(2)/25))/(LN(2)/25)*Calculateur!BL65*Calculateur!BN65*VLOOKUP('Données projet'!$B$11,Paramètres!$A$1:$I$89,3,0)*0.475*44/12</f>
        <v>8.5603673368291808</v>
      </c>
      <c r="BR65" s="21">
        <f>EXP(-LN(2)/2)*BR64+(1-EXP(-LN(2)/2))/(LN(2)/2)*BL65*BO65*VLOOKUP('Données projet'!$B$11,Paramètres!$A$1:$I$89,3,0)*0.475*44/12</f>
        <v>3.0808739477104346E-4</v>
      </c>
      <c r="BS65" s="22">
        <f t="shared" si="9"/>
        <v>12.250152426382458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322.39999999999986</v>
      </c>
      <c r="BZ65" s="13">
        <f>BY65*VLOOKUP('Données projet'!$B$12,Paramètres!$A$1:$I$89,3,0)*VLOOKUP('Données projet'!$B$12,Paramètres!$A$1:$I$89,5,0)</f>
        <v>150.88319999999993</v>
      </c>
      <c r="CA65" s="13">
        <f t="shared" si="39"/>
        <v>38.779227360583164</v>
      </c>
      <c r="CB65" s="20">
        <f t="shared" si="10"/>
        <v>330.32872765301551</v>
      </c>
      <c r="CC65" s="59">
        <f t="shared" si="11"/>
        <v>623.66206098634882</v>
      </c>
      <c r="CD65" s="59">
        <f ca="1">AVERAGE(OFFSET($CC$3,0,0,'Données projet'!$E$12+1,1))-AVERAGE(OFFSET($H$3,0,0,'Données projet'!$E$12+1,1))</f>
        <v>215.23235148064941</v>
      </c>
      <c r="CE65" s="59">
        <f t="shared" si="40"/>
        <v>184.07239726900434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1.6632294092766344</v>
      </c>
      <c r="CL65" s="21">
        <f>EXP(-LN(2)/25)*CL64+(1-EXP(-LN(2)/25))/(LN(2)/25)*Calculateur!CG65*Calculateur!CI65*VLOOKUP('Données projet'!$B$12,Paramètres!$A$1:$I$89,3,0)*0.475*44/12</f>
        <v>3.2348449392072207</v>
      </c>
      <c r="CM65" s="21">
        <f>EXP(-LN(2)/2)*CM64+(1-EXP(-LN(2)/2))/(LN(2)/2)*CG65*CJ65*VLOOKUP('Données projet'!$B$12,Paramètres!$A$1:$I$89,3,0)*0.475*44/12</f>
        <v>1.5002710693811023E-4</v>
      </c>
      <c r="CN65" s="22">
        <f t="shared" si="12"/>
        <v>4.898224375590793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</v>
      </c>
      <c r="CT65" s="12">
        <f>IF('Données projet'!$A$140&gt;35,CT64+CS65-DB64,IF(A65&lt;'Données projet'!$A$140,$CQ$205^A65,IF(A65='Données projet'!$A$140,'Données projet'!$B$140,CT64+CS65-DB64)))</f>
        <v>207.00000000000017</v>
      </c>
      <c r="CU65" s="17">
        <f>CT65*VLOOKUP('Données projet'!$B$13,Paramètres!$A$1:$I$89,3,0)*VLOOKUP('Données projet'!$B$13,Paramètres!$A$1:$I$89,5,0)</f>
        <v>209.8980000000002</v>
      </c>
      <c r="CV65" s="13">
        <f t="shared" si="41"/>
        <v>51.913295501810261</v>
      </c>
      <c r="CW65" s="20">
        <f t="shared" si="13"/>
        <v>455.9880063323198</v>
      </c>
      <c r="CX65" s="59">
        <f t="shared" si="14"/>
        <v>749.32133966565311</v>
      </c>
      <c r="CY65" s="59">
        <f ca="1">AVERAGE(OFFSET($CX$3,0,0,'Données projet'!$E$13+1,1))-AVERAGE(OFFSET($H$3,0,0,'Données projet'!$E$13+1,1))</f>
        <v>279.20364724206644</v>
      </c>
      <c r="CZ65" s="59">
        <f t="shared" si="42"/>
        <v>173.99850582760712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1.4333748330890075</v>
      </c>
      <c r="DH65" s="21">
        <f>EXP(-LN(2)/2)*DH64+(1-EXP(-LN(2)/2))/(LN(2)/2)*DB65*DE65*VLOOKUP('Données projet'!$B$13,Paramètres!$A$1:$I$89,3,0)*0.475*44/12</f>
        <v>1.058401201281969E-4</v>
      </c>
      <c r="DI65" s="22">
        <f t="shared" si="15"/>
        <v>1.4334806732091356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</v>
      </c>
      <c r="DO65" s="12">
        <f>IF('Données projet'!$A$166&gt;35,DO64+DN65-DW64,IF(A65&lt;'Données projet'!$A$166,$DL$205^A65,IF(A65='Données projet'!$A$166,'Données projet'!$B$166,DO64+DN65-DW64)))</f>
        <v>207.00000000000017</v>
      </c>
      <c r="DP65" s="17">
        <f>DO65*VLOOKUP('Données projet'!$B$14,Paramètres!$A$1:$I$89,3,0)*VLOOKUP('Données projet'!$B$14,Paramètres!$A$1:$I$89,5,0)</f>
        <v>216.35640000000018</v>
      </c>
      <c r="DQ65" s="13">
        <f t="shared" si="43"/>
        <v>53.322199188237285</v>
      </c>
      <c r="DR65" s="20">
        <f t="shared" si="16"/>
        <v>469.69022691951346</v>
      </c>
      <c r="DS65" s="59">
        <f t="shared" si="17"/>
        <v>763.02356025284678</v>
      </c>
      <c r="DT65" s="59">
        <f ca="1">AVERAGE(OFFSET($DS$3,0,0,'Données projet'!$E$14+1,1))-AVERAGE(OFFSET($H$3,0,0,'Données projet'!$E$14+1,1))</f>
        <v>291.18074901939718</v>
      </c>
      <c r="DU65" s="59">
        <f t="shared" si="44"/>
        <v>181.05123751753774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1.4774786741071311</v>
      </c>
      <c r="EC65" s="21">
        <f>EXP(-LN(2)/2)*EC64+(1-EXP(-LN(2)/2))/(LN(2)/2)*DW65*DZ65*VLOOKUP('Données projet'!$B$14,Paramètres!$A$1:$I$89,3,0)*0.475*44/12</f>
        <v>1.0909673920906461E-4</v>
      </c>
      <c r="ED65" s="22">
        <f t="shared" si="18"/>
        <v>1.4775877708463401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316</v>
      </c>
      <c r="EH65" s="12">
        <f>VLOOKUP(A65,'Données projet'!$A$191:$I$211,9,0)</f>
        <v>2.625</v>
      </c>
      <c r="EI65" s="12">
        <f t="array" ref="EI65">INDEX(EH:EH,MIN(IF(ISNUMBER(EH65:EH261),ROW(EH65:EH261),"")))</f>
        <v>2.625</v>
      </c>
      <c r="EJ65" s="12">
        <f>IF('Données projet'!$A$192&gt;35,EJ64+EI65-ER64,IF(A65&lt;'Données projet'!$A$192,$EG$205^A65,IF(A65='Données projet'!$A$192,'Données projet'!$B$192,EJ64+EI65-ER64)))</f>
        <v>316</v>
      </c>
      <c r="EK65" s="17">
        <f>EJ65*VLOOKUP('Données projet'!$B$15,Paramètres!$A$1:$I$89,3,0)*VLOOKUP('Données projet'!$B$15,Paramètres!$A$1:$I$89,5,0)</f>
        <v>188.96800000000002</v>
      </c>
      <c r="EL65" s="13">
        <f t="shared" si="45"/>
        <v>47.311720031947068</v>
      </c>
      <c r="EM65" s="20">
        <f t="shared" si="19"/>
        <v>411.52051238897451</v>
      </c>
      <c r="EN65" s="59">
        <f t="shared" si="20"/>
        <v>704.85384572230782</v>
      </c>
      <c r="EO65" s="59">
        <f ca="1">AVERAGE(OFFSET($EN$3,0,0,'Données projet'!$E$15+1,1))-AVERAGE(OFFSET($H$3,0,0,'Données projet'!$E$15+1,1))</f>
        <v>168.08890945052406</v>
      </c>
      <c r="EP65" s="59">
        <f t="shared" si="46"/>
        <v>182.52462557642343</v>
      </c>
      <c r="EQ65" s="15">
        <f>IF(ISNA(VLOOKUP(A65,'Données projet'!$A$191:$I$211,3,0)),0,VLOOKUP(A65,'Données projet'!$A$191:$I$211,3,0))</f>
        <v>9</v>
      </c>
      <c r="ER65" s="15">
        <f>IF(ISNA(VLOOKUP(A65,'Données projet'!$A$191:$I$211,4,0)),0,VLOOKUP(A65,'Données projet'!$A$191:$I$211,4,0))</f>
        <v>316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3.2962678405724826</v>
      </c>
      <c r="EW65" s="21">
        <f>EXP(-LN(2)/25)*EW64+(1-EXP(-LN(2)/25))/(LN(2)/25)*Calculateur!ER65*Calculateur!ET65*VLOOKUP('Données projet'!$B$15,Paramètres!$A$1:$I$89,3,0)*0.475*44/12</f>
        <v>5.0778019288474718</v>
      </c>
      <c r="EX65" s="21">
        <f>EXP(-LN(2)/2)*EX64+(1-EXP(-LN(2)/2))/(LN(2)/2)*ER65*EU65*VLOOKUP('Données projet'!$B$15,Paramètres!$A$1:$I$89,3,0)*0.475*44/12</f>
        <v>8.309467123526251E-5</v>
      </c>
      <c r="EY65" s="22">
        <f t="shared" si="21"/>
        <v>8.3741528640911884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4.0999999999999996</v>
      </c>
      <c r="FE65" s="12">
        <f>IF('Données projet'!$A$218&gt;35,FE64+FD65-FM64,IF(A65&lt;'Données projet'!$A$218,$FB$205^A65,IF(A65='Données projet'!$A$218,'Données projet'!$B$218,FE64+FD65-FM64)))</f>
        <v>241.19999999999973</v>
      </c>
      <c r="FF65" s="17">
        <f>FE65*VLOOKUP('Données projet'!$B$16,Paramètres!$A$1:$I$89,3,0)*VLOOKUP('Données projet'!$B$16,Paramètres!$A$1:$I$89,5,0)</f>
        <v>161.79695999999981</v>
      </c>
      <c r="FG65" s="13">
        <f t="shared" si="47"/>
        <v>41.247560923222927</v>
      </c>
      <c r="FH65" s="20">
        <f t="shared" si="22"/>
        <v>353.63587394127961</v>
      </c>
      <c r="FI65" s="59">
        <f t="shared" si="23"/>
        <v>646.96920727461293</v>
      </c>
      <c r="FJ65" s="59">
        <f ca="1">AVERAGE(OFFSET($FI$3,0,0,'Données projet'!$E$16+1,1))-AVERAGE(OFFSET($H$3,0,0,'Données projet'!$E$16+1,1))</f>
        <v>156.63226020379989</v>
      </c>
      <c r="FK65" s="59">
        <f t="shared" si="48"/>
        <v>196.0481096619543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3.5702508156098069</v>
      </c>
      <c r="FS65" s="21">
        <f>EXP(-LN(2)/2)*FS64+(1-EXP(-LN(2)/2))/(LN(2)/2)*FM65*FP65*VLOOKUP('Données projet'!$B$16,Paramètres!$A$1:$I$89,3,0)*0.475*44/12</f>
        <v>1.3845017703440618E-4</v>
      </c>
      <c r="FT65" s="22">
        <f t="shared" si="24"/>
        <v>3.5703892657868415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9.1999999999999993</v>
      </c>
      <c r="FZ65" s="12">
        <f>IF('Données projet'!$A$244&gt;35,FZ64+FY65-GH64,IF(A65&lt;'Données projet'!$A$244,$FW$205^A65,IF(A65='Données projet'!$A$244,'Données projet'!$B$244,FZ64+FY65-GH64)))</f>
        <v>348.39999999999975</v>
      </c>
      <c r="GA65" s="17">
        <f>FZ65*VLOOKUP('Données projet'!$B$17,Paramètres!$A$1:$I$89,3,0)*VLOOKUP('Données projet'!$B$17,Paramètres!$A$1:$I$89,5,0)</f>
        <v>208.34319999999988</v>
      </c>
      <c r="GB65" s="13">
        <f t="shared" si="49"/>
        <v>51.573366479945882</v>
      </c>
      <c r="GC65" s="20">
        <f t="shared" si="25"/>
        <v>452.68801995257218</v>
      </c>
      <c r="GD65" s="59">
        <f t="shared" si="26"/>
        <v>746.02135328590543</v>
      </c>
      <c r="GE65" s="59">
        <f ca="1">AVERAGE(OFFSET($GD$3,0,0,'Données projet'!$E$17+1,1))-AVERAGE(OFFSET($H$3,0,0,'Données projet'!$E$17+1,1))</f>
        <v>216.94426559495264</v>
      </c>
      <c r="GF65" s="59">
        <f t="shared" si="50"/>
        <v>225.33715877618704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5.2912690199037486</v>
      </c>
      <c r="GN65" s="21">
        <f>EXP(-LN(2)/2)*GN64+(1-EXP(-LN(2)/2))/(LN(2)/2)*GH65*GK65*VLOOKUP('Données projet'!$B$17,Paramètres!$A$1:$I$89,3,0)*0.475*44/12</f>
        <v>3.620812969027553E-4</v>
      </c>
      <c r="GO65" s="21">
        <f t="shared" si="27"/>
        <v>5.2916311012006512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7</v>
      </c>
      <c r="GU65" s="12">
        <f>IF('Données projet'!$A$270&gt;35,GU64+GT65-HC64,IF(A65&lt;'Données projet'!$A$270,$GR$205^A65,IF(A65='Données projet'!$A$270,'Données projet'!$B$270,GU64+GT65-HC64)))</f>
        <v>207.00000000000017</v>
      </c>
      <c r="GV65" s="17">
        <f>GU65*VLOOKUP('Données projet'!$B$18,Paramètres!$A$1:$I$89,3,0)*VLOOKUP('Données projet'!$B$18,Paramètres!$A$1:$I$89,5,0)</f>
        <v>200.21040000000019</v>
      </c>
      <c r="GW65" s="13">
        <f t="shared" si="51"/>
        <v>49.790404447235098</v>
      </c>
      <c r="GX65" s="20">
        <f t="shared" si="28"/>
        <v>435.41806774560138</v>
      </c>
      <c r="GY65" s="59">
        <f t="shared" si="29"/>
        <v>728.75140107893469</v>
      </c>
      <c r="GZ65" s="59">
        <f ca="1">AVERAGE(OFFSET($GY$3,0,0,'Données projet'!$E$18+1,1))-AVERAGE(OFFSET($H$3,0,0,'Données projet'!$E$18+1,1))</f>
        <v>261.22357949323879</v>
      </c>
      <c r="HA65" s="59">
        <f t="shared" si="52"/>
        <v>163.41029152029387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1.3672190715618227</v>
      </c>
      <c r="HI65" s="21">
        <f>EXP(-LN(2)/2)*HI64+(1-EXP(-LN(2)/2))/(LN(2)/2)*HC65*HF65*VLOOKUP('Données projet'!$B$18,Paramètres!$A$1:$I$89,3,0)*0.475*44/12</f>
        <v>1.009551915068955E-4</v>
      </c>
      <c r="HJ65" s="22">
        <f t="shared" si="30"/>
        <v>1.3673200267533296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237.22177246688199</v>
      </c>
      <c r="T66" s="59">
        <f t="shared" si="34"/>
        <v>149.27472147904302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4.8</v>
      </c>
      <c r="AI66" s="13">
        <f>IF('Données projet'!$A$62&gt;35,AI65+AH66-AQ65,IF(A66&lt;'Données projet'!$A$62,$AF$205^A66,IF(A66='Données projet'!$A$62,'Données projet'!$B$62,AI65+AH66-AQ65)))</f>
        <v>203.39999999999989</v>
      </c>
      <c r="AJ66" s="13">
        <f>AI66*VLOOKUP('Données projet'!$B$10,Paramètres!$A$1:$I$89,3,0)*VLOOKUP('Données projet'!$B$10,Paramètres!$A$1:$I$89,5,0)</f>
        <v>177.69023999999993</v>
      </c>
      <c r="AK66" s="13">
        <f t="shared" si="35"/>
        <v>44.80792149982765</v>
      </c>
      <c r="AL66" s="20">
        <f t="shared" si="4"/>
        <v>387.5176312788663</v>
      </c>
      <c r="AM66" s="59">
        <f t="shared" si="5"/>
        <v>680.85096461219962</v>
      </c>
      <c r="AN66" s="59">
        <f ca="1">AVERAGE(OFFSET($AM$3,0,0,'Données projet'!$E$10+1,1))-AVERAGE(OFFSET($H$3,0,0,'Données projet'!$E$10+1,1))</f>
        <v>210.07838338464626</v>
      </c>
      <c r="AO66" s="59">
        <f t="shared" si="36"/>
        <v>241.76003724236273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2.7571820200347199</v>
      </c>
      <c r="AV66" s="21">
        <f>EXP(-LN(2)/25)*AV65+(1-EXP(-LN(2)/25))/(LN(2)/25)*Calculateur!AQ66*Calculateur!AS66*VLOOKUP('Données projet'!$B$10,Paramètres!$A$1:$I$89,3,0)*0.475*44/12</f>
        <v>5.4312164917751238</v>
      </c>
      <c r="AW66" s="21">
        <f>EXP(-LN(2)/2)*AW65+(1-EXP(-LN(2)/2))/(LN(2)/2)*AQ66*AT66*VLOOKUP('Données projet'!$B$10,Paramètres!$A$1:$I$89,3,0)*0.475*44/12</f>
        <v>1.7232517316507402E-4</v>
      </c>
      <c r="AX66" s="21">
        <f t="shared" si="6"/>
        <v>8.1885708369830095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</v>
      </c>
      <c r="BD66" s="12">
        <f>IF('Données projet'!$A$88&gt;35,BD65+BC66-BL65,IF(A66&lt;'Données projet'!$A$88,$BA$205^A66,IF(A66='Données projet'!$A$88,'Données projet'!$B$88,BD65+BC66-BL65)))</f>
        <v>324.40000000000032</v>
      </c>
      <c r="BE66" s="13">
        <f>BD66*VLOOKUP('Données projet'!$B$11,Paramètres!$A$1:$I$89,3,0)*VLOOKUP('Données projet'!$B$11,Paramètres!$A$1:$I$89,5,0)</f>
        <v>202.4256000000002</v>
      </c>
      <c r="BF66" s="13">
        <f t="shared" si="37"/>
        <v>50.276866607459766</v>
      </c>
      <c r="BG66" s="20">
        <f t="shared" si="7"/>
        <v>440.12346267465938</v>
      </c>
      <c r="BH66" s="59">
        <f t="shared" si="8"/>
        <v>733.45679600799269</v>
      </c>
      <c r="BI66" s="59">
        <f ca="1">AVERAGE(OFFSET($BH$3,0,0,'Données projet'!$E$11+1,1))-AVERAGE(OFFSET($H$3,0,0,'Données projet'!$E$11+1,1))</f>
        <v>209.93608079129638</v>
      </c>
      <c r="BJ66" s="59">
        <f t="shared" si="38"/>
        <v>240.15652428700969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3.6171286085049443</v>
      </c>
      <c r="BQ66" s="21">
        <f>EXP(-LN(2)/25)*BQ65+(1-EXP(-LN(2)/25))/(LN(2)/25)*Calculateur!BL66*Calculateur!BN66*VLOOKUP('Données projet'!$B$11,Paramètres!$A$1:$I$89,3,0)*0.475*44/12</f>
        <v>8.3262836418334345</v>
      </c>
      <c r="BR66" s="21">
        <f>EXP(-LN(2)/2)*BR65+(1-EXP(-LN(2)/2))/(LN(2)/2)*BL66*BO66*VLOOKUP('Données projet'!$B$11,Paramètres!$A$1:$I$89,3,0)*0.475*44/12</f>
        <v>2.1785068604070171E-4</v>
      </c>
      <c r="BS66" s="22">
        <f t="shared" si="9"/>
        <v>11.94363010102442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337.89999999999986</v>
      </c>
      <c r="BZ66" s="13">
        <f>BY66*VLOOKUP('Données projet'!$B$12,Paramètres!$A$1:$I$89,3,0)*VLOOKUP('Données projet'!$B$12,Paramètres!$A$1:$I$89,5,0)</f>
        <v>158.13719999999995</v>
      </c>
      <c r="CA66" s="13">
        <f t="shared" si="39"/>
        <v>40.422069728367696</v>
      </c>
      <c r="CB66" s="20">
        <f t="shared" si="10"/>
        <v>345.82406144357361</v>
      </c>
      <c r="CC66" s="59">
        <f t="shared" si="11"/>
        <v>639.15739477690693</v>
      </c>
      <c r="CD66" s="59">
        <f ca="1">AVERAGE(OFFSET($CC$3,0,0,'Données projet'!$E$12+1,1))-AVERAGE(OFFSET($H$3,0,0,'Données projet'!$E$12+1,1))</f>
        <v>215.23235148064941</v>
      </c>
      <c r="CE66" s="59">
        <f t="shared" si="40"/>
        <v>184.07239726900434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1.6306144950304886</v>
      </c>
      <c r="CL66" s="21">
        <f>EXP(-LN(2)/25)*CL65+(1-EXP(-LN(2)/25))/(LN(2)/25)*Calculateur!CG66*Calculateur!CI66*VLOOKUP('Données projet'!$B$12,Paramètres!$A$1:$I$89,3,0)*0.475*44/12</f>
        <v>3.1463879342314973</v>
      </c>
      <c r="CM66" s="21">
        <f>EXP(-LN(2)/2)*CM65+(1-EXP(-LN(2)/2))/(LN(2)/2)*CG66*CJ66*VLOOKUP('Données projet'!$B$12,Paramètres!$A$1:$I$89,3,0)*0.475*44/12</f>
        <v>1.0608518467773708E-4</v>
      </c>
      <c r="CN66" s="22">
        <f t="shared" si="12"/>
        <v>4.7771085144466632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</v>
      </c>
      <c r="CT66" s="12">
        <f>IF('Données projet'!$A$140&gt;35,CT65+CS66-DB65,IF(A66&lt;'Données projet'!$A$140,$CQ$205^A66,IF(A66='Données projet'!$A$140,'Données projet'!$B$140,CT65+CS66-DB65)))</f>
        <v>214.00000000000017</v>
      </c>
      <c r="CU66" s="17">
        <f>CT66*VLOOKUP('Données projet'!$B$13,Paramètres!$A$1:$I$89,3,0)*VLOOKUP('Données projet'!$B$13,Paramètres!$A$1:$I$89,5,0)</f>
        <v>216.99600000000018</v>
      </c>
      <c r="CV66" s="13">
        <f t="shared" si="41"/>
        <v>53.461459647386967</v>
      </c>
      <c r="CW66" s="20">
        <f t="shared" si="13"/>
        <v>471.0467422191993</v>
      </c>
      <c r="CX66" s="59">
        <f t="shared" si="14"/>
        <v>764.38007555253262</v>
      </c>
      <c r="CY66" s="59">
        <f ca="1">AVERAGE(OFFSET($CX$3,0,0,'Données projet'!$E$13+1,1))-AVERAGE(OFFSET($H$3,0,0,'Données projet'!$E$13+1,1))</f>
        <v>279.20364724206644</v>
      </c>
      <c r="CZ66" s="59">
        <f t="shared" si="42"/>
        <v>173.99850582760712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1.3941791229002822</v>
      </c>
      <c r="DH66" s="21">
        <f>EXP(-LN(2)/2)*DH65+(1-EXP(-LN(2)/2))/(LN(2)/2)*DB66*DE66*VLOOKUP('Données projet'!$B$13,Paramètres!$A$1:$I$89,3,0)*0.475*44/12</f>
        <v>7.4840266664246831E-5</v>
      </c>
      <c r="DI66" s="22">
        <f t="shared" si="15"/>
        <v>1.3942539631669464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</v>
      </c>
      <c r="DO66" s="12">
        <f>IF('Données projet'!$A$166&gt;35,DO65+DN66-DW65,IF(A66&lt;'Données projet'!$A$166,$DL$205^A66,IF(A66='Données projet'!$A$166,'Données projet'!$B$166,DO65+DN66-DW65)))</f>
        <v>214.00000000000017</v>
      </c>
      <c r="DP66" s="17">
        <f>DO66*VLOOKUP('Données projet'!$B$14,Paramètres!$A$1:$I$89,3,0)*VLOOKUP('Données projet'!$B$14,Paramètres!$A$1:$I$89,5,0)</f>
        <v>223.67280000000017</v>
      </c>
      <c r="DQ66" s="13">
        <f t="shared" si="43"/>
        <v>54.91237981823884</v>
      </c>
      <c r="DR66" s="20">
        <f t="shared" si="16"/>
        <v>485.20252151676618</v>
      </c>
      <c r="DS66" s="59">
        <f t="shared" si="17"/>
        <v>778.53585485009944</v>
      </c>
      <c r="DT66" s="59">
        <f ca="1">AVERAGE(OFFSET($DS$3,0,0,'Données projet'!$E$14+1,1))-AVERAGE(OFFSET($H$3,0,0,'Données projet'!$E$14+1,1))</f>
        <v>291.18074901939718</v>
      </c>
      <c r="DU66" s="59">
        <f t="shared" si="44"/>
        <v>181.05123751753774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1.4370769420664449</v>
      </c>
      <c r="EC66" s="21">
        <f>EXP(-LN(2)/2)*EC65+(1-EXP(-LN(2)/2))/(LN(2)/2)*DW66*DZ66*VLOOKUP('Données projet'!$B$14,Paramètres!$A$1:$I$89,3,0)*0.475*44/12</f>
        <v>7.7143044100069885E-5</v>
      </c>
      <c r="ED66" s="22">
        <f t="shared" si="18"/>
        <v>1.4371540851105449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168.08890945052406</v>
      </c>
      <c r="EP66" s="59">
        <f t="shared" si="46"/>
        <v>182.52462557642343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3.2316300387437162</v>
      </c>
      <c r="EW66" s="21">
        <f>EXP(-LN(2)/25)*EW65+(1-EXP(-LN(2)/25))/(LN(2)/25)*Calculateur!ER66*Calculateur!ET66*VLOOKUP('Données projet'!$B$15,Paramètres!$A$1:$I$89,3,0)*0.475*44/12</f>
        <v>4.9389491680731394</v>
      </c>
      <c r="EX66" s="21">
        <f>EXP(-LN(2)/2)*EX65+(1-EXP(-LN(2)/2))/(LN(2)/2)*ER66*EU66*VLOOKUP('Données projet'!$B$15,Paramètres!$A$1:$I$89,3,0)*0.475*44/12</f>
        <v>5.8756805510920875E-5</v>
      </c>
      <c r="EY66" s="22">
        <f t="shared" si="21"/>
        <v>8.1706379636223669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4.0999999999999996</v>
      </c>
      <c r="FE66" s="12">
        <f>IF('Données projet'!$A$218&gt;35,FE65+FD66-FM65,IF(A66&lt;'Données projet'!$A$218,$FB$205^A66,IF(A66='Données projet'!$A$218,'Données projet'!$B$218,FE65+FD66-FM65)))</f>
        <v>245.29999999999973</v>
      </c>
      <c r="FF66" s="17">
        <f>FE66*VLOOKUP('Données projet'!$B$16,Paramètres!$A$1:$I$89,3,0)*VLOOKUP('Données projet'!$B$16,Paramètres!$A$1:$I$89,5,0)</f>
        <v>164.54723999999982</v>
      </c>
      <c r="FG66" s="13">
        <f t="shared" si="47"/>
        <v>41.866479285519468</v>
      </c>
      <c r="FH66" s="20">
        <f t="shared" si="22"/>
        <v>359.50389442227942</v>
      </c>
      <c r="FI66" s="59">
        <f t="shared" si="23"/>
        <v>652.83722775561273</v>
      </c>
      <c r="FJ66" s="59">
        <f ca="1">AVERAGE(OFFSET($FI$3,0,0,'Données projet'!$E$16+1,1))-AVERAGE(OFFSET($H$3,0,0,'Données projet'!$E$16+1,1))</f>
        <v>156.63226020379989</v>
      </c>
      <c r="FK66" s="59">
        <f t="shared" si="48"/>
        <v>196.0481096619543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3.4726221193056261</v>
      </c>
      <c r="FS66" s="21">
        <f>EXP(-LN(2)/2)*FS65+(1-EXP(-LN(2)/2))/(LN(2)/2)*FM66*FP66*VLOOKUP('Données projet'!$B$16,Paramètres!$A$1:$I$89,3,0)*0.475*44/12</f>
        <v>9.7899059037506619E-5</v>
      </c>
      <c r="FT66" s="22">
        <f t="shared" si="24"/>
        <v>3.4727200183646638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9.1999999999999993</v>
      </c>
      <c r="FZ66" s="12">
        <f>IF('Données projet'!$A$244&gt;35,FZ65+FY66-GH65,IF(A66&lt;'Données projet'!$A$244,$FW$205^A66,IF(A66='Données projet'!$A$244,'Données projet'!$B$244,FZ65+FY66-GH65)))</f>
        <v>357.59999999999974</v>
      </c>
      <c r="GA66" s="17">
        <f>FZ66*VLOOKUP('Données projet'!$B$17,Paramètres!$A$1:$I$89,3,0)*VLOOKUP('Données projet'!$B$17,Paramètres!$A$1:$I$89,5,0)</f>
        <v>213.84479999999988</v>
      </c>
      <c r="GB66" s="13">
        <f t="shared" si="49"/>
        <v>52.774882006161135</v>
      </c>
      <c r="GC66" s="20">
        <f t="shared" si="25"/>
        <v>464.36261282739719</v>
      </c>
      <c r="GD66" s="59">
        <f t="shared" si="26"/>
        <v>757.6959461607305</v>
      </c>
      <c r="GE66" s="59">
        <f ca="1">AVERAGE(OFFSET($GD$3,0,0,'Données projet'!$E$17+1,1))-AVERAGE(OFFSET($H$3,0,0,'Données projet'!$E$17+1,1))</f>
        <v>216.94426559495264</v>
      </c>
      <c r="GF66" s="59">
        <f t="shared" si="50"/>
        <v>225.33715877618704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5.1465789902987362</v>
      </c>
      <c r="GN66" s="21">
        <f>EXP(-LN(2)/2)*GN65+(1-EXP(-LN(2)/2))/(LN(2)/2)*GH66*GK66*VLOOKUP('Données projet'!$B$17,Paramètres!$A$1:$I$89,3,0)*0.475*44/12</f>
        <v>2.5603014038075793E-4</v>
      </c>
      <c r="GO66" s="21">
        <f t="shared" si="27"/>
        <v>5.1468350204391173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7</v>
      </c>
      <c r="GU66" s="12">
        <f>IF('Données projet'!$A$270&gt;35,GU65+GT66-HC65,IF(A66&lt;'Données projet'!$A$270,$GR$205^A66,IF(A66='Données projet'!$A$270,'Données projet'!$B$270,GU65+GT66-HC65)))</f>
        <v>214.00000000000017</v>
      </c>
      <c r="GV66" s="17">
        <f>GU66*VLOOKUP('Données projet'!$B$18,Paramètres!$A$1:$I$89,3,0)*VLOOKUP('Données projet'!$B$18,Paramètres!$A$1:$I$89,5,0)</f>
        <v>206.98080000000016</v>
      </c>
      <c r="GW66" s="13">
        <f t="shared" si="51"/>
        <v>51.275259496675787</v>
      </c>
      <c r="GX66" s="20">
        <f t="shared" si="28"/>
        <v>449.7959702900439</v>
      </c>
      <c r="GY66" s="59">
        <f t="shared" si="29"/>
        <v>743.12930362337715</v>
      </c>
      <c r="GZ66" s="59">
        <f ca="1">AVERAGE(OFFSET($GY$3,0,0,'Données projet'!$E$18+1,1))-AVERAGE(OFFSET($H$3,0,0,'Données projet'!$E$18+1,1))</f>
        <v>261.22357949323879</v>
      </c>
      <c r="HA66" s="59">
        <f t="shared" si="52"/>
        <v>163.41029152029387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1.3298323941510384</v>
      </c>
      <c r="HI66" s="21">
        <f>EXP(-LN(2)/2)*HI65+(1-EXP(-LN(2)/2))/(LN(2)/2)*HC66*HF66*VLOOKUP('Données projet'!$B$18,Paramètres!$A$1:$I$89,3,0)*0.475*44/12</f>
        <v>7.1386100510512359E-5</v>
      </c>
      <c r="HJ66" s="22">
        <f t="shared" si="30"/>
        <v>1.329903780251549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237.22177246688199</v>
      </c>
      <c r="T67" s="59">
        <f t="shared" si="34"/>
        <v>149.27472147904302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4.8</v>
      </c>
      <c r="AI67" s="13">
        <f>IF('Données projet'!$A$62&gt;35,AI66+AH67-AQ66,IF(A67&lt;'Données projet'!$A$62,$AF$205^A67,IF(A67='Données projet'!$A$62,'Données projet'!$B$62,AI66+AH67-AQ66)))</f>
        <v>208.1999999999999</v>
      </c>
      <c r="AJ67" s="13">
        <f>AI67*VLOOKUP('Données projet'!$B$10,Paramètres!$A$1:$I$89,3,0)*VLOOKUP('Données projet'!$B$10,Paramètres!$A$1:$I$89,5,0)</f>
        <v>181.88351999999995</v>
      </c>
      <c r="AK67" s="13">
        <f t="shared" si="35"/>
        <v>45.740980450513447</v>
      </c>
      <c r="AL67" s="20">
        <f t="shared" si="4"/>
        <v>396.44600495131073</v>
      </c>
      <c r="AM67" s="59">
        <f t="shared" si="5"/>
        <v>689.77933828464404</v>
      </c>
      <c r="AN67" s="59">
        <f ca="1">AVERAGE(OFFSET($AM$3,0,0,'Données projet'!$E$10+1,1))-AVERAGE(OFFSET($H$3,0,0,'Données projet'!$E$10+1,1))</f>
        <v>210.07838338464626</v>
      </c>
      <c r="AO67" s="59">
        <f t="shared" si="36"/>
        <v>241.76003724236273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2.7031153623368156</v>
      </c>
      <c r="AV67" s="21">
        <f>EXP(-LN(2)/25)*AV66+(1-EXP(-LN(2)/25))/(LN(2)/25)*Calculateur!AQ67*Calculateur!AS67*VLOOKUP('Données projet'!$B$10,Paramètres!$A$1:$I$89,3,0)*0.475*44/12</f>
        <v>5.2826995911922712</v>
      </c>
      <c r="AW67" s="21">
        <f>EXP(-LN(2)/2)*AW66+(1-EXP(-LN(2)/2))/(LN(2)/2)*AQ67*AT67*VLOOKUP('Données projet'!$B$10,Paramètres!$A$1:$I$89,3,0)*0.475*44/12</f>
        <v>1.2185229851416991E-4</v>
      </c>
      <c r="AX67" s="21">
        <f t="shared" si="6"/>
        <v>7.9859368058276008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</v>
      </c>
      <c r="BD67" s="12">
        <f>IF('Données projet'!$A$88&gt;35,BD66+BC67-BL66,IF(A67&lt;'Données projet'!$A$88,$BA$205^A67,IF(A67='Données projet'!$A$88,'Données projet'!$B$88,BD66+BC67-BL66)))</f>
        <v>331.20000000000033</v>
      </c>
      <c r="BE67" s="13">
        <f>BD67*VLOOKUP('Données projet'!$B$11,Paramètres!$A$1:$I$89,3,0)*VLOOKUP('Données projet'!$B$11,Paramètres!$A$1:$I$89,5,0)</f>
        <v>206.6688000000002</v>
      </c>
      <c r="BF67" s="13">
        <f t="shared" si="37"/>
        <v>51.206958627992798</v>
      </c>
      <c r="BG67" s="20">
        <f t="shared" si="7"/>
        <v>449.13361294375437</v>
      </c>
      <c r="BH67" s="59">
        <f t="shared" si="8"/>
        <v>742.46694627708769</v>
      </c>
      <c r="BI67" s="59">
        <f ca="1">AVERAGE(OFFSET($BH$3,0,0,'Données projet'!$E$11+1,1))-AVERAGE(OFFSET($H$3,0,0,'Données projet'!$E$11+1,1))</f>
        <v>209.93608079129638</v>
      </c>
      <c r="BJ67" s="59">
        <f t="shared" si="38"/>
        <v>240.15652428700969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3.5461989227227666</v>
      </c>
      <c r="BQ67" s="21">
        <f>EXP(-LN(2)/25)*BQ66+(1-EXP(-LN(2)/25))/(LN(2)/25)*Calculateur!BL67*Calculateur!BN67*VLOOKUP('Données projet'!$B$11,Paramètres!$A$1:$I$89,3,0)*0.475*44/12</f>
        <v>8.0986009777872727</v>
      </c>
      <c r="BR67" s="21">
        <f>EXP(-LN(2)/2)*BR66+(1-EXP(-LN(2)/2))/(LN(2)/2)*BL67*BO67*VLOOKUP('Données projet'!$B$11,Paramètres!$A$1:$I$89,3,0)*0.475*44/12</f>
        <v>1.5404369738552173E-4</v>
      </c>
      <c r="BS67" s="22">
        <f t="shared" si="9"/>
        <v>11.644953944207424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353.39999999999986</v>
      </c>
      <c r="BZ67" s="13">
        <f>BY67*VLOOKUP('Données projet'!$B$12,Paramètres!$A$1:$I$89,3,0)*VLOOKUP('Données projet'!$B$12,Paramètres!$A$1:$I$89,5,0)</f>
        <v>165.39119999999994</v>
      </c>
      <c r="CA67" s="13">
        <f t="shared" si="39"/>
        <v>42.056160358234834</v>
      </c>
      <c r="CB67" s="20">
        <f t="shared" si="10"/>
        <v>361.30415262392557</v>
      </c>
      <c r="CC67" s="59">
        <f t="shared" si="11"/>
        <v>654.63748595725883</v>
      </c>
      <c r="CD67" s="59">
        <f ca="1">AVERAGE(OFFSET($CC$3,0,0,'Données projet'!$E$12+1,1))-AVERAGE(OFFSET($H$3,0,0,'Données projet'!$E$12+1,1))</f>
        <v>215.23235148064941</v>
      </c>
      <c r="CE67" s="59">
        <f t="shared" si="40"/>
        <v>184.07239726900434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1.5986391393595765</v>
      </c>
      <c r="CL67" s="21">
        <f>EXP(-LN(2)/25)*CL66+(1-EXP(-LN(2)/25))/(LN(2)/25)*Calculateur!CG67*Calculateur!CI67*VLOOKUP('Données projet'!$B$12,Paramètres!$A$1:$I$89,3,0)*0.475*44/12</f>
        <v>3.0603497907085866</v>
      </c>
      <c r="CM67" s="21">
        <f>EXP(-LN(2)/2)*CM66+(1-EXP(-LN(2)/2))/(LN(2)/2)*CG67*CJ67*VLOOKUP('Données projet'!$B$12,Paramètres!$A$1:$I$89,3,0)*0.475*44/12</f>
        <v>7.5013553469055114E-5</v>
      </c>
      <c r="CN67" s="22">
        <f t="shared" si="12"/>
        <v>4.6590639436216321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</v>
      </c>
      <c r="CT67" s="12">
        <f>IF('Données projet'!$A$140&gt;35,CT66+CS67-DB66,IF(A67&lt;'Données projet'!$A$140,$CQ$205^A67,IF(A67='Données projet'!$A$140,'Données projet'!$B$140,CT66+CS67-DB66)))</f>
        <v>221.00000000000017</v>
      </c>
      <c r="CU67" s="17">
        <f>CT67*VLOOKUP('Données projet'!$B$13,Paramètres!$A$1:$I$89,3,0)*VLOOKUP('Données projet'!$B$13,Paramètres!$A$1:$I$89,5,0)</f>
        <v>224.09400000000019</v>
      </c>
      <c r="CV67" s="13">
        <f t="shared" si="41"/>
        <v>55.003739293082717</v>
      </c>
      <c r="CW67" s="20">
        <f t="shared" si="13"/>
        <v>486.095229268786</v>
      </c>
      <c r="CX67" s="59">
        <f t="shared" si="14"/>
        <v>779.42856260211931</v>
      </c>
      <c r="CY67" s="59">
        <f ca="1">AVERAGE(OFFSET($CX$3,0,0,'Données projet'!$E$13+1,1))-AVERAGE(OFFSET($H$3,0,0,'Données projet'!$E$13+1,1))</f>
        <v>279.20364724206644</v>
      </c>
      <c r="CZ67" s="59">
        <f t="shared" si="42"/>
        <v>173.99850582760712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1.3560552214678805</v>
      </c>
      <c r="DH67" s="21">
        <f>EXP(-LN(2)/2)*DH66+(1-EXP(-LN(2)/2))/(LN(2)/2)*DB67*DE67*VLOOKUP('Données projet'!$B$13,Paramètres!$A$1:$I$89,3,0)*0.475*44/12</f>
        <v>5.2920060064098452E-5</v>
      </c>
      <c r="DI67" s="22">
        <f t="shared" si="15"/>
        <v>1.3561081415279446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</v>
      </c>
      <c r="DO67" s="12">
        <f>IF('Données projet'!$A$166&gt;35,DO66+DN67-DW66,IF(A67&lt;'Données projet'!$A$166,$DL$205^A67,IF(A67='Données projet'!$A$166,'Données projet'!$B$166,DO66+DN67-DW66)))</f>
        <v>221.00000000000017</v>
      </c>
      <c r="DP67" s="17">
        <f>DO67*VLOOKUP('Données projet'!$B$14,Paramètres!$A$1:$I$89,3,0)*VLOOKUP('Données projet'!$B$14,Paramètres!$A$1:$I$89,5,0)</f>
        <v>230.98920000000021</v>
      </c>
      <c r="DQ67" s="13">
        <f t="shared" si="43"/>
        <v>56.496516245657325</v>
      </c>
      <c r="DR67" s="20">
        <f t="shared" si="16"/>
        <v>500.70428912785354</v>
      </c>
      <c r="DS67" s="59">
        <f t="shared" si="17"/>
        <v>794.03762246118686</v>
      </c>
      <c r="DT67" s="59">
        <f ca="1">AVERAGE(OFFSET($DS$3,0,0,'Données projet'!$E$14+1,1))-AVERAGE(OFFSET($H$3,0,0,'Données projet'!$E$14+1,1))</f>
        <v>291.18074901939718</v>
      </c>
      <c r="DU67" s="59">
        <f t="shared" si="44"/>
        <v>181.05123751753774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1.397779997513046</v>
      </c>
      <c r="EC67" s="21">
        <f>EXP(-LN(2)/2)*EC66+(1-EXP(-LN(2)/2))/(LN(2)/2)*DW67*DZ67*VLOOKUP('Données projet'!$B$14,Paramètres!$A$1:$I$89,3,0)*0.475*44/12</f>
        <v>5.4548369604532303E-5</v>
      </c>
      <c r="ED67" s="22">
        <f t="shared" si="18"/>
        <v>1.3978345458826507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168.08890945052406</v>
      </c>
      <c r="EP67" s="59">
        <f t="shared" si="46"/>
        <v>182.52462557642343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3.1682597447836458</v>
      </c>
      <c r="EW67" s="21">
        <f>EXP(-LN(2)/25)*EW66+(1-EXP(-LN(2)/25))/(LN(2)/25)*Calculateur!ER67*Calculateur!ET67*VLOOKUP('Données projet'!$B$15,Paramètres!$A$1:$I$89,3,0)*0.475*44/12</f>
        <v>4.8038933433441304</v>
      </c>
      <c r="EX67" s="21">
        <f>EXP(-LN(2)/2)*EX66+(1-EXP(-LN(2)/2))/(LN(2)/2)*ER67*EU67*VLOOKUP('Données projet'!$B$15,Paramètres!$A$1:$I$89,3,0)*0.475*44/12</f>
        <v>4.1547335617631262E-5</v>
      </c>
      <c r="EY67" s="22">
        <f t="shared" si="21"/>
        <v>7.972194635463393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4.0999999999999996</v>
      </c>
      <c r="FE67" s="12">
        <f>IF('Données projet'!$A$218&gt;35,FE66+FD67-FM66,IF(A67&lt;'Données projet'!$A$218,$FB$205^A67,IF(A67='Données projet'!$A$218,'Données projet'!$B$218,FE66+FD67-FM66)))</f>
        <v>249.39999999999972</v>
      </c>
      <c r="FF67" s="17">
        <f>FE67*VLOOKUP('Données projet'!$B$16,Paramètres!$A$1:$I$89,3,0)*VLOOKUP('Données projet'!$B$16,Paramètres!$A$1:$I$89,5,0)</f>
        <v>167.29751999999982</v>
      </c>
      <c r="FG67" s="13">
        <f t="shared" si="47"/>
        <v>42.48419463117073</v>
      </c>
      <c r="FH67" s="20">
        <f t="shared" si="22"/>
        <v>365.36981964928873</v>
      </c>
      <c r="FI67" s="59">
        <f t="shared" si="23"/>
        <v>658.70315298262199</v>
      </c>
      <c r="FJ67" s="59">
        <f ca="1">AVERAGE(OFFSET($FI$3,0,0,'Données projet'!$E$16+1,1))-AVERAGE(OFFSET($H$3,0,0,'Données projet'!$E$16+1,1))</f>
        <v>156.63226020379989</v>
      </c>
      <c r="FK67" s="59">
        <f t="shared" si="48"/>
        <v>196.0481096619543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3.3776630848359535</v>
      </c>
      <c r="FS67" s="21">
        <f>EXP(-LN(2)/2)*FS66+(1-EXP(-LN(2)/2))/(LN(2)/2)*FM67*FP67*VLOOKUP('Données projet'!$B$16,Paramètres!$A$1:$I$89,3,0)*0.475*44/12</f>
        <v>6.9225088517203091E-5</v>
      </c>
      <c r="FT67" s="22">
        <f t="shared" si="24"/>
        <v>3.3777323099244705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9.1999999999999993</v>
      </c>
      <c r="FZ67" s="12">
        <f>IF('Données projet'!$A$244&gt;35,FZ66+FY67-GH66,IF(A67&lt;'Données projet'!$A$244,$FW$205^A67,IF(A67='Données projet'!$A$244,'Données projet'!$B$244,FZ66+FY67-GH66)))</f>
        <v>366.79999999999973</v>
      </c>
      <c r="GA67" s="17">
        <f>FZ67*VLOOKUP('Données projet'!$B$17,Paramètres!$A$1:$I$89,3,0)*VLOOKUP('Données projet'!$B$17,Paramètres!$A$1:$I$89,5,0)</f>
        <v>219.34639999999987</v>
      </c>
      <c r="GB67" s="13">
        <f t="shared" si="49"/>
        <v>53.972804400117923</v>
      </c>
      <c r="GC67" s="20">
        <f t="shared" si="25"/>
        <v>476.03094766353843</v>
      </c>
      <c r="GD67" s="59">
        <f t="shared" si="26"/>
        <v>769.36428099687168</v>
      </c>
      <c r="GE67" s="59">
        <f ca="1">AVERAGE(OFFSET($GD$3,0,0,'Données projet'!$E$17+1,1))-AVERAGE(OFFSET($H$3,0,0,'Données projet'!$E$17+1,1))</f>
        <v>216.94426559495264</v>
      </c>
      <c r="GF67" s="59">
        <f t="shared" si="50"/>
        <v>225.33715877618704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5.0058455171621912</v>
      </c>
      <c r="GN67" s="21">
        <f>EXP(-LN(2)/2)*GN66+(1-EXP(-LN(2)/2))/(LN(2)/2)*GH67*GK67*VLOOKUP('Données projet'!$B$17,Paramètres!$A$1:$I$89,3,0)*0.475*44/12</f>
        <v>1.8104064845137765E-4</v>
      </c>
      <c r="GO67" s="21">
        <f t="shared" si="27"/>
        <v>5.0060265578106424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7</v>
      </c>
      <c r="GU67" s="12">
        <f>IF('Données projet'!$A$270&gt;35,GU66+GT67-HC66,IF(A67&lt;'Données projet'!$A$270,$GR$205^A67,IF(A67='Données projet'!$A$270,'Données projet'!$B$270,GU66+GT67-HC66)))</f>
        <v>221.00000000000017</v>
      </c>
      <c r="GV67" s="17">
        <f>GU67*VLOOKUP('Données projet'!$B$18,Paramètres!$A$1:$I$89,3,0)*VLOOKUP('Données projet'!$B$18,Paramètres!$A$1:$I$89,5,0)</f>
        <v>213.75120000000015</v>
      </c>
      <c r="GW67" s="13">
        <f t="shared" si="51"/>
        <v>52.75447068116425</v>
      </c>
      <c r="GX67" s="20">
        <f t="shared" si="28"/>
        <v>464.16404310302801</v>
      </c>
      <c r="GY67" s="59">
        <f t="shared" si="29"/>
        <v>757.49737643636126</v>
      </c>
      <c r="GZ67" s="59">
        <f ca="1">AVERAGE(OFFSET($GY$3,0,0,'Données projet'!$E$18+1,1))-AVERAGE(OFFSET($H$3,0,0,'Données projet'!$E$18+1,1))</f>
        <v>261.22357949323879</v>
      </c>
      <c r="HA67" s="59">
        <f t="shared" si="52"/>
        <v>163.41029152029387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1.293468057400132</v>
      </c>
      <c r="HI67" s="21">
        <f>EXP(-LN(2)/2)*HI66+(1-EXP(-LN(2)/2))/(LN(2)/2)*HC67*HF67*VLOOKUP('Données projet'!$B$18,Paramètres!$A$1:$I$89,3,0)*0.475*44/12</f>
        <v>5.0477595753447752E-5</v>
      </c>
      <c r="HJ67" s="22">
        <f t="shared" si="30"/>
        <v>1.2935185349958855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237.22177246688199</v>
      </c>
      <c r="T68" s="59">
        <f t="shared" si="34"/>
        <v>149.27472147904302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4.8</v>
      </c>
      <c r="AI68" s="13">
        <f>IF('Données projet'!$A$62&gt;35,AI67+AH68-AQ67,IF(A68&lt;'Données projet'!$A$62,$AF$205^A68,IF(A68='Données projet'!$A$62,'Données projet'!$B$62,AI67+AH68-AQ67)))</f>
        <v>212.99999999999991</v>
      </c>
      <c r="AJ68" s="13">
        <f>AI68*VLOOKUP('Données projet'!$B$10,Paramètres!$A$1:$I$89,3,0)*VLOOKUP('Données projet'!$B$10,Paramètres!$A$1:$I$89,5,0)</f>
        <v>186.07679999999993</v>
      </c>
      <c r="AK68" s="13">
        <f t="shared" si="35"/>
        <v>46.671538591528673</v>
      </c>
      <c r="AL68" s="20">
        <f t="shared" ref="AL68:AL131" si="58">(AJ68+AK68)*0.475*44/12</f>
        <v>405.37002304691231</v>
      </c>
      <c r="AM68" s="59">
        <f t="shared" ref="AM68:AM131" si="59">AL68+(AD68+AE68)*44/12</f>
        <v>698.70335638024562</v>
      </c>
      <c r="AN68" s="59">
        <f ca="1">AVERAGE(OFFSET($AM$3,0,0,'Données projet'!$E$10+1,1))-AVERAGE(OFFSET($H$3,0,0,'Données projet'!$E$10+1,1))</f>
        <v>210.07838338464626</v>
      </c>
      <c r="AO68" s="59">
        <f t="shared" si="36"/>
        <v>241.76003724236273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2.6501089188189622</v>
      </c>
      <c r="AV68" s="21">
        <f>EXP(-LN(2)/25)*AV67+(1-EXP(-LN(2)/25))/(LN(2)/25)*Calculateur!AQ68*Calculateur!AS68*VLOOKUP('Données projet'!$B$10,Paramètres!$A$1:$I$89,3,0)*0.475*44/12</f>
        <v>5.1382438930660204</v>
      </c>
      <c r="AW68" s="21">
        <f>EXP(-LN(2)/2)*AW67+(1-EXP(-LN(2)/2))/(LN(2)/2)*AQ68*AT68*VLOOKUP('Données projet'!$B$10,Paramètres!$A$1:$I$89,3,0)*0.475*44/12</f>
        <v>8.6162586582537025E-5</v>
      </c>
      <c r="AX68" s="21">
        <f t="shared" ref="AX68:AX131" si="60">SUM(AU68:AW68)</f>
        <v>7.788438974471565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</v>
      </c>
      <c r="BD68" s="12">
        <f>IF('Données projet'!$A$88&gt;35,BD67+BC68-BL67,IF(A68&lt;'Données projet'!$A$88,$BA$205^A68,IF(A68='Données projet'!$A$88,'Données projet'!$B$88,BD67+BC68-BL67)))</f>
        <v>338.00000000000034</v>
      </c>
      <c r="BE68" s="13">
        <f>BD68*VLOOKUP('Données projet'!$B$11,Paramètres!$A$1:$I$89,3,0)*VLOOKUP('Données projet'!$B$11,Paramètres!$A$1:$I$89,5,0)</f>
        <v>210.91200000000021</v>
      </c>
      <c r="BF68" s="13">
        <f t="shared" si="37"/>
        <v>52.134830352456831</v>
      </c>
      <c r="BG68" s="20">
        <f t="shared" ref="BG68:BG131" si="61">(BE68+BF68)*0.475*44/12</f>
        <v>458.13989619719604</v>
      </c>
      <c r="BH68" s="59">
        <f t="shared" ref="BH68:BH131" si="62">BG68+(AY68+AZ68)*44/12</f>
        <v>751.47322953052935</v>
      </c>
      <c r="BI68" s="59">
        <f ca="1">AVERAGE(OFFSET($BH$3,0,0,'Données projet'!$E$11+1,1))-AVERAGE(OFFSET($H$3,0,0,'Données projet'!$E$11+1,1))</f>
        <v>209.93608079129638</v>
      </c>
      <c r="BJ68" s="59">
        <f t="shared" si="38"/>
        <v>240.15652428700969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3.4766601248159406</v>
      </c>
      <c r="BQ68" s="21">
        <f>EXP(-LN(2)/25)*BQ67+(1-EXP(-LN(2)/25))/(LN(2)/25)*Calculateur!BL68*Calculateur!BN68*VLOOKUP('Données projet'!$B$11,Paramètres!$A$1:$I$89,3,0)*0.475*44/12</f>
        <v>7.8771443081627641</v>
      </c>
      <c r="BR68" s="21">
        <f>EXP(-LN(2)/2)*BR67+(1-EXP(-LN(2)/2))/(LN(2)/2)*BL68*BO68*VLOOKUP('Données projet'!$B$11,Paramètres!$A$1:$I$89,3,0)*0.475*44/12</f>
        <v>1.0892534302035086E-4</v>
      </c>
      <c r="BS68" s="22">
        <f t="shared" ref="BS68:BS131" si="63">SUM(BP68:BR68)</f>
        <v>11.353913358321726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368.89999999999986</v>
      </c>
      <c r="BZ68" s="13">
        <f>BY68*VLOOKUP('Données projet'!$B$12,Paramètres!$A$1:$I$89,3,0)*VLOOKUP('Données projet'!$B$12,Paramètres!$A$1:$I$89,5,0)</f>
        <v>172.64519999999993</v>
      </c>
      <c r="CA68" s="13">
        <f t="shared" si="39"/>
        <v>43.681926966241704</v>
      </c>
      <c r="CB68" s="20">
        <f t="shared" ref="CB68:CB131" si="64">(BZ68+CA68)*0.475*44/12</f>
        <v>376.76974613287081</v>
      </c>
      <c r="CC68" s="59">
        <f t="shared" ref="CC68:CC131" si="65">CB68+(BT68+BU68)*44/12</f>
        <v>670.10307946620412</v>
      </c>
      <c r="CD68" s="59">
        <f ca="1">AVERAGE(OFFSET($CC$3,0,0,'Données projet'!$E$12+1,1))-AVERAGE(OFFSET($H$3,0,0,'Données projet'!$E$12+1,1))</f>
        <v>215.23235148064941</v>
      </c>
      <c r="CE68" s="59">
        <f t="shared" si="40"/>
        <v>184.07239726900434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1.5672908009103297</v>
      </c>
      <c r="CL68" s="21">
        <f>EXP(-LN(2)/25)*CL67+(1-EXP(-LN(2)/25))/(LN(2)/25)*Calculateur!CG68*Calculateur!CI68*VLOOKUP('Données projet'!$B$12,Paramètres!$A$1:$I$89,3,0)*0.475*44/12</f>
        <v>2.9766643647448592</v>
      </c>
      <c r="CM68" s="21">
        <f>EXP(-LN(2)/2)*CM67+(1-EXP(-LN(2)/2))/(LN(2)/2)*CG68*CJ68*VLOOKUP('Données projet'!$B$12,Paramètres!$A$1:$I$89,3,0)*0.475*44/12</f>
        <v>5.3042592338868538E-5</v>
      </c>
      <c r="CN68" s="22">
        <f t="shared" ref="CN68:CN131" si="66">SUM(CK68:CM68)</f>
        <v>4.5440082082475275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</v>
      </c>
      <c r="CT68" s="12">
        <f>IF('Données projet'!$A$140&gt;35,CT67+CS68-DB67,IF(A68&lt;'Données projet'!$A$140,$CQ$205^A68,IF(A68='Données projet'!$A$140,'Données projet'!$B$140,CT67+CS68-DB67)))</f>
        <v>228.00000000000017</v>
      </c>
      <c r="CU68" s="17">
        <f>CT68*VLOOKUP('Données projet'!$B$13,Paramètres!$A$1:$I$89,3,0)*VLOOKUP('Données projet'!$B$13,Paramètres!$A$1:$I$89,5,0)</f>
        <v>231.19200000000018</v>
      </c>
      <c r="CV68" s="13">
        <f t="shared" si="41"/>
        <v>56.540342208595277</v>
      </c>
      <c r="CW68" s="20">
        <f t="shared" ref="CW68:CW131" si="67">(CU68+CV68)*0.475*44/12</f>
        <v>501.13382934663713</v>
      </c>
      <c r="CX68" s="59">
        <f t="shared" ref="CX68:CX131" si="68">CW68+(CO68+CP68)*44/12</f>
        <v>794.46716267997044</v>
      </c>
      <c r="CY68" s="59">
        <f ca="1">AVERAGE(OFFSET($CX$3,0,0,'Données projet'!$E$13+1,1))-AVERAGE(OFFSET($H$3,0,0,'Données projet'!$E$13+1,1))</f>
        <v>279.20364724206644</v>
      </c>
      <c r="CZ68" s="59">
        <f t="shared" si="42"/>
        <v>173.99850582760712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1.3189738201249965</v>
      </c>
      <c r="DH68" s="21">
        <f>EXP(-LN(2)/2)*DH67+(1-EXP(-LN(2)/2))/(LN(2)/2)*DB68*DE68*VLOOKUP('Données projet'!$B$13,Paramètres!$A$1:$I$89,3,0)*0.475*44/12</f>
        <v>3.7420133332123416E-5</v>
      </c>
      <c r="DI68" s="22">
        <f t="shared" ref="DI68:DI131" si="69">SUM(DF68:DH68)</f>
        <v>1.3190112402583287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7</v>
      </c>
      <c r="DO68" s="12">
        <f>IF('Données projet'!$A$166&gt;35,DO67+DN68-DW67,IF(A68&lt;'Données projet'!$A$166,$DL$205^A68,IF(A68='Données projet'!$A$166,'Données projet'!$B$166,DO67+DN68-DW67)))</f>
        <v>228.00000000000017</v>
      </c>
      <c r="DP68" s="17">
        <f>DO68*VLOOKUP('Données projet'!$B$14,Paramètres!$A$1:$I$89,3,0)*VLOOKUP('Données projet'!$B$14,Paramètres!$A$1:$I$89,5,0)</f>
        <v>238.30560000000023</v>
      </c>
      <c r="DQ68" s="13">
        <f t="shared" si="43"/>
        <v>58.07482187896715</v>
      </c>
      <c r="DR68" s="20">
        <f t="shared" ref="DR68:DR131" si="70">(DP68+DQ68)*0.475*44/12</f>
        <v>516.19590143920152</v>
      </c>
      <c r="DS68" s="59">
        <f t="shared" ref="DS68:DS131" si="71">DR68+(DJ68+DK68)*44/12</f>
        <v>809.52923477253489</v>
      </c>
      <c r="DT68" s="59">
        <f ca="1">AVERAGE(OFFSET($DS$3,0,0,'Données projet'!$E$14+1,1))-AVERAGE(OFFSET($H$3,0,0,'Données projet'!$E$14+1,1))</f>
        <v>291.18074901939718</v>
      </c>
      <c r="DU68" s="59">
        <f t="shared" si="44"/>
        <v>181.05123751753774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1.3595576299749963</v>
      </c>
      <c r="EC68" s="21">
        <f>EXP(-LN(2)/2)*EC67+(1-EXP(-LN(2)/2))/(LN(2)/2)*DW68*DZ68*VLOOKUP('Données projet'!$B$14,Paramètres!$A$1:$I$89,3,0)*0.475*44/12</f>
        <v>3.8571522050034943E-5</v>
      </c>
      <c r="ED68" s="22">
        <f t="shared" ref="ED68:ED131" si="72">SUM(EA68:EC68)</f>
        <v>1.3595962014970464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168.08890945052406</v>
      </c>
      <c r="EP68" s="59">
        <f t="shared" si="46"/>
        <v>182.52462557642343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3.1061321036360696</v>
      </c>
      <c r="EW68" s="21">
        <f>EXP(-LN(2)/25)*EW67+(1-EXP(-LN(2)/25))/(LN(2)/25)*Calculateur!ER68*Calculateur!ET68*VLOOKUP('Données projet'!$B$15,Paramètres!$A$1:$I$89,3,0)*0.475*44/12</f>
        <v>4.6725306272446137</v>
      </c>
      <c r="EX68" s="21">
        <f>EXP(-LN(2)/2)*EX67+(1-EXP(-LN(2)/2))/(LN(2)/2)*ER68*EU68*VLOOKUP('Données projet'!$B$15,Paramètres!$A$1:$I$89,3,0)*0.475*44/12</f>
        <v>2.9378402755460444E-5</v>
      </c>
      <c r="EY68" s="22">
        <f t="shared" ref="EY68:EY131" si="75">SUM(EV68:EX68)</f>
        <v>7.7786921092834387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4.0999999999999996</v>
      </c>
      <c r="FE68" s="12">
        <f>IF('Données projet'!$A$218&gt;35,FE67+FD68-FM67,IF(A68&lt;'Données projet'!$A$218,$FB$205^A68,IF(A68='Données projet'!$A$218,'Données projet'!$B$218,FE67+FD68-FM67)))</f>
        <v>253.49999999999972</v>
      </c>
      <c r="FF68" s="17">
        <f>FE68*VLOOKUP('Données projet'!$B$16,Paramètres!$A$1:$I$89,3,0)*VLOOKUP('Données projet'!$B$16,Paramètres!$A$1:$I$89,5,0)</f>
        <v>170.04779999999982</v>
      </c>
      <c r="FG68" s="13">
        <f t="shared" si="47"/>
        <v>43.100729020040831</v>
      </c>
      <c r="FH68" s="20">
        <f t="shared" ref="FH68:FH131" si="76">(FF68+FG68)*0.475*44/12</f>
        <v>371.23368804323746</v>
      </c>
      <c r="FI68" s="59">
        <f t="shared" ref="FI68:FI131" si="77">FH68+(EZ68+FA68)*44/12</f>
        <v>664.56702137657078</v>
      </c>
      <c r="FJ68" s="59">
        <f ca="1">AVERAGE(OFFSET($FI$3,0,0,'Données projet'!$E$16+1,1))-AVERAGE(OFFSET($H$3,0,0,'Données projet'!$E$16+1,1))</f>
        <v>156.63226020379989</v>
      </c>
      <c r="FK68" s="59">
        <f t="shared" si="48"/>
        <v>196.0481096619543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3.2853007101575322</v>
      </c>
      <c r="FS68" s="21">
        <f>EXP(-LN(2)/2)*FS67+(1-EXP(-LN(2)/2))/(LN(2)/2)*FM68*FP68*VLOOKUP('Données projet'!$B$16,Paramètres!$A$1:$I$89,3,0)*0.475*44/12</f>
        <v>4.894952951875331E-5</v>
      </c>
      <c r="FT68" s="22">
        <f t="shared" ref="FT68:FT131" si="78">SUM(FQ68:FS68)</f>
        <v>3.2853496596870508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9.1999999999999993</v>
      </c>
      <c r="FZ68" s="12">
        <f>IF('Données projet'!$A$244&gt;35,FZ67+FY68-GH67,IF(A68&lt;'Données projet'!$A$244,$FW$205^A68,IF(A68='Données projet'!$A$244,'Données projet'!$B$244,FZ67+FY68-GH67)))</f>
        <v>375.99999999999972</v>
      </c>
      <c r="GA68" s="17">
        <f>FZ68*VLOOKUP('Données projet'!$B$17,Paramètres!$A$1:$I$89,3,0)*VLOOKUP('Données projet'!$B$17,Paramètres!$A$1:$I$89,5,0)</f>
        <v>224.84799999999984</v>
      </c>
      <c r="GB68" s="13">
        <f t="shared" si="49"/>
        <v>55.167234148809698</v>
      </c>
      <c r="GC68" s="20">
        <f t="shared" ref="GC68:GC131" si="79">(GA68+GB68)*0.475*44/12</f>
        <v>487.69319947584319</v>
      </c>
      <c r="GD68" s="59">
        <f t="shared" ref="GD68:GD131" si="80">GC68+(FU68+FV68)*44/12</f>
        <v>781.0265328091765</v>
      </c>
      <c r="GE68" s="59">
        <f ca="1">AVERAGE(OFFSET($GD$3,0,0,'Données projet'!$E$17+1,1))-AVERAGE(OFFSET($H$3,0,0,'Données projet'!$E$17+1,1))</f>
        <v>216.94426559495264</v>
      </c>
      <c r="GF68" s="59">
        <f t="shared" si="50"/>
        <v>225.33715877618704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4.868960408249416</v>
      </c>
      <c r="GN68" s="21">
        <f>EXP(-LN(2)/2)*GN67+(1-EXP(-LN(2)/2))/(LN(2)/2)*GH68*GK68*VLOOKUP('Données projet'!$B$17,Paramètres!$A$1:$I$89,3,0)*0.475*44/12</f>
        <v>1.2801507019037897E-4</v>
      </c>
      <c r="GO68" s="21">
        <f t="shared" ref="GO68:GO131" si="81">SUM(GL68:GN68)</f>
        <v>4.8690884233196066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7</v>
      </c>
      <c r="GU68" s="12">
        <f>IF('Données projet'!$A$270&gt;35,GU67+GT68-HC67,IF(A68&lt;'Données projet'!$A$270,$GR$205^A68,IF(A68='Données projet'!$A$270,'Données projet'!$B$270,GU67+GT68-HC67)))</f>
        <v>228.00000000000017</v>
      </c>
      <c r="GV68" s="17">
        <f>GU68*VLOOKUP('Données projet'!$B$18,Paramètres!$A$1:$I$89,3,0)*VLOOKUP('Données projet'!$B$18,Paramètres!$A$1:$I$89,5,0)</f>
        <v>220.52160000000015</v>
      </c>
      <c r="GW68" s="13">
        <f t="shared" si="51"/>
        <v>54.228237274069159</v>
      </c>
      <c r="GX68" s="20">
        <f t="shared" ref="GX68:GX131" si="82">(GV68+GW68)*0.475*44/12</f>
        <v>478.5226332523373</v>
      </c>
      <c r="GY68" s="59">
        <f t="shared" ref="GY68:GY131" si="83">GX68+(GP68+GQ68)*44/12</f>
        <v>771.85596658567056</v>
      </c>
      <c r="GZ68" s="59">
        <f ca="1">AVERAGE(OFFSET($GY$3,0,0,'Données projet'!$E$18+1,1))-AVERAGE(OFFSET($H$3,0,0,'Données projet'!$E$18+1,1))</f>
        <v>261.22357949323879</v>
      </c>
      <c r="HA68" s="59">
        <f t="shared" si="52"/>
        <v>163.41029152029387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1.2580981053499967</v>
      </c>
      <c r="HI68" s="21">
        <f>EXP(-LN(2)/2)*HI67+(1-EXP(-LN(2)/2))/(LN(2)/2)*HC68*HF68*VLOOKUP('Données projet'!$B$18,Paramètres!$A$1:$I$89,3,0)*0.475*44/12</f>
        <v>3.5693050255256179E-5</v>
      </c>
      <c r="HJ68" s="22">
        <f t="shared" ref="HJ68:HJ131" si="84">SUM(HG68:HI68)</f>
        <v>1.2581337984002519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237.22177246688199</v>
      </c>
      <c r="T69" s="59">
        <f t="shared" ref="T69:T132" si="88">$T$3</f>
        <v>149.27472147904302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217.79999999999993</v>
      </c>
      <c r="AJ69" s="13">
        <f>AI69*VLOOKUP('Données projet'!$B$10,Paramètres!$A$1:$I$89,3,0)*VLOOKUP('Données projet'!$B$10,Paramètres!$A$1:$I$89,5,0)</f>
        <v>190.27007999999998</v>
      </c>
      <c r="AK69" s="13">
        <f t="shared" ref="AK69:AK132" si="89">EXP(-1.0587+0.8836*LN(AJ69)+0.284)</f>
        <v>47.599658767320413</v>
      </c>
      <c r="AL69" s="20">
        <f t="shared" si="58"/>
        <v>414.28979501974965</v>
      </c>
      <c r="AM69" s="59">
        <f t="shared" si="59"/>
        <v>707.62312835308296</v>
      </c>
      <c r="AN69" s="59">
        <f ca="1">AVERAGE(OFFSET($AM$3,0,0,'Données projet'!$E$10+1,1))-AVERAGE(OFFSET($H$3,0,0,'Données projet'!$E$10+1,1))</f>
        <v>210.07838338464626</v>
      </c>
      <c r="AO69" s="59">
        <f t="shared" ref="AO69:AO132" si="90">$AO$3</f>
        <v>241.76003724236273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2.5981418993277559</v>
      </c>
      <c r="AV69" s="21">
        <f>EXP(-LN(2)/25)*AV68+(1-EXP(-LN(2)/25))/(LN(2)/25)*Calculateur!AQ69*Calculateur!AS69*VLOOKUP('Données projet'!$B$10,Paramètres!$A$1:$I$89,3,0)*0.475*44/12</f>
        <v>4.9977383436016272</v>
      </c>
      <c r="AW69" s="21">
        <f>EXP(-LN(2)/2)*AW68+(1-EXP(-LN(2)/2))/(LN(2)/2)*AQ69*AT69*VLOOKUP('Données projet'!$B$10,Paramètres!$A$1:$I$89,3,0)*0.475*44/12</f>
        <v>6.0926149257084969E-5</v>
      </c>
      <c r="AX69" s="21">
        <f t="shared" si="60"/>
        <v>7.5959411690786398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344.80000000000035</v>
      </c>
      <c r="BE69" s="13">
        <f>BD69*VLOOKUP('Données projet'!$B$11,Paramètres!$A$1:$I$89,3,0)*VLOOKUP('Données projet'!$B$11,Paramètres!$A$1:$I$89,5,0)</f>
        <v>215.15520000000021</v>
      </c>
      <c r="BF69" s="13">
        <f t="shared" ref="BF69:BF132" si="91">EXP(-1.0587+0.8836*LN(BE69)+0.284)</f>
        <v>53.060531597402857</v>
      </c>
      <c r="BG69" s="20">
        <f t="shared" si="61"/>
        <v>467.14239919881032</v>
      </c>
      <c r="BH69" s="59">
        <f t="shared" si="62"/>
        <v>760.47573253214364</v>
      </c>
      <c r="BI69" s="59">
        <f ca="1">AVERAGE(OFFSET($BH$3,0,0,'Données projet'!$E$11+1,1))-AVERAGE(OFFSET($H$3,0,0,'Données projet'!$E$11+1,1))</f>
        <v>209.93608079129638</v>
      </c>
      <c r="BJ69" s="59">
        <f t="shared" ref="BJ69:BJ132" si="92">$BJ$3</f>
        <v>240.15652428700969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3.4084849403215887</v>
      </c>
      <c r="BQ69" s="21">
        <f>EXP(-LN(2)/25)*BQ68+(1-EXP(-LN(2)/25))/(LN(2)/25)*Calculateur!BL69*Calculateur!BN69*VLOOKUP('Données projet'!$B$11,Paramètres!$A$1:$I$89,3,0)*0.475*44/12</f>
        <v>7.6617433828150379</v>
      </c>
      <c r="BR69" s="21">
        <f>EXP(-LN(2)/2)*BR68+(1-EXP(-LN(2)/2))/(LN(2)/2)*BL69*BO69*VLOOKUP('Données projet'!$B$11,Paramètres!$A$1:$I$89,3,0)*0.475*44/12</f>
        <v>7.7021848692760864E-5</v>
      </c>
      <c r="BS69" s="22">
        <f t="shared" si="63"/>
        <v>11.07030534498532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384.39999999999986</v>
      </c>
      <c r="BZ69" s="13">
        <f>BY69*VLOOKUP('Données projet'!$B$12,Paramètres!$A$1:$I$89,3,0)*VLOOKUP('Données projet'!$B$12,Paramètres!$A$1:$I$89,5,0)</f>
        <v>179.89919999999995</v>
      </c>
      <c r="CA69" s="13">
        <f t="shared" ref="CA69:CA132" si="93">EXP(-1.0587+0.8836*LN(BZ69)+0.284)</f>
        <v>45.299759292628586</v>
      </c>
      <c r="CB69" s="20">
        <f t="shared" si="64"/>
        <v>392.22152076799466</v>
      </c>
      <c r="CC69" s="59">
        <f t="shared" si="65"/>
        <v>685.55485410132792</v>
      </c>
      <c r="CD69" s="59">
        <f ca="1">AVERAGE(OFFSET($CC$3,0,0,'Données projet'!$E$12+1,1))-AVERAGE(OFFSET($H$3,0,0,'Données projet'!$E$12+1,1))</f>
        <v>215.23235148064941</v>
      </c>
      <c r="CE69" s="59">
        <f t="shared" ref="CE69:CE132" si="94">$CE$3</f>
        <v>184.07239726900434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1.5365571842574741</v>
      </c>
      <c r="CL69" s="21">
        <f>EXP(-LN(2)/25)*CL68+(1-EXP(-LN(2)/25))/(LN(2)/25)*Calculateur!CG69*Calculateur!CI69*VLOOKUP('Données projet'!$B$12,Paramètres!$A$1:$I$89,3,0)*0.475*44/12</f>
        <v>2.8952673211549351</v>
      </c>
      <c r="CM69" s="21">
        <f>EXP(-LN(2)/2)*CM68+(1-EXP(-LN(2)/2))/(LN(2)/2)*CG69*CJ69*VLOOKUP('Données projet'!$B$12,Paramètres!$A$1:$I$89,3,0)*0.475*44/12</f>
        <v>3.7506776734527557E-5</v>
      </c>
      <c r="CN69" s="22">
        <f t="shared" si="66"/>
        <v>4.4318620121891437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</v>
      </c>
      <c r="CT69" s="12">
        <f>IF('Données projet'!$A$140&gt;35,CT68+CS69-DB68,IF(A69&lt;'Données projet'!$A$140,$CQ$205^A69,IF(A69='Données projet'!$A$140,'Données projet'!$B$140,CT68+CS69-DB68)))</f>
        <v>235.00000000000017</v>
      </c>
      <c r="CU69" s="17">
        <f>CT69*VLOOKUP('Données projet'!$B$13,Paramètres!$A$1:$I$89,3,0)*VLOOKUP('Données projet'!$B$13,Paramètres!$A$1:$I$89,5,0)</f>
        <v>238.29000000000019</v>
      </c>
      <c r="CV69" s="13">
        <f t="shared" ref="CV69:CV132" si="95">EXP(-1.0587+0.8836*LN(CU69)+0.284)</f>
        <v>58.071462681001563</v>
      </c>
      <c r="CW69" s="20">
        <f t="shared" si="67"/>
        <v>516.16288083607799</v>
      </c>
      <c r="CX69" s="59">
        <f t="shared" si="68"/>
        <v>809.49621416941136</v>
      </c>
      <c r="CY69" s="59">
        <f ca="1">AVERAGE(OFFSET($CX$3,0,0,'Données projet'!$E$13+1,1))-AVERAGE(OFFSET($H$3,0,0,'Données projet'!$E$13+1,1))</f>
        <v>279.20364724206644</v>
      </c>
      <c r="CZ69" s="59">
        <f t="shared" ref="CZ69:CZ132" si="96">$CZ$3</f>
        <v>173.99850582760712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1.2829064116518598</v>
      </c>
      <c r="DH69" s="21">
        <f>EXP(-LN(2)/2)*DH68+(1-EXP(-LN(2)/2))/(LN(2)/2)*DB69*DE69*VLOOKUP('Données projet'!$B$13,Paramètres!$A$1:$I$89,3,0)*0.475*44/12</f>
        <v>2.6460030032049226E-5</v>
      </c>
      <c r="DI69" s="22">
        <f t="shared" si="69"/>
        <v>1.282932871681892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7</v>
      </c>
      <c r="DO69" s="12">
        <f>IF('Données projet'!$A$166&gt;35,DO68+DN69-DW68,IF(A69&lt;'Données projet'!$A$166,$DL$205^A69,IF(A69='Données projet'!$A$166,'Données projet'!$B$166,DO68+DN69-DW68)))</f>
        <v>235.00000000000017</v>
      </c>
      <c r="DP69" s="17">
        <f>DO69*VLOOKUP('Données projet'!$B$14,Paramètres!$A$1:$I$89,3,0)*VLOOKUP('Données projet'!$B$14,Paramètres!$A$1:$I$89,5,0)</f>
        <v>245.62200000000021</v>
      </c>
      <c r="DQ69" s="13">
        <f t="shared" ref="DQ69:DQ132" si="97">EXP(-1.0587+0.8836*LN(DP69)+0.284)</f>
        <v>59.647496278110026</v>
      </c>
      <c r="DR69" s="20">
        <f t="shared" si="70"/>
        <v>531.6777060177086</v>
      </c>
      <c r="DS69" s="59">
        <f t="shared" si="71"/>
        <v>825.01103935104197</v>
      </c>
      <c r="DT69" s="59">
        <f ca="1">AVERAGE(OFFSET($DS$3,0,0,'Données projet'!$E$14+1,1))-AVERAGE(OFFSET($H$3,0,0,'Données projet'!$E$14+1,1))</f>
        <v>291.18074901939718</v>
      </c>
      <c r="DU69" s="59">
        <f t="shared" ref="DU69:DU132" si="98">$DU$3</f>
        <v>181.05123751753774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1.3223804550873015</v>
      </c>
      <c r="EC69" s="21">
        <f>EXP(-LN(2)/2)*EC68+(1-EXP(-LN(2)/2))/(LN(2)/2)*DW69*DZ69*VLOOKUP('Données projet'!$B$14,Paramètres!$A$1:$I$89,3,0)*0.475*44/12</f>
        <v>2.7274184802266152E-5</v>
      </c>
      <c r="ED69" s="22">
        <f t="shared" si="72"/>
        <v>1.3224077292721037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168.08890945052406</v>
      </c>
      <c r="EP69" s="59">
        <f t="shared" ref="EP69:EP132" si="100">$EP$3</f>
        <v>182.52462557642343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3.0452227476372777</v>
      </c>
      <c r="EW69" s="21">
        <f>EXP(-LN(2)/25)*EW68+(1-EXP(-LN(2)/25))/(LN(2)/25)*Calculateur!ER69*Calculateur!ET69*VLOOKUP('Données projet'!$B$15,Paramètres!$A$1:$I$89,3,0)*0.475*44/12</f>
        <v>4.5447600315249028</v>
      </c>
      <c r="EX69" s="21">
        <f>EXP(-LN(2)/2)*EX68+(1-EXP(-LN(2)/2))/(LN(2)/2)*ER69*EU69*VLOOKUP('Données projet'!$B$15,Paramètres!$A$1:$I$89,3,0)*0.475*44/12</f>
        <v>2.0773667808815634E-5</v>
      </c>
      <c r="EY69" s="22">
        <f t="shared" si="75"/>
        <v>7.5900035528299901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4.0999999999999996</v>
      </c>
      <c r="FE69" s="12">
        <f>IF('Données projet'!$A$218&gt;35,FE68+FD69-FM68,IF(A69&lt;'Données projet'!$A$218,$FB$205^A69,IF(A69='Données projet'!$A$218,'Données projet'!$B$218,FE68+FD69-FM68)))</f>
        <v>257.59999999999974</v>
      </c>
      <c r="FF69" s="17">
        <f>FE69*VLOOKUP('Données projet'!$B$16,Paramètres!$A$1:$I$89,3,0)*VLOOKUP('Données projet'!$B$16,Paramètres!$A$1:$I$89,5,0)</f>
        <v>172.79807999999983</v>
      </c>
      <c r="FG69" s="13">
        <f t="shared" ref="FG69:FG132" si="101">EXP(-1.0587+0.8836*LN(FF69)+0.284)</f>
        <v>43.716103757502381</v>
      </c>
      <c r="FH69" s="20">
        <f t="shared" si="76"/>
        <v>377.09553671098297</v>
      </c>
      <c r="FI69" s="59">
        <f t="shared" si="77"/>
        <v>670.42887004431623</v>
      </c>
      <c r="FJ69" s="59">
        <f ca="1">AVERAGE(OFFSET($FI$3,0,0,'Données projet'!$E$16+1,1))-AVERAGE(OFFSET($H$3,0,0,'Données projet'!$E$16+1,1))</f>
        <v>156.63226020379989</v>
      </c>
      <c r="FK69" s="59">
        <f t="shared" ref="FK69:FK132" si="102">$FK$3</f>
        <v>196.0481096619543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3.1954639894718189</v>
      </c>
      <c r="FS69" s="21">
        <f>EXP(-LN(2)/2)*FS68+(1-EXP(-LN(2)/2))/(LN(2)/2)*FM69*FP69*VLOOKUP('Données projet'!$B$16,Paramètres!$A$1:$I$89,3,0)*0.475*44/12</f>
        <v>3.4612544258601545E-5</v>
      </c>
      <c r="FT69" s="22">
        <f t="shared" si="78"/>
        <v>3.1954986020160776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9.1999999999999993</v>
      </c>
      <c r="FZ69" s="12">
        <f>IF('Données projet'!$A$244&gt;35,FZ68+FY69-GH68,IF(A69&lt;'Données projet'!$A$244,$FW$205^A69,IF(A69='Données projet'!$A$244,'Données projet'!$B$244,FZ68+FY69-GH68)))</f>
        <v>385.1999999999997</v>
      </c>
      <c r="GA69" s="17">
        <f>FZ69*VLOOKUP('Données projet'!$B$17,Paramètres!$A$1:$I$89,3,0)*VLOOKUP('Données projet'!$B$17,Paramètres!$A$1:$I$89,5,0)</f>
        <v>230.34959999999984</v>
      </c>
      <c r="GB69" s="13">
        <f t="shared" ref="GB69:GB132" si="103">EXP(-1.0587+0.8836*LN(GA69)+0.284)</f>
        <v>56.358266541426261</v>
      </c>
      <c r="GC69" s="20">
        <f t="shared" si="79"/>
        <v>499.34953422631708</v>
      </c>
      <c r="GD69" s="59">
        <f t="shared" si="80"/>
        <v>792.68286755965039</v>
      </c>
      <c r="GE69" s="59">
        <f ca="1">AVERAGE(OFFSET($GD$3,0,0,'Données projet'!$E$17+1,1))-AVERAGE(OFFSET($H$3,0,0,'Données projet'!$E$17+1,1))</f>
        <v>216.94426559495264</v>
      </c>
      <c r="GF69" s="59">
        <f t="shared" ref="GF69:GF132" si="104">$GF$3</f>
        <v>225.33715877618704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4.7358184298383357</v>
      </c>
      <c r="GN69" s="21">
        <f>EXP(-LN(2)/2)*GN68+(1-EXP(-LN(2)/2))/(LN(2)/2)*GH69*GK69*VLOOKUP('Données projet'!$B$17,Paramètres!$A$1:$I$89,3,0)*0.475*44/12</f>
        <v>9.0520324225688826E-5</v>
      </c>
      <c r="GO69" s="21">
        <f t="shared" si="81"/>
        <v>4.7359089501625613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7</v>
      </c>
      <c r="GU69" s="12">
        <f>IF('Données projet'!$A$270&gt;35,GU68+GT69-HC68,IF(A69&lt;'Données projet'!$A$270,$GR$205^A69,IF(A69='Données projet'!$A$270,'Données projet'!$B$270,GU68+GT69-HC68)))</f>
        <v>235.00000000000017</v>
      </c>
      <c r="GV69" s="17">
        <f>GU69*VLOOKUP('Données projet'!$B$18,Paramètres!$A$1:$I$89,3,0)*VLOOKUP('Données projet'!$B$18,Paramètres!$A$1:$I$89,5,0)</f>
        <v>227.29200000000017</v>
      </c>
      <c r="GW69" s="13">
        <f t="shared" ref="GW69:GW132" si="105">EXP(-1.0587+0.8836*LN(GV69)+0.284)</f>
        <v>55.696745617483749</v>
      </c>
      <c r="GX69" s="20">
        <f t="shared" si="82"/>
        <v>492.87206528378442</v>
      </c>
      <c r="GY69" s="59">
        <f t="shared" si="83"/>
        <v>786.20539861711768</v>
      </c>
      <c r="GZ69" s="59">
        <f ca="1">AVERAGE(OFFSET($GY$3,0,0,'Données projet'!$E$18+1,1))-AVERAGE(OFFSET($H$3,0,0,'Données projet'!$E$18+1,1))</f>
        <v>261.22357949323879</v>
      </c>
      <c r="HA69" s="59">
        <f t="shared" ref="HA69:HA132" si="106">$HA$3</f>
        <v>163.41029152029387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1.223695346498697</v>
      </c>
      <c r="HI69" s="21">
        <f>EXP(-LN(2)/2)*HI68+(1-EXP(-LN(2)/2))/(LN(2)/2)*HC69*HF69*VLOOKUP('Données projet'!$B$18,Paramètres!$A$1:$I$89,3,0)*0.475*44/12</f>
        <v>2.5238797876723876E-5</v>
      </c>
      <c r="HJ69" s="22">
        <f t="shared" si="84"/>
        <v>1.2237205852965738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237.22177246688199</v>
      </c>
      <c r="T70" s="59">
        <f t="shared" si="88"/>
        <v>149.27472147904302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222.59999999999994</v>
      </c>
      <c r="AJ70" s="13">
        <f>AI70*VLOOKUP('Données projet'!$B$10,Paramètres!$A$1:$I$89,3,0)*VLOOKUP('Données projet'!$B$10,Paramètres!$A$1:$I$89,5,0)</f>
        <v>194.46335999999997</v>
      </c>
      <c r="AK70" s="13">
        <f t="shared" si="89"/>
        <v>48.525400894162644</v>
      </c>
      <c r="AL70" s="20">
        <f t="shared" si="58"/>
        <v>423.20542522399984</v>
      </c>
      <c r="AM70" s="59">
        <f t="shared" si="59"/>
        <v>716.53875855733315</v>
      </c>
      <c r="AN70" s="59">
        <f ca="1">AVERAGE(OFFSET($AM$3,0,0,'Données projet'!$E$10+1,1))-AVERAGE(OFFSET($H$3,0,0,'Données projet'!$E$10+1,1))</f>
        <v>210.07838338464626</v>
      </c>
      <c r="AO70" s="59">
        <f t="shared" si="90"/>
        <v>241.76003724236273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2.5471939213920201</v>
      </c>
      <c r="AV70" s="21">
        <f>EXP(-LN(2)/25)*AV69+(1-EXP(-LN(2)/25))/(LN(2)/25)*Calculateur!AQ70*Calculateur!AS70*VLOOKUP('Données projet'!$B$10,Paramètres!$A$1:$I$89,3,0)*0.475*44/12</f>
        <v>4.8610749257762036</v>
      </c>
      <c r="AW70" s="21">
        <f>EXP(-LN(2)/2)*AW69+(1-EXP(-LN(2)/2))/(LN(2)/2)*AQ70*AT70*VLOOKUP('Données projet'!$B$10,Paramètres!$A$1:$I$89,3,0)*0.475*44/12</f>
        <v>4.3081293291268519E-5</v>
      </c>
      <c r="AX70" s="21">
        <f t="shared" si="60"/>
        <v>7.4083119284615142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351.60000000000036</v>
      </c>
      <c r="BE70" s="13">
        <f>BD70*VLOOKUP('Données projet'!$B$11,Paramètres!$A$1:$I$89,3,0)*VLOOKUP('Données projet'!$B$11,Paramètres!$A$1:$I$89,5,0)</f>
        <v>219.39840000000024</v>
      </c>
      <c r="BF70" s="13">
        <f t="shared" si="91"/>
        <v>53.984110102082091</v>
      </c>
      <c r="BG70" s="20">
        <f t="shared" si="61"/>
        <v>476.14120509446002</v>
      </c>
      <c r="BH70" s="59">
        <f t="shared" si="62"/>
        <v>769.47453842779328</v>
      </c>
      <c r="BI70" s="59">
        <f ca="1">AVERAGE(OFFSET($BH$3,0,0,'Données projet'!$E$11+1,1))-AVERAGE(OFFSET($H$3,0,0,'Données projet'!$E$11+1,1))</f>
        <v>209.93608079129638</v>
      </c>
      <c r="BJ70" s="59">
        <f t="shared" si="92"/>
        <v>240.15652428700969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3.3416466296124145</v>
      </c>
      <c r="BQ70" s="21">
        <f>EXP(-LN(2)/25)*BQ69+(1-EXP(-LN(2)/25))/(LN(2)/25)*Calculateur!BL70*Calculateur!BN70*VLOOKUP('Données projet'!$B$11,Paramètres!$A$1:$I$89,3,0)*0.475*44/12</f>
        <v>7.4522326070983871</v>
      </c>
      <c r="BR70" s="21">
        <f>EXP(-LN(2)/2)*BR69+(1-EXP(-LN(2)/2))/(LN(2)/2)*BL70*BO70*VLOOKUP('Données projet'!$B$11,Paramètres!$A$1:$I$89,3,0)*0.475*44/12</f>
        <v>5.4462671510175429E-5</v>
      </c>
      <c r="BS70" s="22">
        <f t="shared" si="63"/>
        <v>10.793933699382311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399.89999999999986</v>
      </c>
      <c r="BZ70" s="13">
        <f>BY70*VLOOKUP('Données projet'!$B$12,Paramètres!$A$1:$I$89,3,0)*VLOOKUP('Données projet'!$B$12,Paramètres!$A$1:$I$89,5,0)</f>
        <v>187.15319999999994</v>
      </c>
      <c r="CA70" s="13">
        <f t="shared" si="93"/>
        <v>46.9100138680691</v>
      </c>
      <c r="CB70" s="20">
        <f t="shared" si="64"/>
        <v>407.66009748688685</v>
      </c>
      <c r="CC70" s="59">
        <f t="shared" si="65"/>
        <v>700.99343082022017</v>
      </c>
      <c r="CD70" s="59">
        <f ca="1">AVERAGE(OFFSET($CC$3,0,0,'Données projet'!$E$12+1,1))-AVERAGE(OFFSET($H$3,0,0,'Données projet'!$E$12+1,1))</f>
        <v>215.23235148064941</v>
      </c>
      <c r="CE70" s="59">
        <f t="shared" si="94"/>
        <v>184.07239726900434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1.5064262350815258</v>
      </c>
      <c r="CL70" s="21">
        <f>EXP(-LN(2)/25)*CL69+(1-EXP(-LN(2)/25))/(LN(2)/25)*Calculateur!CG70*Calculateur!CI70*VLOOKUP('Données projet'!$B$12,Paramètres!$A$1:$I$89,3,0)*0.475*44/12</f>
        <v>2.8160960840024623</v>
      </c>
      <c r="CM70" s="21">
        <f>EXP(-LN(2)/2)*CM69+(1-EXP(-LN(2)/2))/(LN(2)/2)*CG70*CJ70*VLOOKUP('Données projet'!$B$12,Paramètres!$A$1:$I$89,3,0)*0.475*44/12</f>
        <v>2.6521296169434269E-5</v>
      </c>
      <c r="CN70" s="22">
        <f t="shared" si="66"/>
        <v>4.3225488403801577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</v>
      </c>
      <c r="CT70" s="12">
        <f>IF('Données projet'!$A$140&gt;35,CT69+CS70-DB69,IF(A70&lt;'Données projet'!$A$140,$CQ$205^A70,IF(A70='Données projet'!$A$140,'Données projet'!$B$140,CT69+CS70-DB69)))</f>
        <v>242.00000000000017</v>
      </c>
      <c r="CU70" s="17">
        <f>CT70*VLOOKUP('Données projet'!$B$13,Paramètres!$A$1:$I$89,3,0)*VLOOKUP('Données projet'!$B$13,Paramètres!$A$1:$I$89,5,0)</f>
        <v>245.3880000000002</v>
      </c>
      <c r="CV70" s="13">
        <f t="shared" si="95"/>
        <v>59.597282764919626</v>
      </c>
      <c r="CW70" s="20">
        <f t="shared" si="67"/>
        <v>531.18270081556864</v>
      </c>
      <c r="CX70" s="59">
        <f t="shared" si="68"/>
        <v>824.51603414890201</v>
      </c>
      <c r="CY70" s="59">
        <f ca="1">AVERAGE(OFFSET($CX$3,0,0,'Données projet'!$E$13+1,1))-AVERAGE(OFFSET($H$3,0,0,'Données projet'!$E$13+1,1))</f>
        <v>279.20364724206644</v>
      </c>
      <c r="CZ70" s="59">
        <f t="shared" si="96"/>
        <v>173.99850582760712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1.2478252683601236</v>
      </c>
      <c r="DH70" s="21">
        <f>EXP(-LN(2)/2)*DH69+(1-EXP(-LN(2)/2))/(LN(2)/2)*DB70*DE70*VLOOKUP('Données projet'!$B$13,Paramètres!$A$1:$I$89,3,0)*0.475*44/12</f>
        <v>1.8710066666061708E-5</v>
      </c>
      <c r="DI70" s="22">
        <f t="shared" si="69"/>
        <v>1.2478439784267896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7</v>
      </c>
      <c r="DO70" s="12">
        <f>IF('Données projet'!$A$166&gt;35,DO69+DN70-DW69,IF(A70&lt;'Données projet'!$A$166,$DL$205^A70,IF(A70='Données projet'!$A$166,'Données projet'!$B$166,DO69+DN70-DW69)))</f>
        <v>242.00000000000017</v>
      </c>
      <c r="DP70" s="17">
        <f>DO70*VLOOKUP('Données projet'!$B$14,Paramètres!$A$1:$I$89,3,0)*VLOOKUP('Données projet'!$B$14,Paramètres!$A$1:$I$89,5,0)</f>
        <v>252.9384000000002</v>
      </c>
      <c r="DQ70" s="13">
        <f t="shared" si="97"/>
        <v>61.214726438585089</v>
      </c>
      <c r="DR70" s="20">
        <f t="shared" si="70"/>
        <v>547.15002854720262</v>
      </c>
      <c r="DS70" s="59">
        <f t="shared" si="71"/>
        <v>840.48336188053599</v>
      </c>
      <c r="DT70" s="59">
        <f ca="1">AVERAGE(OFFSET($DS$3,0,0,'Données projet'!$E$14+1,1))-AVERAGE(OFFSET($H$3,0,0,'Données projet'!$E$14+1,1))</f>
        <v>291.18074901939718</v>
      </c>
      <c r="DU70" s="59">
        <f t="shared" si="98"/>
        <v>181.05123751753774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1.2862198920019734</v>
      </c>
      <c r="EC70" s="21">
        <f>EXP(-LN(2)/2)*EC69+(1-EXP(-LN(2)/2))/(LN(2)/2)*DW70*DZ70*VLOOKUP('Données projet'!$B$14,Paramètres!$A$1:$I$89,3,0)*0.475*44/12</f>
        <v>1.9285761025017471E-5</v>
      </c>
      <c r="ED70" s="22">
        <f t="shared" si="72"/>
        <v>1.2862391777629985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168.08890945052406</v>
      </c>
      <c r="EP70" s="59">
        <f t="shared" si="100"/>
        <v>182.52462557642343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2.9855077869585833</v>
      </c>
      <c r="EW70" s="21">
        <f>EXP(-LN(2)/25)*EW69+(1-EXP(-LN(2)/25))/(LN(2)/25)*Calculateur!ER70*Calculateur!ET70*VLOOKUP('Données projet'!$B$15,Paramètres!$A$1:$I$89,3,0)*0.475*44/12</f>
        <v>4.4204833294643118</v>
      </c>
      <c r="EX70" s="21">
        <f>EXP(-LN(2)/2)*EX69+(1-EXP(-LN(2)/2))/(LN(2)/2)*ER70*EU70*VLOOKUP('Données projet'!$B$15,Paramètres!$A$1:$I$89,3,0)*0.475*44/12</f>
        <v>1.4689201377730224E-5</v>
      </c>
      <c r="EY70" s="22">
        <f t="shared" si="75"/>
        <v>7.4060058056242726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4.0999999999999996</v>
      </c>
      <c r="FE70" s="12">
        <f>IF('Données projet'!$A$218&gt;35,FE69+FD70-FM69,IF(A70&lt;'Données projet'!$A$218,$FB$205^A70,IF(A70='Données projet'!$A$218,'Données projet'!$B$218,FE69+FD70-FM69)))</f>
        <v>261.69999999999976</v>
      </c>
      <c r="FF70" s="17">
        <f>FE70*VLOOKUP('Données projet'!$B$16,Paramètres!$A$1:$I$89,3,0)*VLOOKUP('Données projet'!$B$16,Paramètres!$A$1:$I$89,5,0)</f>
        <v>175.54835999999983</v>
      </c>
      <c r="FG70" s="13">
        <f t="shared" si="101"/>
        <v>44.330339431831803</v>
      </c>
      <c r="FH70" s="20">
        <f t="shared" si="76"/>
        <v>382.95540151044014</v>
      </c>
      <c r="FI70" s="59">
        <f t="shared" si="77"/>
        <v>676.28873484377345</v>
      </c>
      <c r="FJ70" s="59">
        <f ca="1">AVERAGE(OFFSET($FI$3,0,0,'Données projet'!$E$16+1,1))-AVERAGE(OFFSET($H$3,0,0,'Données projet'!$E$16+1,1))</f>
        <v>156.63226020379989</v>
      </c>
      <c r="FK70" s="59">
        <f t="shared" si="102"/>
        <v>196.0481096619543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3.1080838586375643</v>
      </c>
      <c r="FS70" s="21">
        <f>EXP(-LN(2)/2)*FS69+(1-EXP(-LN(2)/2))/(LN(2)/2)*FM70*FP70*VLOOKUP('Données projet'!$B$16,Paramètres!$A$1:$I$89,3,0)*0.475*44/12</f>
        <v>2.4474764759376655E-5</v>
      </c>
      <c r="FT70" s="22">
        <f t="shared" si="78"/>
        <v>3.1081083334023236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9.1999999999999993</v>
      </c>
      <c r="FZ70" s="12">
        <f>IF('Données projet'!$A$244&gt;35,FZ69+FY70-GH69,IF(A70&lt;'Données projet'!$A$244,$FW$205^A70,IF(A70='Données projet'!$A$244,'Données projet'!$B$244,FZ69+FY70-GH69)))</f>
        <v>394.39999999999969</v>
      </c>
      <c r="GA70" s="17">
        <f>FZ70*VLOOKUP('Données projet'!$B$17,Paramètres!$A$1:$I$89,3,0)*VLOOKUP('Données projet'!$B$17,Paramètres!$A$1:$I$89,5,0)</f>
        <v>235.85119999999984</v>
      </c>
      <c r="GB70" s="13">
        <f t="shared" si="103"/>
        <v>57.545992055843016</v>
      </c>
      <c r="GC70" s="20">
        <f t="shared" si="79"/>
        <v>511.0001094972597</v>
      </c>
      <c r="GD70" s="59">
        <f t="shared" si="80"/>
        <v>804.33344283059296</v>
      </c>
      <c r="GE70" s="59">
        <f ca="1">AVERAGE(OFFSET($GD$3,0,0,'Données projet'!$E$17+1,1))-AVERAGE(OFFSET($H$3,0,0,'Données projet'!$E$17+1,1))</f>
        <v>216.94426559495264</v>
      </c>
      <c r="GF70" s="59">
        <f t="shared" si="104"/>
        <v>225.33715877618704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4.6063172258285388</v>
      </c>
      <c r="GN70" s="21">
        <f>EXP(-LN(2)/2)*GN69+(1-EXP(-LN(2)/2))/(LN(2)/2)*GH70*GK70*VLOOKUP('Données projet'!$B$17,Paramètres!$A$1:$I$89,3,0)*0.475*44/12</f>
        <v>6.4007535095189484E-5</v>
      </c>
      <c r="GO70" s="21">
        <f t="shared" si="81"/>
        <v>4.606381233363634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7</v>
      </c>
      <c r="GU70" s="12">
        <f>IF('Données projet'!$A$270&gt;35,GU69+GT70-HC69,IF(A70&lt;'Données projet'!$A$270,$GR$205^A70,IF(A70='Données projet'!$A$270,'Données projet'!$B$270,GU69+GT70-HC69)))</f>
        <v>242.00000000000017</v>
      </c>
      <c r="GV70" s="17">
        <f>GU70*VLOOKUP('Données projet'!$B$18,Paramètres!$A$1:$I$89,3,0)*VLOOKUP('Données projet'!$B$18,Paramètres!$A$1:$I$89,5,0)</f>
        <v>234.06240000000017</v>
      </c>
      <c r="GW70" s="13">
        <f t="shared" si="105"/>
        <v>57.160170321263926</v>
      </c>
      <c r="GX70" s="20">
        <f t="shared" si="82"/>
        <v>507.21264330953494</v>
      </c>
      <c r="GY70" s="59">
        <f t="shared" si="83"/>
        <v>800.54597664286825</v>
      </c>
      <c r="GZ70" s="59">
        <f ca="1">AVERAGE(OFFSET($GY$3,0,0,'Données projet'!$E$18+1,1))-AVERAGE(OFFSET($H$3,0,0,'Données projet'!$E$18+1,1))</f>
        <v>261.22357949323879</v>
      </c>
      <c r="HA70" s="59">
        <f t="shared" si="106"/>
        <v>163.41029152029387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1.1902333328973487</v>
      </c>
      <c r="HI70" s="21">
        <f>EXP(-LN(2)/2)*HI69+(1-EXP(-LN(2)/2))/(LN(2)/2)*HC70*HF70*VLOOKUP('Données projet'!$B$18,Paramètres!$A$1:$I$89,3,0)*0.475*44/12</f>
        <v>1.784652512762809E-5</v>
      </c>
      <c r="HJ70" s="22">
        <f t="shared" si="84"/>
        <v>1.1902511794224764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237.22177246688199</v>
      </c>
      <c r="T71" s="59">
        <f t="shared" si="88"/>
        <v>149.27472147904302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227.39999999999995</v>
      </c>
      <c r="AJ71" s="13">
        <f>AI71*VLOOKUP('Données projet'!$B$10,Paramètres!$A$1:$I$89,3,0)*VLOOKUP('Données projet'!$B$10,Paramètres!$A$1:$I$89,5,0)</f>
        <v>198.65663999999998</v>
      </c>
      <c r="AK71" s="13">
        <f t="shared" si="89"/>
        <v>49.448822156743425</v>
      </c>
      <c r="AL71" s="20">
        <f t="shared" si="58"/>
        <v>432.11701325632811</v>
      </c>
      <c r="AM71" s="59">
        <f t="shared" si="59"/>
        <v>725.45034658966142</v>
      </c>
      <c r="AN71" s="59">
        <f ca="1">AVERAGE(OFFSET($AM$3,0,0,'Données projet'!$E$10+1,1))-AVERAGE(OFFSET($H$3,0,0,'Données projet'!$E$10+1,1))</f>
        <v>210.07838338464626</v>
      </c>
      <c r="AO71" s="59">
        <f t="shared" si="90"/>
        <v>241.76003724236273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2.4972450022284058</v>
      </c>
      <c r="AV71" s="21">
        <f>EXP(-LN(2)/25)*AV70+(1-EXP(-LN(2)/25))/(LN(2)/25)*Calculateur!AQ71*Calculateur!AS71*VLOOKUP('Données projet'!$B$10,Paramètres!$A$1:$I$89,3,0)*0.475*44/12</f>
        <v>4.7281485762980333</v>
      </c>
      <c r="AW71" s="21">
        <f>EXP(-LN(2)/2)*AW70+(1-EXP(-LN(2)/2))/(LN(2)/2)*AQ71*AT71*VLOOKUP('Données projet'!$B$10,Paramètres!$A$1:$I$89,3,0)*0.475*44/12</f>
        <v>3.0463074628542488E-5</v>
      </c>
      <c r="AX71" s="21">
        <f t="shared" si="60"/>
        <v>7.2254240416010678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358.40000000000038</v>
      </c>
      <c r="BE71" s="13">
        <f>BD71*VLOOKUP('Données projet'!$B$11,Paramètres!$A$1:$I$89,3,0)*VLOOKUP('Données projet'!$B$11,Paramètres!$A$1:$I$89,5,0)</f>
        <v>223.64160000000024</v>
      </c>
      <c r="BF71" s="13">
        <f t="shared" si="91"/>
        <v>54.905611653539268</v>
      </c>
      <c r="BG71" s="20">
        <f t="shared" si="61"/>
        <v>485.13639362991461</v>
      </c>
      <c r="BH71" s="59">
        <f t="shared" si="62"/>
        <v>778.46972696324792</v>
      </c>
      <c r="BI71" s="59">
        <f ca="1">AVERAGE(OFFSET($BH$3,0,0,'Données projet'!$E$11+1,1))-AVERAGE(OFFSET($H$3,0,0,'Données projet'!$E$11+1,1))</f>
        <v>209.93608079129638</v>
      </c>
      <c r="BJ71" s="59">
        <f t="shared" si="92"/>
        <v>240.15652428700969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3.2761189774089035</v>
      </c>
      <c r="BQ71" s="21">
        <f>EXP(-LN(2)/25)*BQ70+(1-EXP(-LN(2)/25))/(LN(2)/25)*Calculateur!BL71*Calculateur!BN71*VLOOKUP('Données projet'!$B$11,Paramètres!$A$1:$I$89,3,0)*0.475*44/12</f>
        <v>7.2484509145614009</v>
      </c>
      <c r="BR71" s="21">
        <f>EXP(-LN(2)/2)*BR70+(1-EXP(-LN(2)/2))/(LN(2)/2)*BL71*BO71*VLOOKUP('Données projet'!$B$11,Paramètres!$A$1:$I$89,3,0)*0.475*44/12</f>
        <v>3.8510924346380432E-5</v>
      </c>
      <c r="BS71" s="22">
        <f t="shared" si="63"/>
        <v>10.524608402894652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415.39999999999986</v>
      </c>
      <c r="BZ71" s="13">
        <f>BY71*VLOOKUP('Données projet'!$B$12,Paramètres!$A$1:$I$89,3,0)*VLOOKUP('Données projet'!$B$12,Paramètres!$A$1:$I$89,5,0)</f>
        <v>194.40719999999996</v>
      </c>
      <c r="CA71" s="13">
        <f t="shared" si="93"/>
        <v>48.513018020179601</v>
      </c>
      <c r="CB71" s="20">
        <f t="shared" si="64"/>
        <v>423.08604638514606</v>
      </c>
      <c r="CC71" s="59">
        <f t="shared" si="65"/>
        <v>716.41937971847938</v>
      </c>
      <c r="CD71" s="59">
        <f ca="1">AVERAGE(OFFSET($CC$3,0,0,'Données projet'!$E$12+1,1))-AVERAGE(OFFSET($H$3,0,0,'Données projet'!$E$12+1,1))</f>
        <v>215.23235148064941</v>
      </c>
      <c r="CE71" s="59">
        <f t="shared" si="94"/>
        <v>184.07239726900434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1.4768861354408536</v>
      </c>
      <c r="CL71" s="21">
        <f>EXP(-LN(2)/25)*CL70+(1-EXP(-LN(2)/25))/(LN(2)/25)*Calculateur!CG71*Calculateur!CI71*VLOOKUP('Données projet'!$B$12,Paramètres!$A$1:$I$89,3,0)*0.475*44/12</f>
        <v>2.739089788493358</v>
      </c>
      <c r="CM71" s="21">
        <f>EXP(-LN(2)/2)*CM70+(1-EXP(-LN(2)/2))/(LN(2)/2)*CG71*CJ71*VLOOKUP('Données projet'!$B$12,Paramètres!$A$1:$I$89,3,0)*0.475*44/12</f>
        <v>1.8753388367263778E-5</v>
      </c>
      <c r="CN71" s="22">
        <f t="shared" si="66"/>
        <v>4.2159946773225787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</v>
      </c>
      <c r="CT71" s="12">
        <f>IF('Données projet'!$A$140&gt;35,CT70+CS71-DB70,IF(A71&lt;'Données projet'!$A$140,$CQ$205^A71,IF(A71='Données projet'!$A$140,'Données projet'!$B$140,CT70+CS71-DB70)))</f>
        <v>249.00000000000017</v>
      </c>
      <c r="CU71" s="17">
        <f>CT71*VLOOKUP('Données projet'!$B$13,Paramètres!$A$1:$I$89,3,0)*VLOOKUP('Données projet'!$B$13,Paramètres!$A$1:$I$89,5,0)</f>
        <v>252.48600000000019</v>
      </c>
      <c r="CV71" s="13">
        <f t="shared" si="95"/>
        <v>61.117973383957434</v>
      </c>
      <c r="CW71" s="20">
        <f t="shared" si="67"/>
        <v>546.19358697705945</v>
      </c>
      <c r="CX71" s="59">
        <f t="shared" si="68"/>
        <v>839.52692031039282</v>
      </c>
      <c r="CY71" s="59">
        <f ca="1">AVERAGE(OFFSET($CX$3,0,0,'Données projet'!$E$13+1,1))-AVERAGE(OFFSET($H$3,0,0,'Données projet'!$E$13+1,1))</f>
        <v>279.20364724206644</v>
      </c>
      <c r="CZ71" s="59">
        <f t="shared" si="96"/>
        <v>173.99850582760712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1.2137034207765371</v>
      </c>
      <c r="DH71" s="21">
        <f>EXP(-LN(2)/2)*DH70+(1-EXP(-LN(2)/2))/(LN(2)/2)*DB71*DE71*VLOOKUP('Données projet'!$B$13,Paramètres!$A$1:$I$89,3,0)*0.475*44/12</f>
        <v>1.3230015016024613E-5</v>
      </c>
      <c r="DI71" s="22">
        <f t="shared" si="69"/>
        <v>1.2137166507915531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</v>
      </c>
      <c r="DO71" s="12">
        <f>IF('Données projet'!$A$166&gt;35,DO70+DN71-DW70,IF(A71&lt;'Données projet'!$A$166,$DL$205^A71,IF(A71='Données projet'!$A$166,'Données projet'!$B$166,DO70+DN71-DW70)))</f>
        <v>249.00000000000017</v>
      </c>
      <c r="DP71" s="17">
        <f>DO71*VLOOKUP('Données projet'!$B$14,Paramètres!$A$1:$I$89,3,0)*VLOOKUP('Données projet'!$B$14,Paramètres!$A$1:$I$89,5,0)</f>
        <v>260.25480000000022</v>
      </c>
      <c r="DQ71" s="13">
        <f t="shared" si="97"/>
        <v>62.776687922790877</v>
      </c>
      <c r="DR71" s="20">
        <f t="shared" si="70"/>
        <v>562.61317479886111</v>
      </c>
      <c r="DS71" s="59">
        <f t="shared" si="71"/>
        <v>855.94650813219437</v>
      </c>
      <c r="DT71" s="59">
        <f ca="1">AVERAGE(OFFSET($DS$3,0,0,'Données projet'!$E$14+1,1))-AVERAGE(OFFSET($H$3,0,0,'Données projet'!$E$14+1,1))</f>
        <v>291.18074901939718</v>
      </c>
      <c r="DU71" s="59">
        <f t="shared" si="98"/>
        <v>181.05123751753774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1.251048141415815</v>
      </c>
      <c r="EC71" s="21">
        <f>EXP(-LN(2)/2)*EC70+(1-EXP(-LN(2)/2))/(LN(2)/2)*DW71*DZ71*VLOOKUP('Données projet'!$B$14,Paramètres!$A$1:$I$89,3,0)*0.475*44/12</f>
        <v>1.3637092401133076E-5</v>
      </c>
      <c r="ED71" s="22">
        <f t="shared" si="72"/>
        <v>1.2510617785082161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168.08890945052406</v>
      </c>
      <c r="EP71" s="59">
        <f t="shared" si="100"/>
        <v>182.52462557642343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2.9269638002362686</v>
      </c>
      <c r="EW71" s="21">
        <f>EXP(-LN(2)/25)*EW70+(1-EXP(-LN(2)/25))/(LN(2)/25)*Calculateur!ER71*Calculateur!ET71*VLOOKUP('Données projet'!$B$15,Paramètres!$A$1:$I$89,3,0)*0.475*44/12</f>
        <v>4.2996049803569951</v>
      </c>
      <c r="EX71" s="21">
        <f>EXP(-LN(2)/2)*EX70+(1-EXP(-LN(2)/2))/(LN(2)/2)*ER71*EU71*VLOOKUP('Données projet'!$B$15,Paramètres!$A$1:$I$89,3,0)*0.475*44/12</f>
        <v>1.0386833904407819E-5</v>
      </c>
      <c r="EY71" s="22">
        <f t="shared" si="75"/>
        <v>7.2265791674271673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4.0999999999999996</v>
      </c>
      <c r="FE71" s="12">
        <f>IF('Données projet'!$A$218&gt;35,FE70+FD71-FM70,IF(A71&lt;'Données projet'!$A$218,$FB$205^A71,IF(A71='Données projet'!$A$218,'Données projet'!$B$218,FE70+FD71-FM70)))</f>
        <v>265.79999999999978</v>
      </c>
      <c r="FF71" s="17">
        <f>FE71*VLOOKUP('Données projet'!$B$16,Paramètres!$A$1:$I$89,3,0)*VLOOKUP('Données projet'!$B$16,Paramètres!$A$1:$I$89,5,0)</f>
        <v>178.29863999999986</v>
      </c>
      <c r="FG71" s="13">
        <f t="shared" si="101"/>
        <v>44.943455949194529</v>
      </c>
      <c r="FH71" s="20">
        <f t="shared" si="76"/>
        <v>388.81331711151353</v>
      </c>
      <c r="FI71" s="59">
        <f t="shared" si="77"/>
        <v>682.14665044484684</v>
      </c>
      <c r="FJ71" s="59">
        <f ca="1">AVERAGE(OFFSET($FI$3,0,0,'Données projet'!$E$16+1,1))-AVERAGE(OFFSET($H$3,0,0,'Données projet'!$E$16+1,1))</f>
        <v>156.63226020379989</v>
      </c>
      <c r="FK71" s="59">
        <f t="shared" si="102"/>
        <v>196.0481096619543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3.0230931420760938</v>
      </c>
      <c r="FS71" s="21">
        <f>EXP(-LN(2)/2)*FS70+(1-EXP(-LN(2)/2))/(LN(2)/2)*FM71*FP71*VLOOKUP('Données projet'!$B$16,Paramètres!$A$1:$I$89,3,0)*0.475*44/12</f>
        <v>1.7306272129300773E-5</v>
      </c>
      <c r="FT71" s="22">
        <f t="shared" si="78"/>
        <v>3.023110448348223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9.1999999999999993</v>
      </c>
      <c r="FZ71" s="12">
        <f>IF('Données projet'!$A$244&gt;35,FZ70+FY71-GH70,IF(A71&lt;'Données projet'!$A$244,$FW$205^A71,IF(A71='Données projet'!$A$244,'Données projet'!$B$244,FZ70+FY71-GH70)))</f>
        <v>403.59999999999968</v>
      </c>
      <c r="GA71" s="17">
        <f>FZ71*VLOOKUP('Données projet'!$B$17,Paramètres!$A$1:$I$89,3,0)*VLOOKUP('Données projet'!$B$17,Paramètres!$A$1:$I$89,5,0)</f>
        <v>241.35279999999983</v>
      </c>
      <c r="GB71" s="13">
        <f t="shared" si="103"/>
        <v>58.730496708031964</v>
      </c>
      <c r="GC71" s="20">
        <f t="shared" si="79"/>
        <v>522.64507509982207</v>
      </c>
      <c r="GD71" s="59">
        <f t="shared" si="80"/>
        <v>815.97840843315544</v>
      </c>
      <c r="GE71" s="59">
        <f ca="1">AVERAGE(OFFSET($GD$3,0,0,'Données projet'!$E$17+1,1))-AVERAGE(OFFSET($H$3,0,0,'Données projet'!$E$17+1,1))</f>
        <v>216.94426559495264</v>
      </c>
      <c r="GF71" s="59">
        <f t="shared" si="104"/>
        <v>225.33715877618704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4.4803572390525623</v>
      </c>
      <c r="GN71" s="21">
        <f>EXP(-LN(2)/2)*GN70+(1-EXP(-LN(2)/2))/(LN(2)/2)*GH71*GK71*VLOOKUP('Données projet'!$B$17,Paramètres!$A$1:$I$89,3,0)*0.475*44/12</f>
        <v>4.5260162112844413E-5</v>
      </c>
      <c r="GO71" s="21">
        <f t="shared" si="81"/>
        <v>4.4804024992146756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7</v>
      </c>
      <c r="GU71" s="12">
        <f>IF('Données projet'!$A$270&gt;35,GU70+GT71-HC70,IF(A71&lt;'Données projet'!$A$270,$GR$205^A71,IF(A71='Données projet'!$A$270,'Données projet'!$B$270,GU70+GT71-HC70)))</f>
        <v>249.00000000000017</v>
      </c>
      <c r="GV71" s="17">
        <f>GU71*VLOOKUP('Données projet'!$B$18,Paramètres!$A$1:$I$89,3,0)*VLOOKUP('Données projet'!$B$18,Paramètres!$A$1:$I$89,5,0)</f>
        <v>240.83280000000019</v>
      </c>
      <c r="GW71" s="13">
        <f t="shared" si="105"/>
        <v>58.618675319436718</v>
      </c>
      <c r="GX71" s="20">
        <f t="shared" si="82"/>
        <v>521.54465284801927</v>
      </c>
      <c r="GY71" s="59">
        <f t="shared" si="83"/>
        <v>814.87798618135253</v>
      </c>
      <c r="GZ71" s="59">
        <f ca="1">AVERAGE(OFFSET($GY$3,0,0,'Données projet'!$E$18+1,1))-AVERAGE(OFFSET($H$3,0,0,'Données projet'!$E$18+1,1))</f>
        <v>261.22357949323879</v>
      </c>
      <c r="HA71" s="59">
        <f t="shared" si="106"/>
        <v>163.41029152029387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1.15768633981762</v>
      </c>
      <c r="HI71" s="21">
        <f>EXP(-LN(2)/2)*HI70+(1-EXP(-LN(2)/2))/(LN(2)/2)*HC71*HF71*VLOOKUP('Données projet'!$B$18,Paramètres!$A$1:$I$89,3,0)*0.475*44/12</f>
        <v>1.2619398938361938E-5</v>
      </c>
      <c r="HJ71" s="22">
        <f t="shared" si="84"/>
        <v>1.1576989592165583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237.22177246688199</v>
      </c>
      <c r="T72" s="59">
        <f t="shared" si="88"/>
        <v>149.27472147904302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232.19999999999996</v>
      </c>
      <c r="AJ72" s="13">
        <f>AI72*VLOOKUP('Données projet'!$B$10,Paramètres!$A$1:$I$89,3,0)*VLOOKUP('Données projet'!$B$10,Paramètres!$A$1:$I$89,5,0)</f>
        <v>202.84991999999997</v>
      </c>
      <c r="AK72" s="13">
        <f t="shared" si="89"/>
        <v>50.369977187686075</v>
      </c>
      <c r="AL72" s="20">
        <f t="shared" si="58"/>
        <v>441.02465426855321</v>
      </c>
      <c r="AM72" s="59">
        <f t="shared" si="59"/>
        <v>734.35798760188652</v>
      </c>
      <c r="AN72" s="59">
        <f ca="1">AVERAGE(OFFSET($AM$3,0,0,'Données projet'!$E$10+1,1))-AVERAGE(OFFSET($H$3,0,0,'Données projet'!$E$10+1,1))</f>
        <v>210.07838338464626</v>
      </c>
      <c r="AO72" s="59">
        <f t="shared" si="90"/>
        <v>241.76003724236273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2.4482755509037579</v>
      </c>
      <c r="AV72" s="21">
        <f>EXP(-LN(2)/25)*AV71+(1-EXP(-LN(2)/25))/(LN(2)/25)*Calculateur!AQ72*Calculateur!AS72*VLOOKUP('Données projet'!$B$10,Paramètres!$A$1:$I$89,3,0)*0.475*44/12</f>
        <v>4.598857104836636</v>
      </c>
      <c r="AW72" s="21">
        <f>EXP(-LN(2)/2)*AW71+(1-EXP(-LN(2)/2))/(LN(2)/2)*AQ72*AT72*VLOOKUP('Données projet'!$B$10,Paramètres!$A$1:$I$89,3,0)*0.475*44/12</f>
        <v>2.1540646645634263E-5</v>
      </c>
      <c r="AX72" s="21">
        <f t="shared" si="60"/>
        <v>7.0471541963870399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365.20000000000039</v>
      </c>
      <c r="BE72" s="13">
        <f>BD72*VLOOKUP('Données projet'!$B$11,Paramètres!$A$1:$I$89,3,0)*VLOOKUP('Données projet'!$B$11,Paramètres!$A$1:$I$89,5,0)</f>
        <v>227.88480000000027</v>
      </c>
      <c r="BF72" s="13">
        <f t="shared" si="91"/>
        <v>55.825080201942662</v>
      </c>
      <c r="BG72" s="20">
        <f t="shared" si="61"/>
        <v>494.12804135171729</v>
      </c>
      <c r="BH72" s="59">
        <f t="shared" si="62"/>
        <v>787.4613746850506</v>
      </c>
      <c r="BI72" s="59">
        <f ca="1">AVERAGE(OFFSET($BH$3,0,0,'Données projet'!$E$11+1,1))-AVERAGE(OFFSET($H$3,0,0,'Données projet'!$E$11+1,1))</f>
        <v>209.93608079129638</v>
      </c>
      <c r="BJ72" s="59">
        <f t="shared" si="92"/>
        <v>240.15652428700969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3.2118762824971818</v>
      </c>
      <c r="BQ72" s="21">
        <f>EXP(-LN(2)/25)*BQ71+(1-EXP(-LN(2)/25))/(LN(2)/25)*Calculateur!BL72*Calculateur!BN72*VLOOKUP('Données projet'!$B$11,Paramètres!$A$1:$I$89,3,0)*0.475*44/12</f>
        <v>7.0502416431232522</v>
      </c>
      <c r="BR72" s="21">
        <f>EXP(-LN(2)/2)*BR71+(1-EXP(-LN(2)/2))/(LN(2)/2)*BL72*BO72*VLOOKUP('Données projet'!$B$11,Paramètres!$A$1:$I$89,3,0)*0.475*44/12</f>
        <v>2.7231335755087714E-5</v>
      </c>
      <c r="BS72" s="22">
        <f t="shared" si="63"/>
        <v>10.262145156956189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430.89999999999986</v>
      </c>
      <c r="BZ72" s="13">
        <f>BY72*VLOOKUP('Données projet'!$B$12,Paramètres!$A$1:$I$89,3,0)*VLOOKUP('Données projet'!$B$12,Paramètres!$A$1:$I$89,5,0)</f>
        <v>201.66119999999992</v>
      </c>
      <c r="CA72" s="13">
        <f t="shared" si="93"/>
        <v>50.109073265229782</v>
      </c>
      <c r="CB72" s="20">
        <f t="shared" si="64"/>
        <v>438.49989260360843</v>
      </c>
      <c r="CC72" s="59">
        <f t="shared" si="65"/>
        <v>731.83322593694174</v>
      </c>
      <c r="CD72" s="59">
        <f ca="1">AVERAGE(OFFSET($CC$3,0,0,'Données projet'!$E$12+1,1))-AVERAGE(OFFSET($H$3,0,0,'Données projet'!$E$12+1,1))</f>
        <v>215.23235148064941</v>
      </c>
      <c r="CE72" s="59">
        <f t="shared" si="94"/>
        <v>184.07239726900434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1.4479252991364533</v>
      </c>
      <c r="CL72" s="21">
        <f>EXP(-LN(2)/25)*CL71+(1-EXP(-LN(2)/25))/(LN(2)/25)*Calculateur!CG72*Calculateur!CI72*VLOOKUP('Données projet'!$B$12,Paramètres!$A$1:$I$89,3,0)*0.475*44/12</f>
        <v>2.6641892341845357</v>
      </c>
      <c r="CM72" s="21">
        <f>EXP(-LN(2)/2)*CM71+(1-EXP(-LN(2)/2))/(LN(2)/2)*CG72*CJ72*VLOOKUP('Données projet'!$B$12,Paramètres!$A$1:$I$89,3,0)*0.475*44/12</f>
        <v>1.3260648084717135E-5</v>
      </c>
      <c r="CN72" s="22">
        <f t="shared" si="66"/>
        <v>4.1121277939690737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</v>
      </c>
      <c r="CT72" s="12">
        <f>IF('Données projet'!$A$140&gt;35,CT71+CS72-DB71,IF(A72&lt;'Données projet'!$A$140,$CQ$205^A72,IF(A72='Données projet'!$A$140,'Données projet'!$B$140,CT71+CS72-DB71)))</f>
        <v>256.00000000000017</v>
      </c>
      <c r="CU72" s="17">
        <f>CT72*VLOOKUP('Données projet'!$B$13,Paramètres!$A$1:$I$89,3,0)*VLOOKUP('Données projet'!$B$13,Paramètres!$A$1:$I$89,5,0)</f>
        <v>259.58400000000017</v>
      </c>
      <c r="CV72" s="13">
        <f t="shared" si="95"/>
        <v>62.63369530482359</v>
      </c>
      <c r="CW72" s="20">
        <f t="shared" si="67"/>
        <v>561.19581932256801</v>
      </c>
      <c r="CX72" s="59">
        <f t="shared" si="68"/>
        <v>854.52915265590127</v>
      </c>
      <c r="CY72" s="59">
        <f ca="1">AVERAGE(OFFSET($CX$3,0,0,'Données projet'!$E$13+1,1))-AVERAGE(OFFSET($H$3,0,0,'Données projet'!$E$13+1,1))</f>
        <v>279.20364724206644</v>
      </c>
      <c r="CZ72" s="59">
        <f t="shared" si="96"/>
        <v>173.99850582760712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1.1805146369095139</v>
      </c>
      <c r="DH72" s="21">
        <f>EXP(-LN(2)/2)*DH71+(1-EXP(-LN(2)/2))/(LN(2)/2)*DB72*DE72*VLOOKUP('Données projet'!$B$13,Paramètres!$A$1:$I$89,3,0)*0.475*44/12</f>
        <v>9.3550333330308539E-6</v>
      </c>
      <c r="DI72" s="22">
        <f t="shared" si="69"/>
        <v>1.180523991942847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</v>
      </c>
      <c r="DO72" s="12">
        <f>IF('Données projet'!$A$166&gt;35,DO71+DN72-DW71,IF(A72&lt;'Données projet'!$A$166,$DL$205^A72,IF(A72='Données projet'!$A$166,'Données projet'!$B$166,DO71+DN72-DW71)))</f>
        <v>256.00000000000017</v>
      </c>
      <c r="DP72" s="17">
        <f>DO72*VLOOKUP('Données projet'!$B$14,Paramètres!$A$1:$I$89,3,0)*VLOOKUP('Données projet'!$B$14,Paramètres!$A$1:$I$89,5,0)</f>
        <v>267.5712000000002</v>
      </c>
      <c r="DQ72" s="13">
        <f t="shared" si="97"/>
        <v>64.333545860572571</v>
      </c>
      <c r="DR72" s="20">
        <f t="shared" si="70"/>
        <v>578.06743237383091</v>
      </c>
      <c r="DS72" s="59">
        <f t="shared" si="71"/>
        <v>871.40076570716428</v>
      </c>
      <c r="DT72" s="59">
        <f ca="1">AVERAGE(OFFSET($DS$3,0,0,'Données projet'!$E$14+1,1))-AVERAGE(OFFSET($H$3,0,0,'Données projet'!$E$14+1,1))</f>
        <v>291.18074901939718</v>
      </c>
      <c r="DU72" s="59">
        <f t="shared" si="98"/>
        <v>181.05123751753774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1.2168381641990371</v>
      </c>
      <c r="EC72" s="21">
        <f>EXP(-LN(2)/2)*EC71+(1-EXP(-LN(2)/2))/(LN(2)/2)*DW72*DZ72*VLOOKUP('Données projet'!$B$14,Paramètres!$A$1:$I$89,3,0)*0.475*44/12</f>
        <v>9.6428805125087357E-6</v>
      </c>
      <c r="ED72" s="22">
        <f t="shared" si="72"/>
        <v>1.2168478070795496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168.08890945052406</v>
      </c>
      <c r="EP72" s="59">
        <f t="shared" si="100"/>
        <v>182.52462557642343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2.8695678253852726</v>
      </c>
      <c r="EW72" s="21">
        <f>EXP(-LN(2)/25)*EW71+(1-EXP(-LN(2)/25))/(LN(2)/25)*Calculateur!ER72*Calculateur!ET72*VLOOKUP('Données projet'!$B$15,Paramètres!$A$1:$I$89,3,0)*0.475*44/12</f>
        <v>4.1820320560627344</v>
      </c>
      <c r="EX72" s="21">
        <f>EXP(-LN(2)/2)*EX71+(1-EXP(-LN(2)/2))/(LN(2)/2)*ER72*EU72*VLOOKUP('Données projet'!$B$15,Paramètres!$A$1:$I$89,3,0)*0.475*44/12</f>
        <v>7.3446006888651128E-6</v>
      </c>
      <c r="EY72" s="22">
        <f t="shared" si="75"/>
        <v>7.0516072260486959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4.0999999999999996</v>
      </c>
      <c r="FE72" s="12">
        <f>IF('Données projet'!$A$218&gt;35,FE71+FD72-FM71,IF(A72&lt;'Données projet'!$A$218,$FB$205^A72,IF(A72='Données projet'!$A$218,'Données projet'!$B$218,FE71+FD72-FM71)))</f>
        <v>269.89999999999981</v>
      </c>
      <c r="FF72" s="17">
        <f>FE72*VLOOKUP('Données projet'!$B$16,Paramètres!$A$1:$I$89,3,0)*VLOOKUP('Données projet'!$B$16,Paramètres!$A$1:$I$89,5,0)</f>
        <v>181.04891999999987</v>
      </c>
      <c r="FG72" s="13">
        <f t="shared" si="101"/>
        <v>45.55547256641065</v>
      </c>
      <c r="FH72" s="20">
        <f t="shared" si="76"/>
        <v>394.669317053165</v>
      </c>
      <c r="FI72" s="59">
        <f t="shared" si="77"/>
        <v>688.00265038649832</v>
      </c>
      <c r="FJ72" s="59">
        <f ca="1">AVERAGE(OFFSET($FI$3,0,0,'Données projet'!$E$16+1,1))-AVERAGE(OFFSET($H$3,0,0,'Données projet'!$E$16+1,1))</f>
        <v>156.63226020379989</v>
      </c>
      <c r="FK72" s="59">
        <f t="shared" si="102"/>
        <v>196.0481096619543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2.940426501128464</v>
      </c>
      <c r="FS72" s="21">
        <f>EXP(-LN(2)/2)*FS71+(1-EXP(-LN(2)/2))/(LN(2)/2)*FM72*FP72*VLOOKUP('Données projet'!$B$16,Paramètres!$A$1:$I$89,3,0)*0.475*44/12</f>
        <v>1.2237382379688327E-5</v>
      </c>
      <c r="FT72" s="22">
        <f t="shared" si="78"/>
        <v>2.9404387385108439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9.1999999999999993</v>
      </c>
      <c r="FZ72" s="12">
        <f>IF('Données projet'!$A$244&gt;35,FZ71+FY72-GH71,IF(A72&lt;'Données projet'!$A$244,$FW$205^A72,IF(A72='Données projet'!$A$244,'Données projet'!$B$244,FZ71+FY72-GH71)))</f>
        <v>412.79999999999967</v>
      </c>
      <c r="GA72" s="17">
        <f>FZ72*VLOOKUP('Données projet'!$B$17,Paramètres!$A$1:$I$89,3,0)*VLOOKUP('Données projet'!$B$17,Paramètres!$A$1:$I$89,5,0)</f>
        <v>246.85439999999983</v>
      </c>
      <c r="GB72" s="13">
        <f t="shared" si="103"/>
        <v>59.911862368716115</v>
      </c>
      <c r="GC72" s="20">
        <f t="shared" si="79"/>
        <v>534.28457362551364</v>
      </c>
      <c r="GD72" s="59">
        <f t="shared" si="80"/>
        <v>827.61790695884702</v>
      </c>
      <c r="GE72" s="59">
        <f ca="1">AVERAGE(OFFSET($GD$3,0,0,'Données projet'!$E$17+1,1))-AVERAGE(OFFSET($H$3,0,0,'Données projet'!$E$17+1,1))</f>
        <v>216.94426559495264</v>
      </c>
      <c r="GF72" s="59">
        <f t="shared" si="104"/>
        <v>225.33715877618704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4.3578416347389224</v>
      </c>
      <c r="GN72" s="21">
        <f>EXP(-LN(2)/2)*GN71+(1-EXP(-LN(2)/2))/(LN(2)/2)*GH72*GK72*VLOOKUP('Données projet'!$B$17,Paramètres!$A$1:$I$89,3,0)*0.475*44/12</f>
        <v>3.2003767547594742E-5</v>
      </c>
      <c r="GO72" s="21">
        <f t="shared" si="81"/>
        <v>4.3578736385064696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7</v>
      </c>
      <c r="GU72" s="12">
        <f>IF('Données projet'!$A$270&gt;35,GU71+GT72-HC71,IF(A72&lt;'Données projet'!$A$270,$GR$205^A72,IF(A72='Données projet'!$A$270,'Données projet'!$B$270,GU71+GT72-HC71)))</f>
        <v>256.00000000000017</v>
      </c>
      <c r="GV72" s="17">
        <f>GU72*VLOOKUP('Données projet'!$B$18,Paramètres!$A$1:$I$89,3,0)*VLOOKUP('Données projet'!$B$18,Paramètres!$A$1:$I$89,5,0)</f>
        <v>247.60320000000019</v>
      </c>
      <c r="GW72" s="13">
        <f t="shared" si="105"/>
        <v>60.072414804475471</v>
      </c>
      <c r="GX72" s="20">
        <f t="shared" si="82"/>
        <v>535.86836245112841</v>
      </c>
      <c r="GY72" s="59">
        <f t="shared" si="83"/>
        <v>829.20169578446166</v>
      </c>
      <c r="GZ72" s="59">
        <f ca="1">AVERAGE(OFFSET($GY$3,0,0,'Données projet'!$E$18+1,1))-AVERAGE(OFFSET($H$3,0,0,'Données projet'!$E$18+1,1))</f>
        <v>261.22357949323879</v>
      </c>
      <c r="HA72" s="59">
        <f t="shared" si="106"/>
        <v>163.41029152029387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1.1260293459752286</v>
      </c>
      <c r="HI72" s="21">
        <f>EXP(-LN(2)/2)*HI71+(1-EXP(-LN(2)/2))/(LN(2)/2)*HC72*HF72*VLOOKUP('Données projet'!$B$18,Paramètres!$A$1:$I$89,3,0)*0.475*44/12</f>
        <v>8.9232625638140448E-6</v>
      </c>
      <c r="HJ72" s="22">
        <f t="shared" si="84"/>
        <v>1.1260382692377924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237.22177246688199</v>
      </c>
      <c r="T73" s="59">
        <f t="shared" si="88"/>
        <v>149.27472147904302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236.99999999999997</v>
      </c>
      <c r="AJ73" s="13">
        <f>AI73*VLOOKUP('Données projet'!$B$10,Paramètres!$A$1:$I$89,3,0)*VLOOKUP('Données projet'!$B$10,Paramètres!$A$1:$I$89,5,0)</f>
        <v>207.04320000000001</v>
      </c>
      <c r="AK73" s="13">
        <f t="shared" si="89"/>
        <v>51.288918231806321</v>
      </c>
      <c r="AL73" s="20">
        <f t="shared" si="58"/>
        <v>449.92843925372944</v>
      </c>
      <c r="AM73" s="59">
        <f t="shared" si="59"/>
        <v>743.26177258706275</v>
      </c>
      <c r="AN73" s="59">
        <f ca="1">AVERAGE(OFFSET($AM$3,0,0,'Données projet'!$E$10+1,1))-AVERAGE(OFFSET($H$3,0,0,'Données projet'!$E$10+1,1))</f>
        <v>210.07838338464626</v>
      </c>
      <c r="AO73" s="59">
        <f t="shared" si="90"/>
        <v>241.76003724236273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2.4002663606511701</v>
      </c>
      <c r="AV73" s="21">
        <f>EXP(-LN(2)/25)*AV72+(1-EXP(-LN(2)/25))/(LN(2)/25)*Calculateur!AQ73*Calculateur!AS73*VLOOKUP('Données projet'!$B$10,Paramètres!$A$1:$I$89,3,0)*0.475*44/12</f>
        <v>4.4731011154614935</v>
      </c>
      <c r="AW73" s="21">
        <f>EXP(-LN(2)/2)*AW72+(1-EXP(-LN(2)/2))/(LN(2)/2)*AQ73*AT73*VLOOKUP('Données projet'!$B$10,Paramètres!$A$1:$I$89,3,0)*0.475*44/12</f>
        <v>1.5231537314271247E-5</v>
      </c>
      <c r="AX73" s="21">
        <f t="shared" si="60"/>
        <v>6.8733827076499781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372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372.0000000000004</v>
      </c>
      <c r="BE73" s="13">
        <f>BD73*VLOOKUP('Données projet'!$B$11,Paramètres!$A$1:$I$89,3,0)*VLOOKUP('Données projet'!$B$11,Paramètres!$A$1:$I$89,5,0)</f>
        <v>232.12800000000024</v>
      </c>
      <c r="BF73" s="13">
        <f t="shared" si="91"/>
        <v>56.742557967082448</v>
      </c>
      <c r="BG73" s="20">
        <f t="shared" si="61"/>
        <v>503.11622179266897</v>
      </c>
      <c r="BH73" s="59">
        <f t="shared" si="62"/>
        <v>796.44955512600222</v>
      </c>
      <c r="BI73" s="59">
        <f ca="1">AVERAGE(OFFSET($BH$3,0,0,'Données projet'!$E$11+1,1))-AVERAGE(OFFSET($H$3,0,0,'Données projet'!$E$11+1,1))</f>
        <v>209.93608079129638</v>
      </c>
      <c r="BJ73" s="59">
        <f t="shared" si="92"/>
        <v>240.15652428700969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36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3.1488933476485044</v>
      </c>
      <c r="BQ73" s="21">
        <f>EXP(-LN(2)/25)*BQ72+(1-EXP(-LN(2)/25))/(LN(2)/25)*Calculateur!BL73*Calculateur!BN73*VLOOKUP('Données projet'!$B$11,Paramètres!$A$1:$I$89,3,0)*0.475*44/12</f>
        <v>6.8574524146359526</v>
      </c>
      <c r="BR73" s="21">
        <f>EXP(-LN(2)/2)*BR72+(1-EXP(-LN(2)/2))/(LN(2)/2)*BL73*BO73*VLOOKUP('Données projet'!$B$11,Paramètres!$A$1:$I$89,3,0)*0.475*44/12</f>
        <v>1.9255462173190216E-5</v>
      </c>
      <c r="BS73" s="22">
        <f t="shared" si="63"/>
        <v>10.006365017746631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446.4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446.39999999999986</v>
      </c>
      <c r="BZ73" s="13">
        <f>BY73*VLOOKUP('Données projet'!$B$12,Paramètres!$A$1:$I$89,3,0)*VLOOKUP('Données projet'!$B$12,Paramètres!$A$1:$I$89,5,0)</f>
        <v>208.91519999999994</v>
      </c>
      <c r="CA73" s="13">
        <f t="shared" si="93"/>
        <v>51.698458198123326</v>
      </c>
      <c r="CB73" s="20">
        <f t="shared" si="64"/>
        <v>453.90212136173136</v>
      </c>
      <c r="CC73" s="59">
        <f t="shared" si="65"/>
        <v>747.23545469506462</v>
      </c>
      <c r="CD73" s="59">
        <f ca="1">AVERAGE(OFFSET($CC$3,0,0,'Données projet'!$E$12+1,1))-AVERAGE(OFFSET($H$3,0,0,'Données projet'!$E$12+1,1))</f>
        <v>215.23235148064941</v>
      </c>
      <c r="CE73" s="59">
        <f t="shared" si="94"/>
        <v>184.07239726900434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83.4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1.4195323671676163</v>
      </c>
      <c r="CL73" s="21">
        <f>EXP(-LN(2)/25)*CL72+(1-EXP(-LN(2)/25))/(LN(2)/25)*Calculateur!CG73*Calculateur!CI73*VLOOKUP('Données projet'!$B$12,Paramètres!$A$1:$I$89,3,0)*0.475*44/12</f>
        <v>2.5913368394721368</v>
      </c>
      <c r="CM73" s="21">
        <f>EXP(-LN(2)/2)*CM72+(1-EXP(-LN(2)/2))/(LN(2)/2)*CG73*CJ73*VLOOKUP('Données projet'!$B$12,Paramètres!$A$1:$I$89,3,0)*0.475*44/12</f>
        <v>9.3766941836318892E-6</v>
      </c>
      <c r="CN73" s="22">
        <f t="shared" si="66"/>
        <v>4.0108785833339367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7</v>
      </c>
      <c r="CS73" s="12">
        <f t="array" ref="CS73">INDEX(CR:CR,MIN(IF(ISNUMBER(CR73:CR269),ROW(CR73:CR269),"")))</f>
        <v>7</v>
      </c>
      <c r="CT73" s="12">
        <f>IF('Données projet'!$A$140&gt;35,CT72+CS73-DB72,IF(A73&lt;'Données projet'!$A$140,$CQ$205^A73,IF(A73='Données projet'!$A$140,'Données projet'!$B$140,CT72+CS73-DB72)))</f>
        <v>263.00000000000017</v>
      </c>
      <c r="CU73" s="17">
        <f>CT73*VLOOKUP('Données projet'!$B$13,Paramètres!$A$1:$I$89,3,0)*VLOOKUP('Données projet'!$B$13,Paramètres!$A$1:$I$89,5,0)</f>
        <v>266.68200000000019</v>
      </c>
      <c r="CV73" s="13">
        <f t="shared" si="95"/>
        <v>64.144600001897828</v>
      </c>
      <c r="CW73" s="20">
        <f t="shared" si="67"/>
        <v>576.18966166997234</v>
      </c>
      <c r="CX73" s="59">
        <f t="shared" si="68"/>
        <v>869.5229950033056</v>
      </c>
      <c r="CY73" s="59">
        <f ca="1">AVERAGE(OFFSET($CX$3,0,0,'Données projet'!$E$13+1,1))-AVERAGE(OFFSET($H$3,0,0,'Données projet'!$E$13+1,1))</f>
        <v>279.20364724206644</v>
      </c>
      <c r="CZ73" s="59">
        <f t="shared" si="96"/>
        <v>173.99850582760712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42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1.1482334020826566</v>
      </c>
      <c r="DH73" s="21">
        <f>EXP(-LN(2)/2)*DH72+(1-EXP(-LN(2)/2))/(LN(2)/2)*DB73*DE73*VLOOKUP('Données projet'!$B$13,Paramètres!$A$1:$I$89,3,0)*0.475*44/12</f>
        <v>6.6150075080123064E-6</v>
      </c>
      <c r="DI73" s="22">
        <f t="shared" si="69"/>
        <v>1.1482400170901645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7</v>
      </c>
      <c r="DN73" s="12">
        <f t="array" ref="DN73">INDEX(DM:DM,MIN(IF(ISNUMBER(DM73:DM269),ROW(DM73:DM269),"")))</f>
        <v>7</v>
      </c>
      <c r="DO73" s="12">
        <f>IF('Données projet'!$A$166&gt;35,DO72+DN73-DW72,IF(A73&lt;'Données projet'!$A$166,$DL$205^A73,IF(A73='Données projet'!$A$166,'Données projet'!$B$166,DO72+DN73-DW72)))</f>
        <v>263.00000000000017</v>
      </c>
      <c r="DP73" s="17">
        <f>DO73*VLOOKUP('Données projet'!$B$14,Paramètres!$A$1:$I$89,3,0)*VLOOKUP('Données projet'!$B$14,Paramètres!$A$1:$I$89,5,0)</f>
        <v>274.88760000000019</v>
      </c>
      <c r="DQ73" s="13">
        <f t="shared" si="97"/>
        <v>65.885455837257183</v>
      </c>
      <c r="DR73" s="20">
        <f t="shared" si="70"/>
        <v>593.51307224988989</v>
      </c>
      <c r="DS73" s="59">
        <f t="shared" si="71"/>
        <v>886.84640558322326</v>
      </c>
      <c r="DT73" s="59">
        <f ca="1">AVERAGE(OFFSET($DS$3,0,0,'Données projet'!$E$14+1,1))-AVERAGE(OFFSET($H$3,0,0,'Données projet'!$E$14+1,1))</f>
        <v>291.18074901939718</v>
      </c>
      <c r="DU73" s="59">
        <f t="shared" si="98"/>
        <v>181.05123751753774</v>
      </c>
      <c r="DV73" s="15">
        <f>IF(ISNA(VLOOKUP(A73,'Données projet'!$A$165:$I$185,3,0)),0,VLOOKUP(A73,'Données projet'!$A$165:$I$185,3,0))</f>
        <v>5</v>
      </c>
      <c r="DW73" s="15">
        <f>IF(ISNA(VLOOKUP(A73,'Données projet'!$A$165:$I$185,4,0)),0,VLOOKUP(A73,'Données projet'!$A$165:$I$185,4,0))</f>
        <v>42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1.1835636606082764</v>
      </c>
      <c r="EC73" s="21">
        <f>EXP(-LN(2)/2)*EC72+(1-EXP(-LN(2)/2))/(LN(2)/2)*DW73*DZ73*VLOOKUP('Données projet'!$B$14,Paramètres!$A$1:$I$89,3,0)*0.475*44/12</f>
        <v>6.8185462005665379E-6</v>
      </c>
      <c r="ED73" s="22">
        <f t="shared" si="72"/>
        <v>1.183570479154477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168.08890945052406</v>
      </c>
      <c r="EP73" s="59">
        <f t="shared" si="100"/>
        <v>182.52462557642343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2.8132973505930168</v>
      </c>
      <c r="EW73" s="21">
        <f>EXP(-LN(2)/25)*EW72+(1-EXP(-LN(2)/25))/(LN(2)/25)*Calculateur!ER73*Calculateur!ET73*VLOOKUP('Données projet'!$B$15,Paramètres!$A$1:$I$89,3,0)*0.475*44/12</f>
        <v>4.0676741695661915</v>
      </c>
      <c r="EX73" s="21">
        <f>EXP(-LN(2)/2)*EX72+(1-EXP(-LN(2)/2))/(LN(2)/2)*ER73*EU73*VLOOKUP('Données projet'!$B$15,Paramètres!$A$1:$I$89,3,0)*0.475*44/12</f>
        <v>5.1934169522039103E-6</v>
      </c>
      <c r="EY73" s="22">
        <f t="shared" si="75"/>
        <v>6.8809767135761613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274</v>
      </c>
      <c r="FC73" s="12">
        <f>VLOOKUP(A73,'Données projet'!$A$217:$I$237,9,0)</f>
        <v>4.0999999999999996</v>
      </c>
      <c r="FD73" s="12">
        <f t="array" ref="FD73">INDEX(FC:FC,MIN(IF(ISNUMBER(FC73:FC269),ROW(FC73:FC269),"")))</f>
        <v>4.0999999999999996</v>
      </c>
      <c r="FE73" s="12">
        <f>IF('Données projet'!$A$218&gt;35,FE72+FD73-FM72,IF(A73&lt;'Données projet'!$A$218,$FB$205^A73,IF(A73='Données projet'!$A$218,'Données projet'!$B$218,FE72+FD73-FM72)))</f>
        <v>273.99999999999983</v>
      </c>
      <c r="FF73" s="17">
        <f>FE73*VLOOKUP('Données projet'!$B$16,Paramètres!$A$1:$I$89,3,0)*VLOOKUP('Données projet'!$B$16,Paramètres!$A$1:$I$89,5,0)</f>
        <v>183.79919999999987</v>
      </c>
      <c r="FG73" s="13">
        <f t="shared" si="101"/>
        <v>46.166407921672452</v>
      </c>
      <c r="FH73" s="20">
        <f t="shared" si="76"/>
        <v>400.52343379691257</v>
      </c>
      <c r="FI73" s="59">
        <f t="shared" si="77"/>
        <v>693.85676713024588</v>
      </c>
      <c r="FJ73" s="59">
        <f ca="1">AVERAGE(OFFSET($FI$3,0,0,'Données projet'!$E$16+1,1))-AVERAGE(OFFSET($H$3,0,0,'Données projet'!$E$16+1,1))</f>
        <v>156.63226020379989</v>
      </c>
      <c r="FK73" s="59">
        <f t="shared" si="102"/>
        <v>196.0481096619543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21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2.8600203838247968</v>
      </c>
      <c r="FS73" s="21">
        <f>EXP(-LN(2)/2)*FS72+(1-EXP(-LN(2)/2))/(LN(2)/2)*FM73*FP73*VLOOKUP('Données projet'!$B$16,Paramètres!$A$1:$I$89,3,0)*0.475*44/12</f>
        <v>8.6531360646503864E-6</v>
      </c>
      <c r="FT73" s="22">
        <f t="shared" si="78"/>
        <v>2.8600290369608614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422</v>
      </c>
      <c r="FX73" s="12">
        <f>VLOOKUP(A73,'Données projet'!$A$243:$I$263,9,0)</f>
        <v>9.1999999999999993</v>
      </c>
      <c r="FY73" s="12">
        <f t="array" ref="FY73">INDEX(FX:FX,MIN(IF(ISNUMBER(FX73:FX269),ROW(FX73:FX269),"")))</f>
        <v>9.1999999999999993</v>
      </c>
      <c r="FZ73" s="12">
        <f>IF('Données projet'!$A$244&gt;35,FZ72+FY73-GH72,IF(A73&lt;'Données projet'!$A$244,$FW$205^A73,IF(A73='Données projet'!$A$244,'Données projet'!$B$244,FZ72+FY73-GH72)))</f>
        <v>421.99999999999966</v>
      </c>
      <c r="GA73" s="17">
        <f>FZ73*VLOOKUP('Données projet'!$B$17,Paramètres!$A$1:$I$89,3,0)*VLOOKUP('Données projet'!$B$17,Paramètres!$A$1:$I$89,5,0)</f>
        <v>252.35599999999982</v>
      </c>
      <c r="GB73" s="13">
        <f t="shared" si="103"/>
        <v>61.090167050998701</v>
      </c>
      <c r="GC73" s="20">
        <f t="shared" si="79"/>
        <v>545.9187409471557</v>
      </c>
      <c r="GD73" s="59">
        <f t="shared" si="80"/>
        <v>839.25207428048907</v>
      </c>
      <c r="GE73" s="59">
        <f ca="1">AVERAGE(OFFSET($GD$3,0,0,'Données projet'!$E$17+1,1))-AVERAGE(OFFSET($H$3,0,0,'Données projet'!$E$17+1,1))</f>
        <v>216.94426559495264</v>
      </c>
      <c r="GF73" s="59">
        <f t="shared" si="104"/>
        <v>225.33715877618704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44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4.2386762260680548</v>
      </c>
      <c r="GN73" s="21">
        <f>EXP(-LN(2)/2)*GN72+(1-EXP(-LN(2)/2))/(LN(2)/2)*GH73*GK73*VLOOKUP('Données projet'!$B$17,Paramètres!$A$1:$I$89,3,0)*0.475*44/12</f>
        <v>2.2630081056422206E-5</v>
      </c>
      <c r="GO73" s="21">
        <f t="shared" si="81"/>
        <v>4.238698856149111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263</v>
      </c>
      <c r="GS73" s="12">
        <f>VLOOKUP(A73,'Données projet'!$A$269:$I$289,9,0)</f>
        <v>7</v>
      </c>
      <c r="GT73" s="12">
        <f t="array" ref="GT73">INDEX(GS:GS,MIN(IF(ISNUMBER(GS73:GS269),ROW(GS73:GS269),"")))</f>
        <v>7</v>
      </c>
      <c r="GU73" s="12">
        <f>IF('Données projet'!$A$270&gt;35,GU72+GT73-HC72,IF(A73&lt;'Données projet'!$A$270,$GR$205^A73,IF(A73='Données projet'!$A$270,'Données projet'!$B$270,GU72+GT73-HC72)))</f>
        <v>263.00000000000017</v>
      </c>
      <c r="GV73" s="17">
        <f>GU73*VLOOKUP('Données projet'!$B$18,Paramètres!$A$1:$I$89,3,0)*VLOOKUP('Données projet'!$B$18,Paramètres!$A$1:$I$89,5,0)</f>
        <v>254.37360000000018</v>
      </c>
      <c r="GW73" s="13">
        <f t="shared" si="105"/>
        <v>61.521534056516209</v>
      </c>
      <c r="GX73" s="20">
        <f t="shared" si="82"/>
        <v>550.18402514843262</v>
      </c>
      <c r="GY73" s="59">
        <f t="shared" si="83"/>
        <v>843.517358481766</v>
      </c>
      <c r="GZ73" s="59">
        <f ca="1">AVERAGE(OFFSET($GY$3,0,0,'Données projet'!$E$18+1,1))-AVERAGE(OFFSET($H$3,0,0,'Données projet'!$E$18+1,1))</f>
        <v>261.22357949323879</v>
      </c>
      <c r="HA73" s="59">
        <f t="shared" si="106"/>
        <v>163.41029152029387</v>
      </c>
      <c r="HB73" s="15">
        <f>IF(ISNA(VLOOKUP(A73,'Données projet'!$A$269:$I$289,3,0)),0,VLOOKUP(A73,'Données projet'!$A$269:$I$289,3,0))</f>
        <v>5</v>
      </c>
      <c r="HC73" s="15">
        <f>IF(ISNA(VLOOKUP(A73,'Données projet'!$A$269:$I$289,4,0)),0,VLOOKUP(A73,'Données projet'!$A$269:$I$289,4,0))</f>
        <v>42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1.0952380142942262</v>
      </c>
      <c r="HI73" s="21">
        <f>EXP(-LN(2)/2)*HI72+(1-EXP(-LN(2)/2))/(LN(2)/2)*HC73*HF73*VLOOKUP('Données projet'!$B$18,Paramètres!$A$1:$I$89,3,0)*0.475*44/12</f>
        <v>6.309699469180969E-6</v>
      </c>
      <c r="HJ73" s="22">
        <f t="shared" si="84"/>
        <v>1.0952443239936953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237.22177246688199</v>
      </c>
      <c r="T74" s="59">
        <f t="shared" si="88"/>
        <v>149.27472147904302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3.7</v>
      </c>
      <c r="AI74" s="13">
        <f>IF('Données projet'!$A$62&gt;35,AI73+AH74-AQ73,IF(A74&lt;'Données projet'!$A$62,$AF$205^A74,IF(A74='Données projet'!$A$62,'Données projet'!$B$62,AI73+AH74-AQ73)))</f>
        <v>207.69999999999996</v>
      </c>
      <c r="AJ74" s="13">
        <f>AI74*VLOOKUP('Données projet'!$B$10,Paramètres!$A$1:$I$89,3,0)*VLOOKUP('Données projet'!$B$10,Paramètres!$A$1:$I$89,5,0)</f>
        <v>181.44671999999997</v>
      </c>
      <c r="AK74" s="13">
        <f t="shared" si="89"/>
        <v>45.64390459939613</v>
      </c>
      <c r="AL74" s="20">
        <f t="shared" si="58"/>
        <v>395.51617117728159</v>
      </c>
      <c r="AM74" s="59">
        <f t="shared" si="59"/>
        <v>688.84950451061491</v>
      </c>
      <c r="AN74" s="59">
        <f ca="1">AVERAGE(OFFSET($AM$3,0,0,'Données projet'!$E$10+1,1))-AVERAGE(OFFSET($H$3,0,0,'Données projet'!$E$10+1,1))</f>
        <v>210.07838338464626</v>
      </c>
      <c r="AO74" s="59">
        <f t="shared" si="90"/>
        <v>241.76003724236273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2.3531986013367208</v>
      </c>
      <c r="AV74" s="21">
        <f>EXP(-LN(2)/25)*AV73+(1-EXP(-LN(2)/25))/(LN(2)/25)*Calculateur!AQ74*Calculateur!AS74*VLOOKUP('Données projet'!$B$10,Paramètres!$A$1:$I$89,3,0)*0.475*44/12</f>
        <v>4.350783930229035</v>
      </c>
      <c r="AW74" s="21">
        <f>EXP(-LN(2)/2)*AW73+(1-EXP(-LN(2)/2))/(LN(2)/2)*AQ74*AT74*VLOOKUP('Données projet'!$B$10,Paramètres!$A$1:$I$89,3,0)*0.475*44/12</f>
        <v>1.0770323322817133E-5</v>
      </c>
      <c r="AX74" s="21">
        <f t="shared" si="60"/>
        <v>6.7039933018890787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5.0999999999999996</v>
      </c>
      <c r="BD74" s="12">
        <f>IF('Données projet'!$A$88&gt;35,BD73+BC74-BL73,IF(A74&lt;'Données projet'!$A$88,$BA$205^A74,IF(A74='Données projet'!$A$88,'Données projet'!$B$88,BD73+BC74-BL73)))</f>
        <v>341.10000000000042</v>
      </c>
      <c r="BE74" s="13">
        <f>BD74*VLOOKUP('Données projet'!$B$11,Paramètres!$A$1:$I$89,3,0)*VLOOKUP('Données projet'!$B$11,Paramètres!$A$1:$I$89,5,0)</f>
        <v>212.84640000000027</v>
      </c>
      <c r="BF74" s="13">
        <f t="shared" si="91"/>
        <v>52.557107491599041</v>
      </c>
      <c r="BG74" s="20">
        <f t="shared" si="61"/>
        <v>462.24444221453541</v>
      </c>
      <c r="BH74" s="59">
        <f t="shared" si="62"/>
        <v>755.57777554786867</v>
      </c>
      <c r="BI74" s="59">
        <f ca="1">AVERAGE(OFFSET($BH$3,0,0,'Données projet'!$E$11+1,1))-AVERAGE(OFFSET($H$3,0,0,'Données projet'!$E$11+1,1))</f>
        <v>209.93608079129638</v>
      </c>
      <c r="BJ74" s="59">
        <f t="shared" si="92"/>
        <v>240.15652428700969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3.0871454697364125</v>
      </c>
      <c r="BQ74" s="21">
        <f>EXP(-LN(2)/25)*BQ73+(1-EXP(-LN(2)/25))/(LN(2)/25)*Calculateur!BL74*Calculateur!BN74*VLOOKUP('Données projet'!$B$11,Paramètres!$A$1:$I$89,3,0)*0.475*44/12</f>
        <v>6.6699350177399825</v>
      </c>
      <c r="BR74" s="21">
        <f>EXP(-LN(2)/2)*BR73+(1-EXP(-LN(2)/2))/(LN(2)/2)*BL74*BO74*VLOOKUP('Données projet'!$B$11,Paramètres!$A$1:$I$89,3,0)*0.475*44/12</f>
        <v>1.3615667877543857E-5</v>
      </c>
      <c r="BS74" s="22">
        <f t="shared" si="63"/>
        <v>9.7570941031442722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379.99999999999989</v>
      </c>
      <c r="BZ74" s="13">
        <f>BY74*VLOOKUP('Données projet'!$B$12,Paramètres!$A$1:$I$89,3,0)*VLOOKUP('Données projet'!$B$12,Paramètres!$A$1:$I$89,5,0)</f>
        <v>177.83999999999995</v>
      </c>
      <c r="CA74" s="13">
        <f t="shared" si="93"/>
        <v>44.841288830609102</v>
      </c>
      <c r="CB74" s="20">
        <f t="shared" si="64"/>
        <v>387.83657804664409</v>
      </c>
      <c r="CC74" s="59">
        <f t="shared" si="65"/>
        <v>681.16991137997741</v>
      </c>
      <c r="CD74" s="59">
        <f ca="1">AVERAGE(OFFSET($CC$3,0,0,'Données projet'!$E$12+1,1))-AVERAGE(OFFSET($H$3,0,0,'Données projet'!$E$12+1,1))</f>
        <v>215.23235148064941</v>
      </c>
      <c r="CE74" s="59">
        <f t="shared" si="94"/>
        <v>184.07239726900434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1.3916962032767097</v>
      </c>
      <c r="CL74" s="21">
        <f>EXP(-LN(2)/25)*CL73+(1-EXP(-LN(2)/25))/(LN(2)/25)*Calculateur!CG74*Calculateur!CI74*VLOOKUP('Données projet'!$B$12,Paramètres!$A$1:$I$89,3,0)*0.475*44/12</f>
        <v>2.5204765973242895</v>
      </c>
      <c r="CM74" s="21">
        <f>EXP(-LN(2)/2)*CM73+(1-EXP(-LN(2)/2))/(LN(2)/2)*CG74*CJ74*VLOOKUP('Données projet'!$B$12,Paramètres!$A$1:$I$89,3,0)*0.475*44/12</f>
        <v>6.6303240423585673E-6</v>
      </c>
      <c r="CN74" s="22">
        <f t="shared" si="66"/>
        <v>3.9121794309250415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6.1</v>
      </c>
      <c r="CT74" s="12">
        <f>IF('Données projet'!$A$140&gt;35,CT73+CS74-DB73,IF(A74&lt;'Données projet'!$A$140,$CQ$205^A74,IF(A74='Données projet'!$A$140,'Données projet'!$B$140,CT73+CS74-DB73)))</f>
        <v>227.10000000000019</v>
      </c>
      <c r="CU74" s="17">
        <f>CT74*VLOOKUP('Données projet'!$B$13,Paramètres!$A$1:$I$89,3,0)*VLOOKUP('Données projet'!$B$13,Paramètres!$A$1:$I$89,5,0)</f>
        <v>230.27940000000021</v>
      </c>
      <c r="CV74" s="13">
        <f t="shared" si="95"/>
        <v>56.34309007423694</v>
      </c>
      <c r="CW74" s="20">
        <f t="shared" si="67"/>
        <v>499.20083687929633</v>
      </c>
      <c r="CX74" s="59">
        <f t="shared" si="68"/>
        <v>792.53417021262965</v>
      </c>
      <c r="CY74" s="59">
        <f ca="1">AVERAGE(OFFSET($CX$3,0,0,'Données projet'!$E$13+1,1))-AVERAGE(OFFSET($H$3,0,0,'Données projet'!$E$13+1,1))</f>
        <v>279.20364724206644</v>
      </c>
      <c r="CZ74" s="59">
        <f t="shared" si="96"/>
        <v>173.99850582760712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1.1168348993197361</v>
      </c>
      <c r="DH74" s="21">
        <f>EXP(-LN(2)/2)*DH73+(1-EXP(-LN(2)/2))/(LN(2)/2)*DB74*DE74*VLOOKUP('Données projet'!$B$13,Paramètres!$A$1:$I$89,3,0)*0.475*44/12</f>
        <v>4.677516666515427E-6</v>
      </c>
      <c r="DI74" s="22">
        <f t="shared" si="69"/>
        <v>1.1168395768364026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6.1</v>
      </c>
      <c r="DO74" s="12">
        <f>IF('Données projet'!$A$166&gt;35,DO73+DN74-DW73,IF(A74&lt;'Données projet'!$A$166,$DL$205^A74,IF(A74='Données projet'!$A$166,'Données projet'!$B$166,DO73+DN74-DW73)))</f>
        <v>227.10000000000019</v>
      </c>
      <c r="DP74" s="17">
        <f>DO74*VLOOKUP('Données projet'!$B$14,Paramètres!$A$1:$I$89,3,0)*VLOOKUP('Données projet'!$B$14,Paramètres!$A$1:$I$89,5,0)</f>
        <v>237.36492000000021</v>
      </c>
      <c r="DQ74" s="13">
        <f t="shared" si="97"/>
        <v>57.872216409657391</v>
      </c>
      <c r="DR74" s="20">
        <f t="shared" si="70"/>
        <v>514.20467924682032</v>
      </c>
      <c r="DS74" s="59">
        <f t="shared" si="71"/>
        <v>807.53801258015369</v>
      </c>
      <c r="DT74" s="59">
        <f ca="1">AVERAGE(OFFSET($DS$3,0,0,'Données projet'!$E$14+1,1))-AVERAGE(OFFSET($H$3,0,0,'Données projet'!$E$14+1,1))</f>
        <v>291.18074901939718</v>
      </c>
      <c r="DU74" s="59">
        <f t="shared" si="98"/>
        <v>181.05123751753774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1.1511990500680354</v>
      </c>
      <c r="EC74" s="21">
        <f>EXP(-LN(2)/2)*EC73+(1-EXP(-LN(2)/2))/(LN(2)/2)*DW74*DZ74*VLOOKUP('Données projet'!$B$14,Paramètres!$A$1:$I$89,3,0)*0.475*44/12</f>
        <v>4.8214402562543678E-6</v>
      </c>
      <c r="ED74" s="22">
        <f t="shared" si="72"/>
        <v>1.1512038715082915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168.08890945052406</v>
      </c>
      <c r="EP74" s="59">
        <f t="shared" si="100"/>
        <v>182.52462557642343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2.7581303054898365</v>
      </c>
      <c r="EW74" s="21">
        <f>EXP(-LN(2)/25)*EW73+(1-EXP(-LN(2)/25))/(LN(2)/25)*Calculateur!ER74*Calculateur!ET74*VLOOKUP('Données projet'!$B$15,Paramètres!$A$1:$I$89,3,0)*0.475*44/12</f>
        <v>3.9564434054897162</v>
      </c>
      <c r="EX74" s="21">
        <f>EXP(-LN(2)/2)*EX73+(1-EXP(-LN(2)/2))/(LN(2)/2)*ER74*EU74*VLOOKUP('Données projet'!$B$15,Paramètres!$A$1:$I$89,3,0)*0.475*44/12</f>
        <v>3.6723003444325572E-6</v>
      </c>
      <c r="EY74" s="22">
        <f t="shared" si="75"/>
        <v>6.7145773832798969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3.1</v>
      </c>
      <c r="FE74" s="12">
        <f>IF('Données projet'!$A$218&gt;35,FE73+FD74-FM73,IF(A74&lt;'Données projet'!$A$218,$FB$205^A74,IF(A74='Données projet'!$A$218,'Données projet'!$B$218,FE73+FD74-FM73)))</f>
        <v>256.09999999999985</v>
      </c>
      <c r="FF74" s="17">
        <f>FE74*VLOOKUP('Données projet'!$B$16,Paramètres!$A$1:$I$89,3,0)*VLOOKUP('Données projet'!$B$16,Paramètres!$A$1:$I$89,5,0)</f>
        <v>171.79187999999991</v>
      </c>
      <c r="FG74" s="13">
        <f t="shared" si="101"/>
        <v>43.491099864751611</v>
      </c>
      <c r="FH74" s="20">
        <f t="shared" si="76"/>
        <v>374.9511899311089</v>
      </c>
      <c r="FI74" s="59">
        <f t="shared" si="77"/>
        <v>668.28452326444221</v>
      </c>
      <c r="FJ74" s="59">
        <f ca="1">AVERAGE(OFFSET($FI$3,0,0,'Données projet'!$E$16+1,1))-AVERAGE(OFFSET($H$3,0,0,'Données projet'!$E$16+1,1))</f>
        <v>156.63226020379989</v>
      </c>
      <c r="FK74" s="59">
        <f t="shared" si="102"/>
        <v>196.0481096619543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2.7818129760271724</v>
      </c>
      <c r="FS74" s="21">
        <f>EXP(-LN(2)/2)*FS73+(1-EXP(-LN(2)/2))/(LN(2)/2)*FM74*FP74*VLOOKUP('Données projet'!$B$16,Paramètres!$A$1:$I$89,3,0)*0.475*44/12</f>
        <v>6.1186911898441637E-6</v>
      </c>
      <c r="FT74" s="22">
        <f t="shared" si="78"/>
        <v>2.7818190947183621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7.2</v>
      </c>
      <c r="FZ74" s="12">
        <f>IF('Données projet'!$A$244&gt;35,FZ73+FY74-GH73,IF(A74&lt;'Données projet'!$A$244,$FW$205^A74,IF(A74='Données projet'!$A$244,'Données projet'!$B$244,FZ73+FY74-GH73)))</f>
        <v>385.19999999999965</v>
      </c>
      <c r="GA74" s="17">
        <f>FZ74*VLOOKUP('Données projet'!$B$17,Paramètres!$A$1:$I$89,3,0)*VLOOKUP('Données projet'!$B$17,Paramètres!$A$1:$I$89,5,0)</f>
        <v>230.34959999999978</v>
      </c>
      <c r="GB74" s="13">
        <f t="shared" si="103"/>
        <v>56.358266541426261</v>
      </c>
      <c r="GC74" s="20">
        <f t="shared" si="79"/>
        <v>499.34953422631702</v>
      </c>
      <c r="GD74" s="59">
        <f t="shared" si="80"/>
        <v>792.68286755965028</v>
      </c>
      <c r="GE74" s="59">
        <f ca="1">AVERAGE(OFFSET($GD$3,0,0,'Données projet'!$E$17+1,1))-AVERAGE(OFFSET($H$3,0,0,'Données projet'!$E$17+1,1))</f>
        <v>216.94426559495264</v>
      </c>
      <c r="GF74" s="59">
        <f t="shared" si="104"/>
        <v>225.33715877618704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4.1227694017639287</v>
      </c>
      <c r="GN74" s="21">
        <f>EXP(-LN(2)/2)*GN73+(1-EXP(-LN(2)/2))/(LN(2)/2)*GH74*GK74*VLOOKUP('Données projet'!$B$17,Paramètres!$A$1:$I$89,3,0)*0.475*44/12</f>
        <v>1.6001883773797371E-5</v>
      </c>
      <c r="GO74" s="21">
        <f t="shared" si="81"/>
        <v>4.1227854036477023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6.1</v>
      </c>
      <c r="GU74" s="12">
        <f>IF('Données projet'!$A$270&gt;35,GU73+GT74-HC73,IF(A74&lt;'Données projet'!$A$270,$GR$205^A74,IF(A74='Données projet'!$A$270,'Données projet'!$B$270,GU73+GT74-HC73)))</f>
        <v>227.10000000000019</v>
      </c>
      <c r="GV74" s="17">
        <f>GU74*VLOOKUP('Données projet'!$B$18,Paramètres!$A$1:$I$89,3,0)*VLOOKUP('Données projet'!$B$18,Paramètres!$A$1:$I$89,5,0)</f>
        <v>219.65112000000016</v>
      </c>
      <c r="GW74" s="13">
        <f t="shared" si="105"/>
        <v>54.0390513737551</v>
      </c>
      <c r="GX74" s="20">
        <f t="shared" si="82"/>
        <v>476.67704847595706</v>
      </c>
      <c r="GY74" s="59">
        <f t="shared" si="83"/>
        <v>770.01038180929038</v>
      </c>
      <c r="GZ74" s="59">
        <f ca="1">AVERAGE(OFFSET($GY$3,0,0,'Données projet'!$E$18+1,1))-AVERAGE(OFFSET($H$3,0,0,'Données projet'!$E$18+1,1))</f>
        <v>261.22357949323879</v>
      </c>
      <c r="HA74" s="59">
        <f t="shared" si="106"/>
        <v>163.41029152029387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1.0652886731972866</v>
      </c>
      <c r="HI74" s="21">
        <f>EXP(-LN(2)/2)*HI73+(1-EXP(-LN(2)/2))/(LN(2)/2)*HC74*HF74*VLOOKUP('Données projet'!$B$18,Paramètres!$A$1:$I$89,3,0)*0.475*44/12</f>
        <v>4.4616312819070224E-6</v>
      </c>
      <c r="HJ74" s="22">
        <f t="shared" si="84"/>
        <v>1.0652931348285686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237.22177246688199</v>
      </c>
      <c r="T75" s="59">
        <f t="shared" si="88"/>
        <v>149.27472147904302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3.7</v>
      </c>
      <c r="AI75" s="13">
        <f>IF('Données projet'!$A$62&gt;35,AI74+AH75-AQ74,IF(A75&lt;'Données projet'!$A$62,$AF$205^A75,IF(A75='Données projet'!$A$62,'Données projet'!$B$62,AI74+AH75-AQ74)))</f>
        <v>211.39999999999995</v>
      </c>
      <c r="AJ75" s="13">
        <f>AI75*VLOOKUP('Données projet'!$B$10,Paramètres!$A$1:$I$89,3,0)*VLOOKUP('Données projet'!$B$10,Paramètres!$A$1:$I$89,5,0)</f>
        <v>184.67903999999999</v>
      </c>
      <c r="AK75" s="13">
        <f t="shared" si="89"/>
        <v>46.361626470742181</v>
      </c>
      <c r="AL75" s="20">
        <f t="shared" si="58"/>
        <v>402.39582743654256</v>
      </c>
      <c r="AM75" s="59">
        <f t="shared" si="59"/>
        <v>695.72916076987588</v>
      </c>
      <c r="AN75" s="59">
        <f ca="1">AVERAGE(OFFSET($AM$3,0,0,'Données projet'!$E$10+1,1))-AVERAGE(OFFSET($H$3,0,0,'Données projet'!$E$10+1,1))</f>
        <v>210.07838338464626</v>
      </c>
      <c r="AO75" s="59">
        <f t="shared" si="90"/>
        <v>241.76003724236273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2.3070538120739292</v>
      </c>
      <c r="AV75" s="21">
        <f>EXP(-LN(2)/25)*AV74+(1-EXP(-LN(2)/25))/(LN(2)/25)*Calculateur!AQ75*Calculateur!AS75*VLOOKUP('Données projet'!$B$10,Paramètres!$A$1:$I$89,3,0)*0.475*44/12</f>
        <v>4.2318115148591389</v>
      </c>
      <c r="AW75" s="21">
        <f>EXP(-LN(2)/2)*AW74+(1-EXP(-LN(2)/2))/(LN(2)/2)*AQ75*AT75*VLOOKUP('Données projet'!$B$10,Paramètres!$A$1:$I$89,3,0)*0.475*44/12</f>
        <v>7.6157686571356245E-6</v>
      </c>
      <c r="AX75" s="21">
        <f t="shared" si="60"/>
        <v>6.538872942701726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5.0999999999999996</v>
      </c>
      <c r="BD75" s="12">
        <f>IF('Données projet'!$A$88&gt;35,BD74+BC75-BL74,IF(A75&lt;'Données projet'!$A$88,$BA$205^A75,IF(A75='Données projet'!$A$88,'Données projet'!$B$88,BD74+BC75-BL74)))</f>
        <v>346.20000000000044</v>
      </c>
      <c r="BE75" s="13">
        <f>BD75*VLOOKUP('Données projet'!$B$11,Paramètres!$A$1:$I$89,3,0)*VLOOKUP('Données projet'!$B$11,Paramètres!$A$1:$I$89,5,0)</f>
        <v>216.02880000000027</v>
      </c>
      <c r="BF75" s="13">
        <f t="shared" si="91"/>
        <v>53.25085210905786</v>
      </c>
      <c r="BG75" s="20">
        <f t="shared" si="61"/>
        <v>468.99539408994292</v>
      </c>
      <c r="BH75" s="59">
        <f t="shared" si="62"/>
        <v>762.32872742327618</v>
      </c>
      <c r="BI75" s="59">
        <f ca="1">AVERAGE(OFFSET($BH$3,0,0,'Données projet'!$E$11+1,1))-AVERAGE(OFFSET($H$3,0,0,'Données projet'!$E$11+1,1))</f>
        <v>209.93608079129638</v>
      </c>
      <c r="BJ75" s="59">
        <f t="shared" si="92"/>
        <v>240.15652428700969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3.0266084300476899</v>
      </c>
      <c r="BQ75" s="21">
        <f>EXP(-LN(2)/25)*BQ74+(1-EXP(-LN(2)/25))/(LN(2)/25)*Calculateur!BL75*Calculateur!BN75*VLOOKUP('Données projet'!$B$11,Paramètres!$A$1:$I$89,3,0)*0.475*44/12</f>
        <v>6.4875452939232447</v>
      </c>
      <c r="BR75" s="21">
        <f>EXP(-LN(2)/2)*BR74+(1-EXP(-LN(2)/2))/(LN(2)/2)*BL75*BO75*VLOOKUP('Données projet'!$B$11,Paramètres!$A$1:$I$89,3,0)*0.475*44/12</f>
        <v>9.627731086595108E-6</v>
      </c>
      <c r="BS75" s="22">
        <f t="shared" si="63"/>
        <v>9.5141633517020221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396.99999999999989</v>
      </c>
      <c r="BZ75" s="13">
        <f>BY75*VLOOKUP('Données projet'!$B$12,Paramètres!$A$1:$I$89,3,0)*VLOOKUP('Données projet'!$B$12,Paramètres!$A$1:$I$89,5,0)</f>
        <v>185.79599999999996</v>
      </c>
      <c r="CA75" s="13">
        <f t="shared" si="93"/>
        <v>46.60930127448345</v>
      </c>
      <c r="CB75" s="20">
        <f t="shared" si="64"/>
        <v>404.77256638639187</v>
      </c>
      <c r="CC75" s="59">
        <f t="shared" si="65"/>
        <v>698.10589971972513</v>
      </c>
      <c r="CD75" s="59">
        <f ca="1">AVERAGE(OFFSET($CC$3,0,0,'Données projet'!$E$12+1,1))-AVERAGE(OFFSET($H$3,0,0,'Données projet'!$E$12+1,1))</f>
        <v>215.23235148064941</v>
      </c>
      <c r="CE75" s="59">
        <f t="shared" si="94"/>
        <v>184.07239726900434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1.3644058895813205</v>
      </c>
      <c r="CL75" s="21">
        <f>EXP(-LN(2)/25)*CL74+(1-EXP(-LN(2)/25))/(LN(2)/25)*Calculateur!CG75*Calculateur!CI75*VLOOKUP('Données projet'!$B$12,Paramètres!$A$1:$I$89,3,0)*0.475*44/12</f>
        <v>2.4515540322243532</v>
      </c>
      <c r="CM75" s="21">
        <f>EXP(-LN(2)/2)*CM74+(1-EXP(-LN(2)/2))/(LN(2)/2)*CG75*CJ75*VLOOKUP('Données projet'!$B$12,Paramètres!$A$1:$I$89,3,0)*0.475*44/12</f>
        <v>4.6883470918159446E-6</v>
      </c>
      <c r="CN75" s="22">
        <f t="shared" si="66"/>
        <v>3.8159646101527658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6.1</v>
      </c>
      <c r="CT75" s="12">
        <f>IF('Données projet'!$A$140&gt;35,CT74+CS75-DB74,IF(A75&lt;'Données projet'!$A$140,$CQ$205^A75,IF(A75='Données projet'!$A$140,'Données projet'!$B$140,CT74+CS75-DB74)))</f>
        <v>233.20000000000019</v>
      </c>
      <c r="CU75" s="17">
        <f>CT75*VLOOKUP('Données projet'!$B$13,Paramètres!$A$1:$I$89,3,0)*VLOOKUP('Données projet'!$B$13,Paramètres!$A$1:$I$89,5,0)</f>
        <v>236.4648000000002</v>
      </c>
      <c r="CV75" s="13">
        <f t="shared" si="95"/>
        <v>57.678259313423474</v>
      </c>
      <c r="CW75" s="20">
        <f t="shared" si="67"/>
        <v>512.29916163754626</v>
      </c>
      <c r="CX75" s="59">
        <f t="shared" si="68"/>
        <v>805.63249497087963</v>
      </c>
      <c r="CY75" s="59">
        <f ca="1">AVERAGE(OFFSET($CX$3,0,0,'Données projet'!$E$13+1,1))-AVERAGE(OFFSET($H$3,0,0,'Données projet'!$E$13+1,1))</f>
        <v>279.20364724206644</v>
      </c>
      <c r="CZ75" s="59">
        <f t="shared" si="96"/>
        <v>173.99850582760712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1.086294990266043</v>
      </c>
      <c r="DH75" s="21">
        <f>EXP(-LN(2)/2)*DH74+(1-EXP(-LN(2)/2))/(LN(2)/2)*DB75*DE75*VLOOKUP('Données projet'!$B$13,Paramètres!$A$1:$I$89,3,0)*0.475*44/12</f>
        <v>3.3075037540061532E-6</v>
      </c>
      <c r="DI75" s="22">
        <f t="shared" si="69"/>
        <v>1.086298297769797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6.1</v>
      </c>
      <c r="DO75" s="12">
        <f>IF('Données projet'!$A$166&gt;35,DO74+DN75-DW74,IF(A75&lt;'Données projet'!$A$166,$DL$205^A75,IF(A75='Données projet'!$A$166,'Données projet'!$B$166,DO74+DN75-DW74)))</f>
        <v>233.20000000000019</v>
      </c>
      <c r="DP75" s="17">
        <f>DO75*VLOOKUP('Données projet'!$B$14,Paramètres!$A$1:$I$89,3,0)*VLOOKUP('Données projet'!$B$14,Paramètres!$A$1:$I$89,5,0)</f>
        <v>243.74064000000024</v>
      </c>
      <c r="DQ75" s="13">
        <f t="shared" si="97"/>
        <v>59.24362154650585</v>
      </c>
      <c r="DR75" s="20">
        <f t="shared" si="70"/>
        <v>527.69758886016473</v>
      </c>
      <c r="DS75" s="59">
        <f t="shared" si="71"/>
        <v>821.0309221934981</v>
      </c>
      <c r="DT75" s="59">
        <f ca="1">AVERAGE(OFFSET($DS$3,0,0,'Données projet'!$E$14+1,1))-AVERAGE(OFFSET($H$3,0,0,'Données projet'!$E$14+1,1))</f>
        <v>291.18074901939718</v>
      </c>
      <c r="DU75" s="59">
        <f t="shared" si="98"/>
        <v>181.05123751753774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1.119719451504998</v>
      </c>
      <c r="EC75" s="21">
        <f>EXP(-LN(2)/2)*EC74+(1-EXP(-LN(2)/2))/(LN(2)/2)*DW75*DZ75*VLOOKUP('Données projet'!$B$14,Paramètres!$A$1:$I$89,3,0)*0.475*44/12</f>
        <v>3.4092731002832689E-6</v>
      </c>
      <c r="ED75" s="22">
        <f t="shared" si="72"/>
        <v>1.1197228607780982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168.08890945052406</v>
      </c>
      <c r="EP75" s="59">
        <f t="shared" si="100"/>
        <v>182.52462557642343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2.7040450524925546</v>
      </c>
      <c r="EW75" s="21">
        <f>EXP(-LN(2)/25)*EW74+(1-EXP(-LN(2)/25))/(LN(2)/25)*Calculateur!ER75*Calculateur!ET75*VLOOKUP('Données projet'!$B$15,Paramètres!$A$1:$I$89,3,0)*0.475*44/12</f>
        <v>3.8482542525062837</v>
      </c>
      <c r="EX75" s="21">
        <f>EXP(-LN(2)/2)*EX74+(1-EXP(-LN(2)/2))/(LN(2)/2)*ER75*EU75*VLOOKUP('Données projet'!$B$15,Paramètres!$A$1:$I$89,3,0)*0.475*44/12</f>
        <v>2.5967084761019555E-6</v>
      </c>
      <c r="EY75" s="22">
        <f t="shared" si="75"/>
        <v>6.5523019017073141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3.1</v>
      </c>
      <c r="FE75" s="12">
        <f>IF('Données projet'!$A$218&gt;35,FE74+FD75-FM74,IF(A75&lt;'Données projet'!$A$218,$FB$205^A75,IF(A75='Données projet'!$A$218,'Données projet'!$B$218,FE74+FD75-FM74)))</f>
        <v>259.19999999999987</v>
      </c>
      <c r="FF75" s="17">
        <f>FE75*VLOOKUP('Données projet'!$B$16,Paramètres!$A$1:$I$89,3,0)*VLOOKUP('Données projet'!$B$16,Paramètres!$A$1:$I$89,5,0)</f>
        <v>173.87135999999992</v>
      </c>
      <c r="FG75" s="13">
        <f t="shared" si="101"/>
        <v>43.955939893839918</v>
      </c>
      <c r="FH75" s="20">
        <f t="shared" si="76"/>
        <v>379.38254731510438</v>
      </c>
      <c r="FI75" s="59">
        <f t="shared" si="77"/>
        <v>672.71588064843763</v>
      </c>
      <c r="FJ75" s="59">
        <f ca="1">AVERAGE(OFFSET($FI$3,0,0,'Données projet'!$E$16+1,1))-AVERAGE(OFFSET($H$3,0,0,'Données projet'!$E$16+1,1))</f>
        <v>156.63226020379989</v>
      </c>
      <c r="FK75" s="59">
        <f t="shared" si="102"/>
        <v>196.0481096619543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2.705744153908523</v>
      </c>
      <c r="FS75" s="21">
        <f>EXP(-LN(2)/2)*FS74+(1-EXP(-LN(2)/2))/(LN(2)/2)*FM75*FP75*VLOOKUP('Données projet'!$B$16,Paramètres!$A$1:$I$89,3,0)*0.475*44/12</f>
        <v>4.3265680323251932E-6</v>
      </c>
      <c r="FT75" s="22">
        <f t="shared" si="78"/>
        <v>2.7057484804765553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7.2</v>
      </c>
      <c r="FZ75" s="12">
        <f>IF('Données projet'!$A$244&gt;35,FZ74+FY75-GH74,IF(A75&lt;'Données projet'!$A$244,$FW$205^A75,IF(A75='Données projet'!$A$244,'Données projet'!$B$244,FZ74+FY75-GH74)))</f>
        <v>392.39999999999964</v>
      </c>
      <c r="GA75" s="17">
        <f>FZ75*VLOOKUP('Données projet'!$B$17,Paramètres!$A$1:$I$89,3,0)*VLOOKUP('Données projet'!$B$17,Paramètres!$A$1:$I$89,5,0)</f>
        <v>234.65519999999981</v>
      </c>
      <c r="GB75" s="13">
        <f t="shared" si="103"/>
        <v>57.288067746850942</v>
      </c>
      <c r="GC75" s="20">
        <f t="shared" si="79"/>
        <v>508.46785799243179</v>
      </c>
      <c r="GD75" s="59">
        <f t="shared" si="80"/>
        <v>801.8011913257651</v>
      </c>
      <c r="GE75" s="59">
        <f ca="1">AVERAGE(OFFSET($GD$3,0,0,'Données projet'!$E$17+1,1))-AVERAGE(OFFSET($H$3,0,0,'Données projet'!$E$17+1,1))</f>
        <v>216.94426559495264</v>
      </c>
      <c r="GF75" s="59">
        <f t="shared" si="104"/>
        <v>225.33715877618704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4.0100320556656737</v>
      </c>
      <c r="GN75" s="21">
        <f>EXP(-LN(2)/2)*GN74+(1-EXP(-LN(2)/2))/(LN(2)/2)*GH75*GK75*VLOOKUP('Données projet'!$B$17,Paramètres!$A$1:$I$89,3,0)*0.475*44/12</f>
        <v>1.1315040528211103E-5</v>
      </c>
      <c r="GO75" s="21">
        <f t="shared" si="81"/>
        <v>4.0100433707062022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6.1</v>
      </c>
      <c r="GU75" s="12">
        <f>IF('Données projet'!$A$270&gt;35,GU74+GT75-HC74,IF(A75&lt;'Données projet'!$A$270,$GR$205^A75,IF(A75='Données projet'!$A$270,'Données projet'!$B$270,GU74+GT75-HC74)))</f>
        <v>233.20000000000019</v>
      </c>
      <c r="GV75" s="17">
        <f>GU75*VLOOKUP('Données projet'!$B$18,Paramètres!$A$1:$I$89,3,0)*VLOOKUP('Données projet'!$B$18,Paramètres!$A$1:$I$89,5,0)</f>
        <v>225.5510400000002</v>
      </c>
      <c r="GW75" s="13">
        <f t="shared" si="105"/>
        <v>55.319621520227244</v>
      </c>
      <c r="GX75" s="20">
        <f t="shared" si="82"/>
        <v>489.18306881439611</v>
      </c>
      <c r="GY75" s="59">
        <f t="shared" si="83"/>
        <v>782.51640214772942</v>
      </c>
      <c r="GZ75" s="59">
        <f ca="1">AVERAGE(OFFSET($GY$3,0,0,'Données projet'!$E$18+1,1))-AVERAGE(OFFSET($H$3,0,0,'Données projet'!$E$18+1,1))</f>
        <v>261.22357949323879</v>
      </c>
      <c r="HA75" s="59">
        <f t="shared" si="106"/>
        <v>163.41029152029387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1.0361582984076103</v>
      </c>
      <c r="HI75" s="21">
        <f>EXP(-LN(2)/2)*HI74+(1-EXP(-LN(2)/2))/(LN(2)/2)*HC75*HF75*VLOOKUP('Données projet'!$B$18,Paramètres!$A$1:$I$89,3,0)*0.475*44/12</f>
        <v>3.1548497345904845E-6</v>
      </c>
      <c r="HJ75" s="22">
        <f t="shared" si="84"/>
        <v>1.0361614532573449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237.22177246688199</v>
      </c>
      <c r="T76" s="59">
        <f t="shared" si="88"/>
        <v>149.27472147904302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3.7</v>
      </c>
      <c r="AI76" s="13">
        <f>IF('Données projet'!$A$62&gt;35,AI75+AH76-AQ75,IF(A76&lt;'Données projet'!$A$62,$AF$205^A76,IF(A76='Données projet'!$A$62,'Données projet'!$B$62,AI75+AH76-AQ75)))</f>
        <v>215.09999999999994</v>
      </c>
      <c r="AJ76" s="13">
        <f>AI76*VLOOKUP('Données projet'!$B$10,Paramètres!$A$1:$I$89,3,0)*VLOOKUP('Données projet'!$B$10,Paramètres!$A$1:$I$89,5,0)</f>
        <v>187.91135999999997</v>
      </c>
      <c r="AK76" s="13">
        <f t="shared" si="89"/>
        <v>47.077887554632845</v>
      </c>
      <c r="AL76" s="20">
        <f t="shared" si="58"/>
        <v>409.27293949098544</v>
      </c>
      <c r="AM76" s="59">
        <f t="shared" si="59"/>
        <v>702.60627282431869</v>
      </c>
      <c r="AN76" s="59">
        <f ca="1">AVERAGE(OFFSET($AM$3,0,0,'Données projet'!$E$10+1,1))-AVERAGE(OFFSET($H$3,0,0,'Données projet'!$E$10+1,1))</f>
        <v>210.07838338464626</v>
      </c>
      <c r="AO76" s="59">
        <f t="shared" si="90"/>
        <v>241.76003724236273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2.2618138939830388</v>
      </c>
      <c r="AV76" s="21">
        <f>EXP(-LN(2)/25)*AV75+(1-EXP(-LN(2)/25))/(LN(2)/25)*Calculateur!AQ76*Calculateur!AS76*VLOOKUP('Données projet'!$B$10,Paramètres!$A$1:$I$89,3,0)*0.475*44/12</f>
        <v>4.1160924064440199</v>
      </c>
      <c r="AW76" s="21">
        <f>EXP(-LN(2)/2)*AW75+(1-EXP(-LN(2)/2))/(LN(2)/2)*AQ76*AT76*VLOOKUP('Données projet'!$B$10,Paramètres!$A$1:$I$89,3,0)*0.475*44/12</f>
        <v>5.3851616614085675E-6</v>
      </c>
      <c r="AX76" s="21">
        <f t="shared" si="60"/>
        <v>6.3779116855887201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5.0999999999999996</v>
      </c>
      <c r="BD76" s="12">
        <f>IF('Données projet'!$A$88&gt;35,BD75+BC76-BL75,IF(A76&lt;'Données projet'!$A$88,$BA$205^A76,IF(A76='Données projet'!$A$88,'Données projet'!$B$88,BD75+BC76-BL75)))</f>
        <v>351.30000000000047</v>
      </c>
      <c r="BE76" s="13">
        <f>BD76*VLOOKUP('Données projet'!$B$11,Paramètres!$A$1:$I$89,3,0)*VLOOKUP('Données projet'!$B$11,Paramètres!$A$1:$I$89,5,0)</f>
        <v>219.2112000000003</v>
      </c>
      <c r="BF76" s="13">
        <f t="shared" si="91"/>
        <v>53.943408114730026</v>
      </c>
      <c r="BG76" s="20">
        <f t="shared" si="61"/>
        <v>475.74427579982193</v>
      </c>
      <c r="BH76" s="59">
        <f t="shared" si="62"/>
        <v>769.07760913315519</v>
      </c>
      <c r="BI76" s="59">
        <f ca="1">AVERAGE(OFFSET($BH$3,0,0,'Données projet'!$E$11+1,1))-AVERAGE(OFFSET($H$3,0,0,'Données projet'!$E$11+1,1))</f>
        <v>209.93608079129638</v>
      </c>
      <c r="BJ76" s="59">
        <f t="shared" si="92"/>
        <v>240.15652428700969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2.967258484783315</v>
      </c>
      <c r="BQ76" s="21">
        <f>EXP(-LN(2)/25)*BQ75+(1-EXP(-LN(2)/25))/(LN(2)/25)*Calculateur!BL76*Calculateur!BN76*VLOOKUP('Données projet'!$B$11,Paramètres!$A$1:$I$89,3,0)*0.475*44/12</f>
        <v>6.3101430266957337</v>
      </c>
      <c r="BR76" s="21">
        <f>EXP(-LN(2)/2)*BR75+(1-EXP(-LN(2)/2))/(LN(2)/2)*BL76*BO76*VLOOKUP('Données projet'!$B$11,Paramètres!$A$1:$I$89,3,0)*0.475*44/12</f>
        <v>6.8078339387719286E-6</v>
      </c>
      <c r="BS76" s="22">
        <f t="shared" si="63"/>
        <v>9.2774083193129879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413.99999999999989</v>
      </c>
      <c r="BZ76" s="13">
        <f>BY76*VLOOKUP('Données projet'!$B$12,Paramètres!$A$1:$I$89,3,0)*VLOOKUP('Données projet'!$B$12,Paramètres!$A$1:$I$89,5,0)</f>
        <v>193.75199999999995</v>
      </c>
      <c r="CA76" s="13">
        <f t="shared" si="93"/>
        <v>48.36852035537607</v>
      </c>
      <c r="CB76" s="20">
        <f t="shared" si="64"/>
        <v>421.69323961894656</v>
      </c>
      <c r="CC76" s="59">
        <f t="shared" si="65"/>
        <v>715.02657295227982</v>
      </c>
      <c r="CD76" s="59">
        <f ca="1">AVERAGE(OFFSET($CC$3,0,0,'Données projet'!$E$12+1,1))-AVERAGE(OFFSET($H$3,0,0,'Données projet'!$E$12+1,1))</f>
        <v>215.23235148064941</v>
      </c>
      <c r="CE76" s="59">
        <f t="shared" si="94"/>
        <v>184.07239726900434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1.33765072229205</v>
      </c>
      <c r="CL76" s="21">
        <f>EXP(-LN(2)/25)*CL75+(1-EXP(-LN(2)/25))/(LN(2)/25)*Calculateur!CG76*Calculateur!CI76*VLOOKUP('Données projet'!$B$12,Paramètres!$A$1:$I$89,3,0)*0.475*44/12</f>
        <v>2.3845161582915546</v>
      </c>
      <c r="CM76" s="21">
        <f>EXP(-LN(2)/2)*CM75+(1-EXP(-LN(2)/2))/(LN(2)/2)*CG76*CJ76*VLOOKUP('Données projet'!$B$12,Paramètres!$A$1:$I$89,3,0)*0.475*44/12</f>
        <v>3.3151620211792836E-6</v>
      </c>
      <c r="CN76" s="22">
        <f t="shared" si="66"/>
        <v>3.7221701957456261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6.1</v>
      </c>
      <c r="CT76" s="12">
        <f>IF('Données projet'!$A$140&gt;35,CT75+CS76-DB75,IF(A76&lt;'Données projet'!$A$140,$CQ$205^A76,IF(A76='Données projet'!$A$140,'Données projet'!$B$140,CT75+CS76-DB75)))</f>
        <v>239.30000000000018</v>
      </c>
      <c r="CU76" s="17">
        <f>CT76*VLOOKUP('Données projet'!$B$13,Paramètres!$A$1:$I$89,3,0)*VLOOKUP('Données projet'!$B$13,Paramètres!$A$1:$I$89,5,0)</f>
        <v>242.65020000000021</v>
      </c>
      <c r="CV76" s="13">
        <f t="shared" si="95"/>
        <v>59.009368964864635</v>
      </c>
      <c r="CW76" s="20">
        <f t="shared" si="67"/>
        <v>525.39041594713956</v>
      </c>
      <c r="CX76" s="59">
        <f t="shared" si="68"/>
        <v>818.72374928047293</v>
      </c>
      <c r="CY76" s="59">
        <f ca="1">AVERAGE(OFFSET($CX$3,0,0,'Données projet'!$E$13+1,1))-AVERAGE(OFFSET($H$3,0,0,'Données projet'!$E$13+1,1))</f>
        <v>279.20364724206644</v>
      </c>
      <c r="CZ76" s="59">
        <f t="shared" si="96"/>
        <v>173.99850582760712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1.0565901966314473</v>
      </c>
      <c r="DH76" s="21">
        <f>EXP(-LN(2)/2)*DH75+(1-EXP(-LN(2)/2))/(LN(2)/2)*DB76*DE76*VLOOKUP('Données projet'!$B$13,Paramètres!$A$1:$I$89,3,0)*0.475*44/12</f>
        <v>2.3387583332577135E-6</v>
      </c>
      <c r="DI76" s="22">
        <f t="shared" si="69"/>
        <v>1.0565925353897805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6.1</v>
      </c>
      <c r="DO76" s="12">
        <f>IF('Données projet'!$A$166&gt;35,DO75+DN76-DW75,IF(A76&lt;'Données projet'!$A$166,$DL$205^A76,IF(A76='Données projet'!$A$166,'Données projet'!$B$166,DO75+DN76-DW75)))</f>
        <v>239.30000000000018</v>
      </c>
      <c r="DP76" s="17">
        <f>DO76*VLOOKUP('Données projet'!$B$14,Paramètres!$A$1:$I$89,3,0)*VLOOKUP('Données projet'!$B$14,Paramètres!$A$1:$I$89,5,0)</f>
        <v>250.11636000000021</v>
      </c>
      <c r="DQ76" s="13">
        <f t="shared" si="97"/>
        <v>60.610856920208001</v>
      </c>
      <c r="DR76" s="20">
        <f t="shared" si="70"/>
        <v>541.18323613602922</v>
      </c>
      <c r="DS76" s="59">
        <f t="shared" si="71"/>
        <v>834.51656946936259</v>
      </c>
      <c r="DT76" s="59">
        <f ca="1">AVERAGE(OFFSET($DS$3,0,0,'Données projet'!$E$14+1,1))-AVERAGE(OFFSET($H$3,0,0,'Données projet'!$E$14+1,1))</f>
        <v>291.18074901939718</v>
      </c>
      <c r="DU76" s="59">
        <f t="shared" si="98"/>
        <v>181.05123751753774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1.0891006642201071</v>
      </c>
      <c r="EC76" s="21">
        <f>EXP(-LN(2)/2)*EC75+(1-EXP(-LN(2)/2))/(LN(2)/2)*DW76*DZ76*VLOOKUP('Données projet'!$B$14,Paramètres!$A$1:$I$89,3,0)*0.475*44/12</f>
        <v>2.4107201281271839E-6</v>
      </c>
      <c r="ED76" s="22">
        <f t="shared" si="72"/>
        <v>1.0891030749402353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168.08890945052406</v>
      </c>
      <c r="EP76" s="59">
        <f t="shared" si="100"/>
        <v>182.52462557642343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2.6510203783178024</v>
      </c>
      <c r="EW76" s="21">
        <f>EXP(-LN(2)/25)*EW75+(1-EXP(-LN(2)/25))/(LN(2)/25)*Calculateur!ER76*Calculateur!ET76*VLOOKUP('Données projet'!$B$15,Paramètres!$A$1:$I$89,3,0)*0.475*44/12</f>
        <v>3.7430235376006036</v>
      </c>
      <c r="EX76" s="21">
        <f>EXP(-LN(2)/2)*EX75+(1-EXP(-LN(2)/2))/(LN(2)/2)*ER76*EU76*VLOOKUP('Données projet'!$B$15,Paramètres!$A$1:$I$89,3,0)*0.475*44/12</f>
        <v>1.8361501722162788E-6</v>
      </c>
      <c r="EY76" s="22">
        <f t="shared" si="75"/>
        <v>6.3940457520685783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3.1</v>
      </c>
      <c r="FE76" s="12">
        <f>IF('Données projet'!$A$218&gt;35,FE75+FD76-FM75,IF(A76&lt;'Données projet'!$A$218,$FB$205^A76,IF(A76='Données projet'!$A$218,'Données projet'!$B$218,FE75+FD76-FM75)))</f>
        <v>262.2999999999999</v>
      </c>
      <c r="FF76" s="17">
        <f>FE76*VLOOKUP('Données projet'!$B$16,Paramètres!$A$1:$I$89,3,0)*VLOOKUP('Données projet'!$B$16,Paramètres!$A$1:$I$89,5,0)</f>
        <v>175.95083999999994</v>
      </c>
      <c r="FG76" s="13">
        <f t="shared" si="101"/>
        <v>44.420133239274335</v>
      </c>
      <c r="FH76" s="20">
        <f t="shared" si="76"/>
        <v>383.812778391736</v>
      </c>
      <c r="FI76" s="59">
        <f t="shared" si="77"/>
        <v>677.14611172506932</v>
      </c>
      <c r="FJ76" s="59">
        <f ca="1">AVERAGE(OFFSET($FI$3,0,0,'Données projet'!$E$16+1,1))-AVERAGE(OFFSET($H$3,0,0,'Données projet'!$E$16+1,1))</f>
        <v>156.63226020379989</v>
      </c>
      <c r="FK76" s="59">
        <f t="shared" si="102"/>
        <v>196.0481096619543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2.6317554377309933</v>
      </c>
      <c r="FS76" s="21">
        <f>EXP(-LN(2)/2)*FS75+(1-EXP(-LN(2)/2))/(LN(2)/2)*FM76*FP76*VLOOKUP('Données projet'!$B$16,Paramètres!$A$1:$I$89,3,0)*0.475*44/12</f>
        <v>3.0593455949220819E-6</v>
      </c>
      <c r="FT76" s="22">
        <f t="shared" si="78"/>
        <v>2.6317584970765884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7.2</v>
      </c>
      <c r="FZ76" s="12">
        <f>IF('Données projet'!$A$244&gt;35,FZ75+FY76-GH75,IF(A76&lt;'Données projet'!$A$244,$FW$205^A76,IF(A76='Données projet'!$A$244,'Données projet'!$B$244,FZ75+FY76-GH75)))</f>
        <v>399.59999999999962</v>
      </c>
      <c r="GA76" s="17">
        <f>FZ76*VLOOKUP('Données projet'!$B$17,Paramètres!$A$1:$I$89,3,0)*VLOOKUP('Données projet'!$B$17,Paramètres!$A$1:$I$89,5,0)</f>
        <v>238.96079999999978</v>
      </c>
      <c r="GB76" s="13">
        <f t="shared" si="103"/>
        <v>58.215885103108292</v>
      </c>
      <c r="GC76" s="20">
        <f t="shared" si="79"/>
        <v>517.58272655457984</v>
      </c>
      <c r="GD76" s="59">
        <f t="shared" si="80"/>
        <v>810.91605988791321</v>
      </c>
      <c r="GE76" s="59">
        <f ca="1">AVERAGE(OFFSET($GD$3,0,0,'Données projet'!$E$17+1,1))-AVERAGE(OFFSET($H$3,0,0,'Données projet'!$E$17+1,1))</f>
        <v>216.94426559495264</v>
      </c>
      <c r="GF76" s="59">
        <f t="shared" si="104"/>
        <v>225.33715877618704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3.9003775182250751</v>
      </c>
      <c r="GN76" s="21">
        <f>EXP(-LN(2)/2)*GN75+(1-EXP(-LN(2)/2))/(LN(2)/2)*GH76*GK76*VLOOKUP('Données projet'!$B$17,Paramètres!$A$1:$I$89,3,0)*0.475*44/12</f>
        <v>8.0009418868986855E-6</v>
      </c>
      <c r="GO76" s="21">
        <f t="shared" si="81"/>
        <v>3.9003855191669619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6.1</v>
      </c>
      <c r="GU76" s="12">
        <f>IF('Données projet'!$A$270&gt;35,GU75+GT76-HC75,IF(A76&lt;'Données projet'!$A$270,$GR$205^A76,IF(A76='Données projet'!$A$270,'Données projet'!$B$270,GU75+GT76-HC75)))</f>
        <v>239.30000000000018</v>
      </c>
      <c r="GV76" s="17">
        <f>GU76*VLOOKUP('Données projet'!$B$18,Paramètres!$A$1:$I$89,3,0)*VLOOKUP('Données projet'!$B$18,Paramètres!$A$1:$I$89,5,0)</f>
        <v>231.45096000000015</v>
      </c>
      <c r="GW76" s="13">
        <f t="shared" si="105"/>
        <v>56.596298087727369</v>
      </c>
      <c r="GX76" s="20">
        <f t="shared" si="82"/>
        <v>501.6823078361254</v>
      </c>
      <c r="GY76" s="59">
        <f t="shared" si="83"/>
        <v>795.01564116945872</v>
      </c>
      <c r="GZ76" s="59">
        <f ca="1">AVERAGE(OFFSET($GY$3,0,0,'Données projet'!$E$18+1,1))-AVERAGE(OFFSET($H$3,0,0,'Données projet'!$E$18+1,1))</f>
        <v>261.22357949323879</v>
      </c>
      <c r="HA76" s="59">
        <f t="shared" si="106"/>
        <v>163.41029152029387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1.0078244952484574</v>
      </c>
      <c r="HI76" s="21">
        <f>EXP(-LN(2)/2)*HI75+(1-EXP(-LN(2)/2))/(LN(2)/2)*HC76*HF76*VLOOKUP('Données projet'!$B$18,Paramètres!$A$1:$I$89,3,0)*0.475*44/12</f>
        <v>2.2308156409535112E-6</v>
      </c>
      <c r="HJ76" s="22">
        <f t="shared" si="84"/>
        <v>1.0078267260640983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237.22177246688199</v>
      </c>
      <c r="T77" s="59">
        <f t="shared" si="88"/>
        <v>149.27472147904302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3.7</v>
      </c>
      <c r="AI77" s="13">
        <f>IF('Données projet'!$A$62&gt;35,AI76+AH77-AQ76,IF(A77&lt;'Données projet'!$A$62,$AF$205^A77,IF(A77='Données projet'!$A$62,'Données projet'!$B$62,AI76+AH77-AQ76)))</f>
        <v>218.79999999999993</v>
      </c>
      <c r="AJ77" s="13">
        <f>AI77*VLOOKUP('Données projet'!$B$10,Paramètres!$A$1:$I$89,3,0)*VLOOKUP('Données projet'!$B$10,Paramètres!$A$1:$I$89,5,0)</f>
        <v>191.14367999999996</v>
      </c>
      <c r="AK77" s="13">
        <f t="shared" si="89"/>
        <v>47.792715878069544</v>
      </c>
      <c r="AL77" s="20">
        <f t="shared" si="58"/>
        <v>416.14755615430437</v>
      </c>
      <c r="AM77" s="59">
        <f t="shared" si="59"/>
        <v>709.48088948763768</v>
      </c>
      <c r="AN77" s="59">
        <f ca="1">AVERAGE(OFFSET($AM$3,0,0,'Données projet'!$E$10+1,1))-AVERAGE(OFFSET($H$3,0,0,'Données projet'!$E$10+1,1))</f>
        <v>210.07838338464626</v>
      </c>
      <c r="AO77" s="59">
        <f t="shared" si="90"/>
        <v>241.76003724236273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2.2174611030922855</v>
      </c>
      <c r="AV77" s="21">
        <f>EXP(-LN(2)/25)*AV76+(1-EXP(-LN(2)/25))/(LN(2)/25)*Calculateur!AQ77*Calculateur!AS77*VLOOKUP('Données projet'!$B$10,Paramètres!$A$1:$I$89,3,0)*0.475*44/12</f>
        <v>4.0035376431339156</v>
      </c>
      <c r="AW77" s="21">
        <f>EXP(-LN(2)/2)*AW76+(1-EXP(-LN(2)/2))/(LN(2)/2)*AQ77*AT77*VLOOKUP('Données projet'!$B$10,Paramètres!$A$1:$I$89,3,0)*0.475*44/12</f>
        <v>3.8078843285678131E-6</v>
      </c>
      <c r="AX77" s="21">
        <f t="shared" si="60"/>
        <v>6.2210025541105294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5.0999999999999996</v>
      </c>
      <c r="BD77" s="12">
        <f>IF('Données projet'!$A$88&gt;35,BD76+BC77-BL76,IF(A77&lt;'Données projet'!$A$88,$BA$205^A77,IF(A77='Données projet'!$A$88,'Données projet'!$B$88,BD76+BC77-BL76)))</f>
        <v>356.40000000000049</v>
      </c>
      <c r="BE77" s="13">
        <f>BD77*VLOOKUP('Données projet'!$B$11,Paramètres!$A$1:$I$89,3,0)*VLOOKUP('Données projet'!$B$11,Paramètres!$A$1:$I$89,5,0)</f>
        <v>222.3936000000003</v>
      </c>
      <c r="BF77" s="13">
        <f t="shared" si="91"/>
        <v>54.634794757949336</v>
      </c>
      <c r="BG77" s="20">
        <f t="shared" si="61"/>
        <v>482.49112087009553</v>
      </c>
      <c r="BH77" s="59">
        <f t="shared" si="62"/>
        <v>775.82445420342879</v>
      </c>
      <c r="BI77" s="59">
        <f ca="1">AVERAGE(OFFSET($BH$3,0,0,'Données projet'!$E$11+1,1))-AVERAGE(OFFSET($H$3,0,0,'Données projet'!$E$11+1,1))</f>
        <v>209.93608079129638</v>
      </c>
      <c r="BJ77" s="59">
        <f t="shared" si="92"/>
        <v>240.15652428700969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2.9090723557456823</v>
      </c>
      <c r="BQ77" s="21">
        <f>EXP(-LN(2)/25)*BQ76+(1-EXP(-LN(2)/25))/(LN(2)/25)*Calculateur!BL77*Calculateur!BN77*VLOOKUP('Données projet'!$B$11,Paramètres!$A$1:$I$89,3,0)*0.475*44/12</f>
        <v>6.1375918337947395</v>
      </c>
      <c r="BR77" s="21">
        <f>EXP(-LN(2)/2)*BR76+(1-EXP(-LN(2)/2))/(LN(2)/2)*BL77*BO77*VLOOKUP('Données projet'!$B$11,Paramètres!$A$1:$I$89,3,0)*0.475*44/12</f>
        <v>4.813865543297554E-6</v>
      </c>
      <c r="BS77" s="22">
        <f t="shared" si="63"/>
        <v>9.0466690034059649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430.99999999999989</v>
      </c>
      <c r="BZ77" s="13">
        <f>BY77*VLOOKUP('Données projet'!$B$12,Paramètres!$A$1:$I$89,3,0)*VLOOKUP('Données projet'!$B$12,Paramètres!$A$1:$I$89,5,0)</f>
        <v>201.70799999999994</v>
      </c>
      <c r="CA77" s="13">
        <f t="shared" si="93"/>
        <v>50.119348451854243</v>
      </c>
      <c r="CB77" s="20">
        <f t="shared" si="64"/>
        <v>438.59929855364607</v>
      </c>
      <c r="CC77" s="59">
        <f t="shared" si="65"/>
        <v>731.93263188697938</v>
      </c>
      <c r="CD77" s="59">
        <f ca="1">AVERAGE(OFFSET($CC$3,0,0,'Données projet'!$E$12+1,1))-AVERAGE(OFFSET($H$3,0,0,'Données projet'!$E$12+1,1))</f>
        <v>215.23235148064941</v>
      </c>
      <c r="CE77" s="59">
        <f t="shared" si="94"/>
        <v>184.07239726900434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1.3114202075142813</v>
      </c>
      <c r="CL77" s="21">
        <f>EXP(-LN(2)/25)*CL76+(1-EXP(-LN(2)/25))/(LN(2)/25)*Calculateur!CG77*Calculateur!CI77*VLOOKUP('Données projet'!$B$12,Paramètres!$A$1:$I$89,3,0)*0.475*44/12</f>
        <v>2.319311438546817</v>
      </c>
      <c r="CM77" s="21">
        <f>EXP(-LN(2)/2)*CM76+(1-EXP(-LN(2)/2))/(LN(2)/2)*CG77*CJ77*VLOOKUP('Données projet'!$B$12,Paramètres!$A$1:$I$89,3,0)*0.475*44/12</f>
        <v>2.3441735459079723E-6</v>
      </c>
      <c r="CN77" s="22">
        <f t="shared" si="66"/>
        <v>3.6307339902346443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6.1</v>
      </c>
      <c r="CT77" s="12">
        <f>IF('Données projet'!$A$140&gt;35,CT76+CS77-DB76,IF(A77&lt;'Données projet'!$A$140,$CQ$205^A77,IF(A77='Données projet'!$A$140,'Données projet'!$B$140,CT76+CS77-DB76)))</f>
        <v>245.40000000000018</v>
      </c>
      <c r="CU77" s="17">
        <f>CT77*VLOOKUP('Données projet'!$B$13,Paramètres!$A$1:$I$89,3,0)*VLOOKUP('Données projet'!$B$13,Paramètres!$A$1:$I$89,5,0)</f>
        <v>248.83560000000023</v>
      </c>
      <c r="CV77" s="13">
        <f t="shared" si="95"/>
        <v>60.336534411056299</v>
      </c>
      <c r="CW77" s="20">
        <f t="shared" si="67"/>
        <v>538.47480076592342</v>
      </c>
      <c r="CX77" s="59">
        <f t="shared" si="68"/>
        <v>831.80813409925668</v>
      </c>
      <c r="CY77" s="59">
        <f ca="1">AVERAGE(OFFSET($CX$3,0,0,'Données projet'!$E$13+1,1))-AVERAGE(OFFSET($H$3,0,0,'Données projet'!$E$13+1,1))</f>
        <v>279.20364724206644</v>
      </c>
      <c r="CZ77" s="59">
        <f t="shared" si="96"/>
        <v>173.99850582760712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1.0276976821408967</v>
      </c>
      <c r="DH77" s="21">
        <f>EXP(-LN(2)/2)*DH76+(1-EXP(-LN(2)/2))/(LN(2)/2)*DB77*DE77*VLOOKUP('Données projet'!$B$13,Paramètres!$A$1:$I$89,3,0)*0.475*44/12</f>
        <v>1.6537518770030766E-6</v>
      </c>
      <c r="DI77" s="22">
        <f t="shared" si="69"/>
        <v>1.0276993358927737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6.1</v>
      </c>
      <c r="DO77" s="12">
        <f>IF('Données projet'!$A$166&gt;35,DO76+DN77-DW76,IF(A77&lt;'Données projet'!$A$166,$DL$205^A77,IF(A77='Données projet'!$A$166,'Données projet'!$B$166,DO76+DN77-DW76)))</f>
        <v>245.40000000000018</v>
      </c>
      <c r="DP77" s="17">
        <f>DO77*VLOOKUP('Données projet'!$B$14,Paramètres!$A$1:$I$89,3,0)*VLOOKUP('Données projet'!$B$14,Paramètres!$A$1:$I$89,5,0)</f>
        <v>256.49208000000021</v>
      </c>
      <c r="DQ77" s="13">
        <f t="shared" si="97"/>
        <v>61.974041044689372</v>
      </c>
      <c r="DR77" s="20">
        <f t="shared" si="70"/>
        <v>554.66182748616768</v>
      </c>
      <c r="DS77" s="59">
        <f t="shared" si="71"/>
        <v>847.99516081950105</v>
      </c>
      <c r="DT77" s="59">
        <f ca="1">AVERAGE(OFFSET($DS$3,0,0,'Données projet'!$E$14+1,1))-AVERAGE(OFFSET($H$3,0,0,'Données projet'!$E$14+1,1))</f>
        <v>291.18074901939718</v>
      </c>
      <c r="DU77" s="59">
        <f t="shared" si="98"/>
        <v>181.05123751753774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1.0593191492836935</v>
      </c>
      <c r="EC77" s="21">
        <f>EXP(-LN(2)/2)*EC76+(1-EXP(-LN(2)/2))/(LN(2)/2)*DW77*DZ77*VLOOKUP('Données projet'!$B$14,Paramètres!$A$1:$I$89,3,0)*0.475*44/12</f>
        <v>1.7046365501416345E-6</v>
      </c>
      <c r="ED77" s="22">
        <f t="shared" si="72"/>
        <v>1.0593208539202437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168.08890945052406</v>
      </c>
      <c r="EP77" s="59">
        <f t="shared" si="100"/>
        <v>182.52462557642343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2.599035485661759</v>
      </c>
      <c r="EW77" s="21">
        <f>EXP(-LN(2)/25)*EW76+(1-EXP(-LN(2)/25))/(LN(2)/25)*Calculateur!ER77*Calculateur!ET77*VLOOKUP('Données projet'!$B$15,Paramètres!$A$1:$I$89,3,0)*0.475*44/12</f>
        <v>3.640670362127862</v>
      </c>
      <c r="EX77" s="21">
        <f>EXP(-LN(2)/2)*EX76+(1-EXP(-LN(2)/2))/(LN(2)/2)*ER77*EU77*VLOOKUP('Données projet'!$B$15,Paramètres!$A$1:$I$89,3,0)*0.475*44/12</f>
        <v>1.298354238050978E-6</v>
      </c>
      <c r="EY77" s="22">
        <f t="shared" si="75"/>
        <v>6.2397071461438589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3.1</v>
      </c>
      <c r="FE77" s="12">
        <f>IF('Données projet'!$A$218&gt;35,FE76+FD77-FM76,IF(A77&lt;'Données projet'!$A$218,$FB$205^A77,IF(A77='Données projet'!$A$218,'Données projet'!$B$218,FE76+FD77-FM76)))</f>
        <v>265.39999999999992</v>
      </c>
      <c r="FF77" s="17">
        <f>FE77*VLOOKUP('Données projet'!$B$16,Paramètres!$A$1:$I$89,3,0)*VLOOKUP('Données projet'!$B$16,Paramètres!$A$1:$I$89,5,0)</f>
        <v>178.03031999999993</v>
      </c>
      <c r="FG77" s="13">
        <f t="shared" si="101"/>
        <v>44.883688428064346</v>
      </c>
      <c r="FH77" s="20">
        <f t="shared" si="76"/>
        <v>388.24189801221195</v>
      </c>
      <c r="FI77" s="59">
        <f t="shared" si="77"/>
        <v>681.57523134554526</v>
      </c>
      <c r="FJ77" s="59">
        <f ca="1">AVERAGE(OFFSET($FI$3,0,0,'Données projet'!$E$16+1,1))-AVERAGE(OFFSET($H$3,0,0,'Données projet'!$E$16+1,1))</f>
        <v>156.63226020379989</v>
      </c>
      <c r="FK77" s="59">
        <f t="shared" si="102"/>
        <v>196.0481096619543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2.5597899468882357</v>
      </c>
      <c r="FS77" s="21">
        <f>EXP(-LN(2)/2)*FS76+(1-EXP(-LN(2)/2))/(LN(2)/2)*FM77*FP77*VLOOKUP('Données projet'!$B$16,Paramètres!$A$1:$I$89,3,0)*0.475*44/12</f>
        <v>2.1632840161625966E-6</v>
      </c>
      <c r="FT77" s="22">
        <f t="shared" si="78"/>
        <v>2.5597921101722521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7.2</v>
      </c>
      <c r="FZ77" s="12">
        <f>IF('Données projet'!$A$244&gt;35,FZ76+FY77-GH76,IF(A77&lt;'Données projet'!$A$244,$FW$205^A77,IF(A77='Données projet'!$A$244,'Données projet'!$B$244,FZ76+FY77-GH76)))</f>
        <v>406.79999999999961</v>
      </c>
      <c r="GA77" s="17">
        <f>FZ77*VLOOKUP('Données projet'!$B$17,Paramètres!$A$1:$I$89,3,0)*VLOOKUP('Données projet'!$B$17,Paramètres!$A$1:$I$89,5,0)</f>
        <v>243.26639999999981</v>
      </c>
      <c r="GB77" s="13">
        <f t="shared" si="103"/>
        <v>59.141758478481755</v>
      </c>
      <c r="GC77" s="20">
        <f t="shared" si="79"/>
        <v>526.69420935002211</v>
      </c>
      <c r="GD77" s="59">
        <f t="shared" si="80"/>
        <v>820.02754268335548</v>
      </c>
      <c r="GE77" s="59">
        <f ca="1">AVERAGE(OFFSET($GD$3,0,0,'Données projet'!$E$17+1,1))-AVERAGE(OFFSET($H$3,0,0,'Données projet'!$E$17+1,1))</f>
        <v>216.94426559495264</v>
      </c>
      <c r="GF77" s="59">
        <f t="shared" si="104"/>
        <v>225.33715877618704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3.7937214898772713</v>
      </c>
      <c r="GN77" s="21">
        <f>EXP(-LN(2)/2)*GN76+(1-EXP(-LN(2)/2))/(LN(2)/2)*GH77*GK77*VLOOKUP('Données projet'!$B$17,Paramètres!$A$1:$I$89,3,0)*0.475*44/12</f>
        <v>5.6575202641055516E-6</v>
      </c>
      <c r="GO77" s="21">
        <f t="shared" si="81"/>
        <v>3.7937271473975356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6.1</v>
      </c>
      <c r="GU77" s="12">
        <f>IF('Données projet'!$A$270&gt;35,GU76+GT77-HC76,IF(A77&lt;'Données projet'!$A$270,$GR$205^A77,IF(A77='Données projet'!$A$270,'Données projet'!$B$270,GU76+GT77-HC76)))</f>
        <v>245.40000000000018</v>
      </c>
      <c r="GV77" s="17">
        <f>GU77*VLOOKUP('Données projet'!$B$18,Paramètres!$A$1:$I$89,3,0)*VLOOKUP('Données projet'!$B$18,Paramètres!$A$1:$I$89,5,0)</f>
        <v>237.35088000000019</v>
      </c>
      <c r="GW77" s="13">
        <f t="shared" si="105"/>
        <v>57.869191740413591</v>
      </c>
      <c r="GX77" s="20">
        <f t="shared" si="82"/>
        <v>514.17495828122071</v>
      </c>
      <c r="GY77" s="59">
        <f t="shared" si="83"/>
        <v>807.50829161455408</v>
      </c>
      <c r="GZ77" s="59">
        <f ca="1">AVERAGE(OFFSET($GY$3,0,0,'Données projet'!$E$18+1,1))-AVERAGE(OFFSET($H$3,0,0,'Données projet'!$E$18+1,1))</f>
        <v>261.22357949323879</v>
      </c>
      <c r="HA77" s="59">
        <f t="shared" si="106"/>
        <v>163.41029152029387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0.98026548142670156</v>
      </c>
      <c r="HI77" s="21">
        <f>EXP(-LN(2)/2)*HI76+(1-EXP(-LN(2)/2))/(LN(2)/2)*HC77*HF77*VLOOKUP('Données projet'!$B$18,Paramètres!$A$1:$I$89,3,0)*0.475*44/12</f>
        <v>1.5774248672952423E-6</v>
      </c>
      <c r="HJ77" s="22">
        <f t="shared" si="84"/>
        <v>0.98026705885156884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237.22177246688199</v>
      </c>
      <c r="T78" s="59">
        <f t="shared" si="88"/>
        <v>149.27472147904302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3.7</v>
      </c>
      <c r="AI78" s="13">
        <f>IF('Données projet'!$A$62&gt;35,AI77+AH78-AQ77,IF(A78&lt;'Données projet'!$A$62,$AF$205^A78,IF(A78='Données projet'!$A$62,'Données projet'!$B$62,AI77+AH78-AQ77)))</f>
        <v>222.49999999999991</v>
      </c>
      <c r="AJ78" s="13">
        <f>AI78*VLOOKUP('Données projet'!$B$10,Paramètres!$A$1:$I$89,3,0)*VLOOKUP('Données projet'!$B$10,Paramètres!$A$1:$I$89,5,0)</f>
        <v>194.37599999999995</v>
      </c>
      <c r="AK78" s="13">
        <f t="shared" si="89"/>
        <v>48.506138465833089</v>
      </c>
      <c r="AL78" s="20">
        <f t="shared" si="58"/>
        <v>423.01972449465916</v>
      </c>
      <c r="AM78" s="59">
        <f t="shared" si="59"/>
        <v>716.35305782799242</v>
      </c>
      <c r="AN78" s="59">
        <f ca="1">AVERAGE(OFFSET($AM$3,0,0,'Données projet'!$E$10+1,1))-AVERAGE(OFFSET($H$3,0,0,'Données projet'!$E$10+1,1))</f>
        <v>210.07838338464626</v>
      </c>
      <c r="AO78" s="59">
        <f t="shared" si="90"/>
        <v>241.76003724236273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2.1739780433783684</v>
      </c>
      <c r="AV78" s="21">
        <f>EXP(-LN(2)/25)*AV77+(1-EXP(-LN(2)/25))/(LN(2)/25)*Calculateur!AQ78*Calculateur!AS78*VLOOKUP('Données projet'!$B$10,Paramètres!$A$1:$I$89,3,0)*0.475*44/12</f>
        <v>3.8940606957455244</v>
      </c>
      <c r="AW78" s="21">
        <f>EXP(-LN(2)/2)*AW77+(1-EXP(-LN(2)/2))/(LN(2)/2)*AQ78*AT78*VLOOKUP('Données projet'!$B$10,Paramètres!$A$1:$I$89,3,0)*0.475*44/12</f>
        <v>2.6925808307042842E-6</v>
      </c>
      <c r="AX78" s="21">
        <f t="shared" si="60"/>
        <v>6.0680414317047227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5.0999999999999996</v>
      </c>
      <c r="BD78" s="12">
        <f>IF('Données projet'!$A$88&gt;35,BD77+BC78-BL77,IF(A78&lt;'Données projet'!$A$88,$BA$205^A78,IF(A78='Données projet'!$A$88,'Données projet'!$B$88,BD77+BC78-BL77)))</f>
        <v>361.50000000000051</v>
      </c>
      <c r="BE78" s="13">
        <f>BD78*VLOOKUP('Données projet'!$B$11,Paramètres!$A$1:$I$89,3,0)*VLOOKUP('Données projet'!$B$11,Paramètres!$A$1:$I$89,5,0)</f>
        <v>225.57600000000031</v>
      </c>
      <c r="BF78" s="13">
        <f t="shared" si="91"/>
        <v>55.325030705506045</v>
      </c>
      <c r="BG78" s="20">
        <f t="shared" si="61"/>
        <v>489.23596181209018</v>
      </c>
      <c r="BH78" s="59">
        <f t="shared" si="62"/>
        <v>782.56929514542344</v>
      </c>
      <c r="BI78" s="59">
        <f ca="1">AVERAGE(OFFSET($BH$3,0,0,'Données projet'!$E$11+1,1))-AVERAGE(OFFSET($H$3,0,0,'Données projet'!$E$11+1,1))</f>
        <v>209.93608079129638</v>
      </c>
      <c r="BJ78" s="59">
        <f t="shared" si="92"/>
        <v>240.15652428700969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2.8520272212084432</v>
      </c>
      <c r="BQ78" s="21">
        <f>EXP(-LN(2)/25)*BQ77+(1-EXP(-LN(2)/25))/(LN(2)/25)*Calculateur!BL78*Calculateur!BN78*VLOOKUP('Données projet'!$B$11,Paramètres!$A$1:$I$89,3,0)*0.475*44/12</f>
        <v>5.9697590623376957</v>
      </c>
      <c r="BR78" s="21">
        <f>EXP(-LN(2)/2)*BR77+(1-EXP(-LN(2)/2))/(LN(2)/2)*BL78*BO78*VLOOKUP('Données projet'!$B$11,Paramètres!$A$1:$I$89,3,0)*0.475*44/12</f>
        <v>3.4039169693859643E-6</v>
      </c>
      <c r="BS78" s="22">
        <f t="shared" si="63"/>
        <v>8.8217896874631077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447.99999999999989</v>
      </c>
      <c r="BZ78" s="13">
        <f>BY78*VLOOKUP('Données projet'!$B$12,Paramètres!$A$1:$I$89,3,0)*VLOOKUP('Données projet'!$B$12,Paramètres!$A$1:$I$89,5,0)</f>
        <v>209.66399999999993</v>
      </c>
      <c r="CA78" s="13">
        <f t="shared" si="93"/>
        <v>51.862154403304487</v>
      </c>
      <c r="CB78" s="20">
        <f t="shared" si="64"/>
        <v>455.49138558575515</v>
      </c>
      <c r="CC78" s="59">
        <f t="shared" si="65"/>
        <v>748.82471891908847</v>
      </c>
      <c r="CD78" s="59">
        <f ca="1">AVERAGE(OFFSET($CC$3,0,0,'Données projet'!$E$12+1,1))-AVERAGE(OFFSET($H$3,0,0,'Données projet'!$E$12+1,1))</f>
        <v>215.23235148064941</v>
      </c>
      <c r="CE78" s="59">
        <f t="shared" si="94"/>
        <v>184.07239726900434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1.2857040571322707</v>
      </c>
      <c r="CL78" s="21">
        <f>EXP(-LN(2)/25)*CL77+(1-EXP(-LN(2)/25))/(LN(2)/25)*Calculateur!CG78*Calculateur!CI78*VLOOKUP('Données projet'!$B$12,Paramètres!$A$1:$I$89,3,0)*0.475*44/12</f>
        <v>2.2558897452924667</v>
      </c>
      <c r="CM78" s="21">
        <f>EXP(-LN(2)/2)*CM77+(1-EXP(-LN(2)/2))/(LN(2)/2)*CG78*CJ78*VLOOKUP('Données projet'!$B$12,Paramètres!$A$1:$I$89,3,0)*0.475*44/12</f>
        <v>1.6575810105896418E-6</v>
      </c>
      <c r="CN78" s="22">
        <f t="shared" si="66"/>
        <v>3.5415954600057478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6.1</v>
      </c>
      <c r="CT78" s="12">
        <f>IF('Données projet'!$A$140&gt;35,CT77+CS78-DB77,IF(A78&lt;'Données projet'!$A$140,$CQ$205^A78,IF(A78='Données projet'!$A$140,'Données projet'!$B$140,CT77+CS78-DB77)))</f>
        <v>251.50000000000017</v>
      </c>
      <c r="CU78" s="17">
        <f>CT78*VLOOKUP('Données projet'!$B$13,Paramètres!$A$1:$I$89,3,0)*VLOOKUP('Données projet'!$B$13,Paramètres!$A$1:$I$89,5,0)</f>
        <v>255.02100000000019</v>
      </c>
      <c r="CV78" s="13">
        <f t="shared" si="95"/>
        <v>61.659864971325668</v>
      </c>
      <c r="CW78" s="20">
        <f t="shared" si="67"/>
        <v>551.55250649172569</v>
      </c>
      <c r="CX78" s="59">
        <f t="shared" si="68"/>
        <v>844.88583982505907</v>
      </c>
      <c r="CY78" s="59">
        <f ca="1">AVERAGE(OFFSET($CX$3,0,0,'Données projet'!$E$13+1,1))-AVERAGE(OFFSET($H$3,0,0,'Données projet'!$E$13+1,1))</f>
        <v>279.20364724206644</v>
      </c>
      <c r="CZ78" s="59">
        <f t="shared" si="96"/>
        <v>173.99850582760712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0.99959523497848168</v>
      </c>
      <c r="DH78" s="21">
        <f>EXP(-LN(2)/2)*DH77+(1-EXP(-LN(2)/2))/(LN(2)/2)*DB78*DE78*VLOOKUP('Données projet'!$B$13,Paramètres!$A$1:$I$89,3,0)*0.475*44/12</f>
        <v>1.1693791666288567E-6</v>
      </c>
      <c r="DI78" s="22">
        <f t="shared" si="69"/>
        <v>0.99959640435764829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6.1</v>
      </c>
      <c r="DO78" s="12">
        <f>IF('Données projet'!$A$166&gt;35,DO77+DN78-DW77,IF(A78&lt;'Données projet'!$A$166,$DL$205^A78,IF(A78='Données projet'!$A$166,'Données projet'!$B$166,DO77+DN78-DW77)))</f>
        <v>251.50000000000017</v>
      </c>
      <c r="DP78" s="17">
        <f>DO78*VLOOKUP('Données projet'!$B$14,Paramètres!$A$1:$I$89,3,0)*VLOOKUP('Données projet'!$B$14,Paramètres!$A$1:$I$89,5,0)</f>
        <v>262.86780000000022</v>
      </c>
      <c r="DQ78" s="13">
        <f t="shared" si="97"/>
        <v>63.333286206154881</v>
      </c>
      <c r="DR78" s="20">
        <f t="shared" si="70"/>
        <v>568.13355847572018</v>
      </c>
      <c r="DS78" s="59">
        <f t="shared" si="71"/>
        <v>861.46689180905355</v>
      </c>
      <c r="DT78" s="59">
        <f ca="1">AVERAGE(OFFSET($DS$3,0,0,'Données projet'!$E$14+1,1))-AVERAGE(OFFSET($H$3,0,0,'Données projet'!$E$14+1,1))</f>
        <v>291.18074901939718</v>
      </c>
      <c r="DU78" s="59">
        <f t="shared" si="98"/>
        <v>181.05123751753774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1.0303520114393581</v>
      </c>
      <c r="EC78" s="21">
        <f>EXP(-LN(2)/2)*EC77+(1-EXP(-LN(2)/2))/(LN(2)/2)*DW78*DZ78*VLOOKUP('Données projet'!$B$14,Paramètres!$A$1:$I$89,3,0)*0.475*44/12</f>
        <v>1.205360064063592E-6</v>
      </c>
      <c r="ED78" s="22">
        <f t="shared" si="72"/>
        <v>1.030353216799422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168.08890945052406</v>
      </c>
      <c r="EP78" s="59">
        <f t="shared" si="100"/>
        <v>182.52462557642343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2.548069985043047</v>
      </c>
      <c r="EW78" s="21">
        <f>EXP(-LN(2)/25)*EW77+(1-EXP(-LN(2)/25))/(LN(2)/25)*Calculateur!ER78*Calculateur!ET78*VLOOKUP('Données projet'!$B$15,Paramètres!$A$1:$I$89,3,0)*0.475*44/12</f>
        <v>3.5411160396209422</v>
      </c>
      <c r="EX78" s="21">
        <f>EXP(-LN(2)/2)*EX77+(1-EXP(-LN(2)/2))/(LN(2)/2)*ER78*EU78*VLOOKUP('Données projet'!$B$15,Paramètres!$A$1:$I$89,3,0)*0.475*44/12</f>
        <v>9.1807508610813963E-7</v>
      </c>
      <c r="EY78" s="22">
        <f t="shared" si="75"/>
        <v>6.0891869427390759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3.1</v>
      </c>
      <c r="FE78" s="12">
        <f>IF('Données projet'!$A$218&gt;35,FE77+FD78-FM77,IF(A78&lt;'Données projet'!$A$218,$FB$205^A78,IF(A78='Données projet'!$A$218,'Données projet'!$B$218,FE77+FD78-FM77)))</f>
        <v>268.49999999999994</v>
      </c>
      <c r="FF78" s="17">
        <f>FE78*VLOOKUP('Données projet'!$B$16,Paramètres!$A$1:$I$89,3,0)*VLOOKUP('Données projet'!$B$16,Paramètres!$A$1:$I$89,5,0)</f>
        <v>180.10979999999995</v>
      </c>
      <c r="FG78" s="13">
        <f t="shared" si="101"/>
        <v>45.346613776556069</v>
      </c>
      <c r="FH78" s="20">
        <f t="shared" si="76"/>
        <v>392.66992066083503</v>
      </c>
      <c r="FI78" s="59">
        <f t="shared" si="77"/>
        <v>686.00325399416829</v>
      </c>
      <c r="FJ78" s="59">
        <f ca="1">AVERAGE(OFFSET($FI$3,0,0,'Données projet'!$E$16+1,1))-AVERAGE(OFFSET($H$3,0,0,'Données projet'!$E$16+1,1))</f>
        <v>156.63226020379989</v>
      </c>
      <c r="FK78" s="59">
        <f t="shared" si="102"/>
        <v>196.0481096619543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2.4897923561770741</v>
      </c>
      <c r="FS78" s="21">
        <f>EXP(-LN(2)/2)*FS77+(1-EXP(-LN(2)/2))/(LN(2)/2)*FM78*FP78*VLOOKUP('Données projet'!$B$16,Paramètres!$A$1:$I$89,3,0)*0.475*44/12</f>
        <v>1.5296727974610409E-6</v>
      </c>
      <c r="FT78" s="22">
        <f t="shared" si="78"/>
        <v>2.4897938858498714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7.2</v>
      </c>
      <c r="FZ78" s="12">
        <f>IF('Données projet'!$A$244&gt;35,FZ77+FY78-GH77,IF(A78&lt;'Données projet'!$A$244,$FW$205^A78,IF(A78='Données projet'!$A$244,'Données projet'!$B$244,FZ77+FY78-GH77)))</f>
        <v>413.9999999999996</v>
      </c>
      <c r="GA78" s="17">
        <f>FZ78*VLOOKUP('Données projet'!$B$17,Paramètres!$A$1:$I$89,3,0)*VLOOKUP('Données projet'!$B$17,Paramètres!$A$1:$I$89,5,0)</f>
        <v>247.57199999999978</v>
      </c>
      <c r="GB78" s="13">
        <f t="shared" si="103"/>
        <v>60.065726249156526</v>
      </c>
      <c r="GC78" s="20">
        <f t="shared" si="79"/>
        <v>535.80237321728055</v>
      </c>
      <c r="GD78" s="59">
        <f t="shared" si="80"/>
        <v>829.1357065506138</v>
      </c>
      <c r="GE78" s="59">
        <f ca="1">AVERAGE(OFFSET($GD$3,0,0,'Données projet'!$E$17+1,1))-AVERAGE(OFFSET($H$3,0,0,'Données projet'!$E$17+1,1))</f>
        <v>216.94426559495264</v>
      </c>
      <c r="GF78" s="59">
        <f t="shared" si="104"/>
        <v>225.33715877618704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3.6899819762334349</v>
      </c>
      <c r="GN78" s="21">
        <f>EXP(-LN(2)/2)*GN77+(1-EXP(-LN(2)/2))/(LN(2)/2)*GH78*GK78*VLOOKUP('Données projet'!$B$17,Paramètres!$A$1:$I$89,3,0)*0.475*44/12</f>
        <v>4.0004709434493427E-6</v>
      </c>
      <c r="GO78" s="21">
        <f t="shared" si="81"/>
        <v>3.6899859767043783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6.1</v>
      </c>
      <c r="GU78" s="12">
        <f>IF('Données projet'!$A$270&gt;35,GU77+GT78-HC77,IF(A78&lt;'Données projet'!$A$270,$GR$205^A78,IF(A78='Données projet'!$A$270,'Données projet'!$B$270,GU77+GT78-HC77)))</f>
        <v>251.50000000000017</v>
      </c>
      <c r="GV78" s="17">
        <f>GU78*VLOOKUP('Données projet'!$B$18,Paramètres!$A$1:$I$89,3,0)*VLOOKUP('Données projet'!$B$18,Paramètres!$A$1:$I$89,5,0)</f>
        <v>243.25080000000014</v>
      </c>
      <c r="GW78" s="13">
        <f t="shared" si="105"/>
        <v>59.138407327216456</v>
      </c>
      <c r="GX78" s="20">
        <f t="shared" si="82"/>
        <v>526.66120276156892</v>
      </c>
      <c r="GY78" s="59">
        <f t="shared" si="83"/>
        <v>819.99453609490229</v>
      </c>
      <c r="GZ78" s="59">
        <f ca="1">AVERAGE(OFFSET($GY$3,0,0,'Données projet'!$E$18+1,1))-AVERAGE(OFFSET($H$3,0,0,'Données projet'!$E$18+1,1))</f>
        <v>261.22357949323879</v>
      </c>
      <c r="HA78" s="59">
        <f t="shared" si="106"/>
        <v>163.41029152029387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0.95346007028716717</v>
      </c>
      <c r="HI78" s="21">
        <f>EXP(-LN(2)/2)*HI77+(1-EXP(-LN(2)/2))/(LN(2)/2)*HC78*HF78*VLOOKUP('Données projet'!$B$18,Paramètres!$A$1:$I$89,3,0)*0.475*44/12</f>
        <v>1.1154078204767556E-6</v>
      </c>
      <c r="HJ78" s="22">
        <f t="shared" si="84"/>
        <v>0.95346118569498761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237.22177246688199</v>
      </c>
      <c r="T79" s="59">
        <f t="shared" si="88"/>
        <v>149.27472147904302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3.7</v>
      </c>
      <c r="AI79" s="13">
        <f>IF('Données projet'!$A$62&gt;35,AI78+AH79-AQ78,IF(A79&lt;'Données projet'!$A$62,$AF$205^A79,IF(A79='Données projet'!$A$62,'Données projet'!$B$62,AI78+AH79-AQ78)))</f>
        <v>226.1999999999999</v>
      </c>
      <c r="AJ79" s="13">
        <f>AI79*VLOOKUP('Données projet'!$B$10,Paramètres!$A$1:$I$89,3,0)*VLOOKUP('Données projet'!$B$10,Paramètres!$A$1:$I$89,5,0)</f>
        <v>197.60831999999994</v>
      </c>
      <c r="AK79" s="13">
        <f t="shared" si="89"/>
        <v>49.218181392381361</v>
      </c>
      <c r="AL79" s="20">
        <f t="shared" si="58"/>
        <v>429.88948992506403</v>
      </c>
      <c r="AM79" s="59">
        <f t="shared" si="59"/>
        <v>723.22282325839728</v>
      </c>
      <c r="AN79" s="59">
        <f ca="1">AVERAGE(OFFSET($AM$3,0,0,'Données projet'!$E$10+1,1))-AVERAGE(OFFSET($H$3,0,0,'Données projet'!$E$10+1,1))</f>
        <v>210.07838338464626</v>
      </c>
      <c r="AO79" s="59">
        <f t="shared" si="90"/>
        <v>241.76003724236273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2.131347659943394</v>
      </c>
      <c r="AV79" s="21">
        <f>EXP(-LN(2)/25)*AV78+(1-EXP(-LN(2)/25))/(LN(2)/25)*Calculateur!AQ79*Calculateur!AS79*VLOOKUP('Données projet'!$B$10,Paramètres!$A$1:$I$89,3,0)*0.475*44/12</f>
        <v>3.7875774012406112</v>
      </c>
      <c r="AW79" s="21">
        <f>EXP(-LN(2)/2)*AW78+(1-EXP(-LN(2)/2))/(LN(2)/2)*AQ79*AT79*VLOOKUP('Données projet'!$B$10,Paramètres!$A$1:$I$89,3,0)*0.475*44/12</f>
        <v>1.9039421642839068E-6</v>
      </c>
      <c r="AX79" s="21">
        <f t="shared" si="60"/>
        <v>5.9189269651261691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5.0999999999999996</v>
      </c>
      <c r="BD79" s="12">
        <f>IF('Données projet'!$A$88&gt;35,BD78+BC79-BL78,IF(A79&lt;'Données projet'!$A$88,$BA$205^A79,IF(A79='Données projet'!$A$88,'Données projet'!$B$88,BD78+BC79-BL78)))</f>
        <v>366.60000000000053</v>
      </c>
      <c r="BE79" s="13">
        <f>BD79*VLOOKUP('Données projet'!$B$11,Paramètres!$A$1:$I$89,3,0)*VLOOKUP('Données projet'!$B$11,Paramètres!$A$1:$I$89,5,0)</f>
        <v>228.75840000000034</v>
      </c>
      <c r="BF79" s="13">
        <f t="shared" si="91"/>
        <v>56.014134067241066</v>
      </c>
      <c r="BG79" s="20">
        <f t="shared" si="61"/>
        <v>495.97883016711211</v>
      </c>
      <c r="BH79" s="59">
        <f t="shared" si="62"/>
        <v>789.31216350044542</v>
      </c>
      <c r="BI79" s="59">
        <f ca="1">AVERAGE(OFFSET($BH$3,0,0,'Données projet'!$E$11+1,1))-AVERAGE(OFFSET($H$3,0,0,'Données projet'!$E$11+1,1))</f>
        <v>209.93608079129638</v>
      </c>
      <c r="BJ79" s="59">
        <f t="shared" si="92"/>
        <v>240.15652428700969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2.7961007069653827</v>
      </c>
      <c r="BQ79" s="21">
        <f>EXP(-LN(2)/25)*BQ78+(1-EXP(-LN(2)/25))/(LN(2)/25)*Calculateur!BL79*Calculateur!BN79*VLOOKUP('Données projet'!$B$11,Paramètres!$A$1:$I$89,3,0)*0.475*44/12</f>
        <v>5.8065156868420864</v>
      </c>
      <c r="BR79" s="21">
        <f>EXP(-LN(2)/2)*BR78+(1-EXP(-LN(2)/2))/(LN(2)/2)*BL79*BO79*VLOOKUP('Données projet'!$B$11,Paramètres!$A$1:$I$89,3,0)*0.475*44/12</f>
        <v>2.406932771648777E-6</v>
      </c>
      <c r="BS79" s="22">
        <f t="shared" si="63"/>
        <v>8.6026188007402418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464.99999999999989</v>
      </c>
      <c r="BZ79" s="13">
        <f>BY79*VLOOKUP('Données projet'!$B$12,Paramètres!$A$1:$I$89,3,0)*VLOOKUP('Données projet'!$B$12,Paramètres!$A$1:$I$89,5,0)</f>
        <v>217.61999999999995</v>
      </c>
      <c r="CA79" s="13">
        <f t="shared" si="93"/>
        <v>53.597277471320098</v>
      </c>
      <c r="CB79" s="20">
        <f t="shared" si="64"/>
        <v>472.37009159588234</v>
      </c>
      <c r="CC79" s="59">
        <f t="shared" si="65"/>
        <v>765.70342492921566</v>
      </c>
      <c r="CD79" s="59">
        <f ca="1">AVERAGE(OFFSET($CC$3,0,0,'Données projet'!$E$12+1,1))-AVERAGE(OFFSET($H$3,0,0,'Données projet'!$E$12+1,1))</f>
        <v>215.23235148064941</v>
      </c>
      <c r="CE79" s="59">
        <f t="shared" si="94"/>
        <v>184.07239726900434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1.2604921847739481</v>
      </c>
      <c r="CL79" s="21">
        <f>EXP(-LN(2)/25)*CL78+(1-EXP(-LN(2)/25))/(LN(2)/25)*Calculateur!CG79*Calculateur!CI79*VLOOKUP('Données projet'!$B$12,Paramètres!$A$1:$I$89,3,0)*0.475*44/12</f>
        <v>2.1942023215753585</v>
      </c>
      <c r="CM79" s="21">
        <f>EXP(-LN(2)/2)*CM78+(1-EXP(-LN(2)/2))/(LN(2)/2)*CG79*CJ79*VLOOKUP('Données projet'!$B$12,Paramètres!$A$1:$I$89,3,0)*0.475*44/12</f>
        <v>1.1720867729539862E-6</v>
      </c>
      <c r="CN79" s="22">
        <f t="shared" si="66"/>
        <v>3.4546956784360794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6.1</v>
      </c>
      <c r="CT79" s="12">
        <f>IF('Données projet'!$A$140&gt;35,CT78+CS79-DB78,IF(A79&lt;'Données projet'!$A$140,$CQ$205^A79,IF(A79='Données projet'!$A$140,'Données projet'!$B$140,CT78+CS79-DB78)))</f>
        <v>257.60000000000019</v>
      </c>
      <c r="CU79" s="17">
        <f>CT79*VLOOKUP('Données projet'!$B$13,Paramètres!$A$1:$I$89,3,0)*VLOOKUP('Données projet'!$B$13,Paramètres!$A$1:$I$89,5,0)</f>
        <v>261.2064000000002</v>
      </c>
      <c r="CV79" s="13">
        <f t="shared" si="95"/>
        <v>62.979464359660597</v>
      </c>
      <c r="CW79" s="20">
        <f t="shared" si="67"/>
        <v>564.6237137597426</v>
      </c>
      <c r="CX79" s="59">
        <f t="shared" si="68"/>
        <v>857.95704709307597</v>
      </c>
      <c r="CY79" s="59">
        <f ca="1">AVERAGE(OFFSET($CX$3,0,0,'Données projet'!$E$13+1,1))-AVERAGE(OFFSET($H$3,0,0,'Données projet'!$E$13+1,1))</f>
        <v>279.20364724206644</v>
      </c>
      <c r="CZ79" s="59">
        <f t="shared" si="96"/>
        <v>173.99850582760712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0.97226125071156633</v>
      </c>
      <c r="DH79" s="21">
        <f>EXP(-LN(2)/2)*DH78+(1-EXP(-LN(2)/2))/(LN(2)/2)*DB79*DE79*VLOOKUP('Données projet'!$B$13,Paramètres!$A$1:$I$89,3,0)*0.475*44/12</f>
        <v>8.2687593850153831E-7</v>
      </c>
      <c r="DI79" s="22">
        <f t="shared" si="69"/>
        <v>0.97226207758750482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6.1</v>
      </c>
      <c r="DO79" s="12">
        <f>IF('Données projet'!$A$166&gt;35,DO78+DN79-DW78,IF(A79&lt;'Données projet'!$A$166,$DL$205^A79,IF(A79='Données projet'!$A$166,'Données projet'!$B$166,DO78+DN79-DW78)))</f>
        <v>257.60000000000019</v>
      </c>
      <c r="DP79" s="17">
        <f>DO79*VLOOKUP('Données projet'!$B$14,Paramètres!$A$1:$I$89,3,0)*VLOOKUP('Données projet'!$B$14,Paramètres!$A$1:$I$89,5,0)</f>
        <v>269.24352000000022</v>
      </c>
      <c r="DQ79" s="13">
        <f t="shared" si="97"/>
        <v>64.688698933343773</v>
      </c>
      <c r="DR79" s="20">
        <f t="shared" si="70"/>
        <v>581.5986146422407</v>
      </c>
      <c r="DS79" s="59">
        <f t="shared" si="71"/>
        <v>874.93194797557408</v>
      </c>
      <c r="DT79" s="59">
        <f ca="1">AVERAGE(OFFSET($DS$3,0,0,'Données projet'!$E$14+1,1))-AVERAGE(OFFSET($H$3,0,0,'Données projet'!$E$14+1,1))</f>
        <v>291.18074901939718</v>
      </c>
      <c r="DU79" s="59">
        <f t="shared" si="98"/>
        <v>181.05123751753774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1.0021769815026915</v>
      </c>
      <c r="EC79" s="21">
        <f>EXP(-LN(2)/2)*EC78+(1-EXP(-LN(2)/2))/(LN(2)/2)*DW79*DZ79*VLOOKUP('Données projet'!$B$14,Paramètres!$A$1:$I$89,3,0)*0.475*44/12</f>
        <v>8.5231827507081724E-7</v>
      </c>
      <c r="ED79" s="22">
        <f t="shared" si="72"/>
        <v>1.0021778338209666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168.08890945052406</v>
      </c>
      <c r="EP79" s="59">
        <f t="shared" si="100"/>
        <v>182.52462557642343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2.4981038868055823</v>
      </c>
      <c r="EW79" s="21">
        <f>EXP(-LN(2)/25)*EW78+(1-EXP(-LN(2)/25))/(LN(2)/25)*Calculateur!ER79*Calculateur!ET79*VLOOKUP('Données projet'!$B$15,Paramètres!$A$1:$I$89,3,0)*0.475*44/12</f>
        <v>3.4442840352983084</v>
      </c>
      <c r="EX79" s="21">
        <f>EXP(-LN(2)/2)*EX78+(1-EXP(-LN(2)/2))/(LN(2)/2)*ER79*EU79*VLOOKUP('Données projet'!$B$15,Paramètres!$A$1:$I$89,3,0)*0.475*44/12</f>
        <v>6.491771190254891E-7</v>
      </c>
      <c r="EY79" s="22">
        <f t="shared" si="75"/>
        <v>5.9423885712810094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3.1</v>
      </c>
      <c r="FE79" s="12">
        <f>IF('Données projet'!$A$218&gt;35,FE78+FD79-FM78,IF(A79&lt;'Données projet'!$A$218,$FB$205^A79,IF(A79='Données projet'!$A$218,'Données projet'!$B$218,FE78+FD79-FM78)))</f>
        <v>271.59999999999997</v>
      </c>
      <c r="FF79" s="17">
        <f>FE79*VLOOKUP('Données projet'!$B$16,Paramètres!$A$1:$I$89,3,0)*VLOOKUP('Données projet'!$B$16,Paramètres!$A$1:$I$89,5,0)</f>
        <v>182.18927999999997</v>
      </c>
      <c r="FG79" s="13">
        <f t="shared" si="101"/>
        <v>45.808917398007317</v>
      </c>
      <c r="FH79" s="20">
        <f t="shared" si="76"/>
        <v>397.09686046819598</v>
      </c>
      <c r="FI79" s="59">
        <f t="shared" si="77"/>
        <v>690.4301938015293</v>
      </c>
      <c r="FJ79" s="59">
        <f ca="1">AVERAGE(OFFSET($FI$3,0,0,'Données projet'!$E$16+1,1))-AVERAGE(OFFSET($H$3,0,0,'Données projet'!$E$16+1,1))</f>
        <v>156.63226020379989</v>
      </c>
      <c r="FK79" s="59">
        <f t="shared" si="102"/>
        <v>196.0481096619543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2.4217088532649225</v>
      </c>
      <c r="FS79" s="21">
        <f>EXP(-LN(2)/2)*FS78+(1-EXP(-LN(2)/2))/(LN(2)/2)*FM79*FP79*VLOOKUP('Données projet'!$B$16,Paramètres!$A$1:$I$89,3,0)*0.475*44/12</f>
        <v>1.0816420080812983E-6</v>
      </c>
      <c r="FT79" s="22">
        <f t="shared" si="78"/>
        <v>2.4217099349069304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7.2</v>
      </c>
      <c r="FZ79" s="12">
        <f>IF('Données projet'!$A$244&gt;35,FZ78+FY79-GH78,IF(A79&lt;'Données projet'!$A$244,$FW$205^A79,IF(A79='Données projet'!$A$244,'Données projet'!$B$244,FZ78+FY79-GH78)))</f>
        <v>421.19999999999959</v>
      </c>
      <c r="GA79" s="17">
        <f>FZ79*VLOOKUP('Données projet'!$B$17,Paramètres!$A$1:$I$89,3,0)*VLOOKUP('Données projet'!$B$17,Paramètres!$A$1:$I$89,5,0)</f>
        <v>251.87759999999977</v>
      </c>
      <c r="GB79" s="13">
        <f t="shared" si="103"/>
        <v>60.987825380023018</v>
      </c>
      <c r="GC79" s="20">
        <f t="shared" si="79"/>
        <v>544.90728253687291</v>
      </c>
      <c r="GD79" s="59">
        <f t="shared" si="80"/>
        <v>838.24061587020628</v>
      </c>
      <c r="GE79" s="59">
        <f ca="1">AVERAGE(OFFSET($GD$3,0,0,'Données projet'!$E$17+1,1))-AVERAGE(OFFSET($H$3,0,0,'Données projet'!$E$17+1,1))</f>
        <v>216.94426559495264</v>
      </c>
      <c r="GF79" s="59">
        <f t="shared" si="104"/>
        <v>225.33715877618704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3.5890792250456132</v>
      </c>
      <c r="GN79" s="21">
        <f>EXP(-LN(2)/2)*GN78+(1-EXP(-LN(2)/2))/(LN(2)/2)*GH79*GK79*VLOOKUP('Données projet'!$B$17,Paramètres!$A$1:$I$89,3,0)*0.475*44/12</f>
        <v>2.8287601320527758E-6</v>
      </c>
      <c r="GO79" s="21">
        <f t="shared" si="81"/>
        <v>3.5890820538057451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6.1</v>
      </c>
      <c r="GU79" s="12">
        <f>IF('Données projet'!$A$270&gt;35,GU78+GT79-HC78,IF(A79&lt;'Données projet'!$A$270,$GR$205^A79,IF(A79='Données projet'!$A$270,'Données projet'!$B$270,GU78+GT79-HC78)))</f>
        <v>257.60000000000019</v>
      </c>
      <c r="GV79" s="17">
        <f>GU79*VLOOKUP('Données projet'!$B$18,Paramètres!$A$1:$I$89,3,0)*VLOOKUP('Données projet'!$B$18,Paramètres!$A$1:$I$89,5,0)</f>
        <v>249.15072000000021</v>
      </c>
      <c r="GW79" s="13">
        <f t="shared" si="105"/>
        <v>60.404044320946298</v>
      </c>
      <c r="GX79" s="20">
        <f t="shared" si="82"/>
        <v>539.14121452564848</v>
      </c>
      <c r="GY79" s="59">
        <f t="shared" si="83"/>
        <v>832.47454785898185</v>
      </c>
      <c r="GZ79" s="59">
        <f ca="1">AVERAGE(OFFSET($GY$3,0,0,'Données projet'!$E$18+1,1))-AVERAGE(OFFSET($H$3,0,0,'Données projet'!$E$18+1,1))</f>
        <v>261.22357949323879</v>
      </c>
      <c r="HA79" s="59">
        <f t="shared" si="106"/>
        <v>163.41029152029387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0.9273876545248787</v>
      </c>
      <c r="HI79" s="21">
        <f>EXP(-LN(2)/2)*HI78+(1-EXP(-LN(2)/2))/(LN(2)/2)*HC79*HF79*VLOOKUP('Données projet'!$B$18,Paramètres!$A$1:$I$89,3,0)*0.475*44/12</f>
        <v>7.8871243364762113E-7</v>
      </c>
      <c r="HJ79" s="22">
        <f t="shared" si="84"/>
        <v>0.9273884432373124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237.22177246688199</v>
      </c>
      <c r="T80" s="59">
        <f t="shared" si="88"/>
        <v>149.27472147904302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3.7</v>
      </c>
      <c r="AI80" s="13">
        <f>IF('Données projet'!$A$62&gt;35,AI79+AH80-AQ79,IF(A80&lt;'Données projet'!$A$62,$AF$205^A80,IF(A80='Données projet'!$A$62,'Données projet'!$B$62,AI79+AH80-AQ79)))</f>
        <v>229.89999999999989</v>
      </c>
      <c r="AJ80" s="13">
        <f>AI80*VLOOKUP('Données projet'!$B$10,Paramètres!$A$1:$I$89,3,0)*VLOOKUP('Données projet'!$B$10,Paramètres!$A$1:$I$89,5,0)</f>
        <v>200.84063999999992</v>
      </c>
      <c r="AK80" s="13">
        <f t="shared" si="89"/>
        <v>49.928869830254925</v>
      </c>
      <c r="AL80" s="20">
        <f t="shared" si="58"/>
        <v>436.75689628769379</v>
      </c>
      <c r="AM80" s="59">
        <f t="shared" si="59"/>
        <v>730.09022962102711</v>
      </c>
      <c r="AN80" s="59">
        <f ca="1">AVERAGE(OFFSET($AM$3,0,0,'Données projet'!$E$10+1,1))-AVERAGE(OFFSET($H$3,0,0,'Données projet'!$E$10+1,1))</f>
        <v>210.07838338464626</v>
      </c>
      <c r="AO80" s="59">
        <f t="shared" si="90"/>
        <v>241.76003724236273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2.089553232325613</v>
      </c>
      <c r="AV80" s="21">
        <f>EXP(-LN(2)/25)*AV79+(1-EXP(-LN(2)/25))/(LN(2)/25)*Calculateur!AQ80*Calculateur!AS80*VLOOKUP('Données projet'!$B$10,Paramètres!$A$1:$I$89,3,0)*0.475*44/12</f>
        <v>3.6840058980236479</v>
      </c>
      <c r="AW80" s="21">
        <f>EXP(-LN(2)/2)*AW79+(1-EXP(-LN(2)/2))/(LN(2)/2)*AQ80*AT80*VLOOKUP('Données projet'!$B$10,Paramètres!$A$1:$I$89,3,0)*0.475*44/12</f>
        <v>1.3462904153521423E-6</v>
      </c>
      <c r="AX80" s="21">
        <f t="shared" si="60"/>
        <v>5.773560476639676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5.0999999999999996</v>
      </c>
      <c r="BD80" s="12">
        <f>IF('Données projet'!$A$88&gt;35,BD79+BC80-BL79,IF(A80&lt;'Données projet'!$A$88,$BA$205^A80,IF(A80='Données projet'!$A$88,'Données projet'!$B$88,BD79+BC80-BL79)))</f>
        <v>371.70000000000056</v>
      </c>
      <c r="BE80" s="13">
        <f>BD80*VLOOKUP('Données projet'!$B$11,Paramètres!$A$1:$I$89,3,0)*VLOOKUP('Données projet'!$B$11,Paramètres!$A$1:$I$89,5,0)</f>
        <v>231.94080000000034</v>
      </c>
      <c r="BF80" s="13">
        <f t="shared" si="91"/>
        <v>56.702122420175556</v>
      </c>
      <c r="BG80" s="20">
        <f t="shared" si="61"/>
        <v>502.71975654847284</v>
      </c>
      <c r="BH80" s="59">
        <f t="shared" si="62"/>
        <v>796.05308988180616</v>
      </c>
      <c r="BI80" s="59">
        <f ca="1">AVERAGE(OFFSET($BH$3,0,0,'Données projet'!$E$11+1,1))-AVERAGE(OFFSET($H$3,0,0,'Données projet'!$E$11+1,1))</f>
        <v>209.93608079129638</v>
      </c>
      <c r="BJ80" s="59">
        <f t="shared" si="92"/>
        <v>240.15652428700969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2.7412708775548231</v>
      </c>
      <c r="BQ80" s="21">
        <f>EXP(-LN(2)/25)*BQ79+(1-EXP(-LN(2)/25))/(LN(2)/25)*Calculateur!BL80*Calculateur!BN80*VLOOKUP('Données projet'!$B$11,Paramètres!$A$1:$I$89,3,0)*0.475*44/12</f>
        <v>5.6477362100340009</v>
      </c>
      <c r="BR80" s="21">
        <f>EXP(-LN(2)/2)*BR79+(1-EXP(-LN(2)/2))/(LN(2)/2)*BL80*BO80*VLOOKUP('Données projet'!$B$11,Paramètres!$A$1:$I$89,3,0)*0.475*44/12</f>
        <v>1.7019584846929821E-6</v>
      </c>
      <c r="BS80" s="22">
        <f t="shared" si="63"/>
        <v>8.3890087895473098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481.99999999999989</v>
      </c>
      <c r="BZ80" s="13">
        <f>BY80*VLOOKUP('Données projet'!$B$12,Paramètres!$A$1:$I$89,3,0)*VLOOKUP('Données projet'!$B$12,Paramètres!$A$1:$I$89,5,0)</f>
        <v>225.57599999999994</v>
      </c>
      <c r="CA80" s="13">
        <f t="shared" si="93"/>
        <v>55.325030705505945</v>
      </c>
      <c r="CB80" s="20">
        <f t="shared" si="64"/>
        <v>489.23596181208933</v>
      </c>
      <c r="CC80" s="59">
        <f t="shared" si="65"/>
        <v>782.56929514542264</v>
      </c>
      <c r="CD80" s="59">
        <f ca="1">AVERAGE(OFFSET($CC$3,0,0,'Données projet'!$E$12+1,1))-AVERAGE(OFFSET($H$3,0,0,'Données projet'!$E$12+1,1))</f>
        <v>215.23235148064941</v>
      </c>
      <c r="CE80" s="59">
        <f t="shared" si="94"/>
        <v>184.07239726900434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1.2357747018548486</v>
      </c>
      <c r="CL80" s="21">
        <f>EXP(-LN(2)/25)*CL79+(1-EXP(-LN(2)/25))/(LN(2)/25)*Calculateur!CG80*Calculateur!CI80*VLOOKUP('Données projet'!$B$12,Paramètres!$A$1:$I$89,3,0)*0.475*44/12</f>
        <v>2.134201743703795</v>
      </c>
      <c r="CM80" s="21">
        <f>EXP(-LN(2)/2)*CM79+(1-EXP(-LN(2)/2))/(LN(2)/2)*CG80*CJ80*VLOOKUP('Données projet'!$B$12,Paramètres!$A$1:$I$89,3,0)*0.475*44/12</f>
        <v>8.2879050529482091E-7</v>
      </c>
      <c r="CN80" s="22">
        <f t="shared" si="66"/>
        <v>3.3699772743491487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6.1</v>
      </c>
      <c r="CT80" s="12">
        <f>IF('Données projet'!$A$140&gt;35,CT79+CS80-DB79,IF(A80&lt;'Données projet'!$A$140,$CQ$205^A80,IF(A80='Données projet'!$A$140,'Données projet'!$B$140,CT79+CS80-DB79)))</f>
        <v>263.70000000000022</v>
      </c>
      <c r="CU80" s="17">
        <f>CT80*VLOOKUP('Données projet'!$B$13,Paramètres!$A$1:$I$89,3,0)*VLOOKUP('Données projet'!$B$13,Paramètres!$A$1:$I$89,5,0)</f>
        <v>267.39180000000022</v>
      </c>
      <c r="CV80" s="13">
        <f t="shared" si="95"/>
        <v>64.29543109795074</v>
      </c>
      <c r="CW80" s="20">
        <f t="shared" si="67"/>
        <v>577.68859416226462</v>
      </c>
      <c r="CX80" s="59">
        <f t="shared" si="68"/>
        <v>871.02192749559799</v>
      </c>
      <c r="CY80" s="59">
        <f ca="1">AVERAGE(OFFSET($CX$3,0,0,'Données projet'!$E$13+1,1))-AVERAGE(OFFSET($H$3,0,0,'Données projet'!$E$13+1,1))</f>
        <v>279.20364724206644</v>
      </c>
      <c r="CZ80" s="59">
        <f t="shared" si="96"/>
        <v>173.99850582760712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0.94567471568186146</v>
      </c>
      <c r="DH80" s="21">
        <f>EXP(-LN(2)/2)*DH79+(1-EXP(-LN(2)/2))/(LN(2)/2)*DB80*DE80*VLOOKUP('Données projet'!$B$13,Paramètres!$A$1:$I$89,3,0)*0.475*44/12</f>
        <v>5.8468958331442837E-7</v>
      </c>
      <c r="DI80" s="22">
        <f t="shared" si="69"/>
        <v>0.94567530037144476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6.1</v>
      </c>
      <c r="DO80" s="12">
        <f>IF('Données projet'!$A$166&gt;35,DO79+DN80-DW79,IF(A80&lt;'Données projet'!$A$166,$DL$205^A80,IF(A80='Données projet'!$A$166,'Données projet'!$B$166,DO79+DN80-DW79)))</f>
        <v>263.70000000000022</v>
      </c>
      <c r="DP80" s="17">
        <f>DO80*VLOOKUP('Données projet'!$B$14,Paramètres!$A$1:$I$89,3,0)*VLOOKUP('Données projet'!$B$14,Paramètres!$A$1:$I$89,5,0)</f>
        <v>275.61924000000022</v>
      </c>
      <c r="DQ80" s="13">
        <f t="shared" si="97"/>
        <v>66.04038042198583</v>
      </c>
      <c r="DR80" s="20">
        <f t="shared" si="70"/>
        <v>595.05717223495901</v>
      </c>
      <c r="DS80" s="59">
        <f t="shared" si="71"/>
        <v>888.39050556829238</v>
      </c>
      <c r="DT80" s="59">
        <f ca="1">AVERAGE(OFFSET($DS$3,0,0,'Données projet'!$E$14+1,1))-AVERAGE(OFFSET($H$3,0,0,'Données projet'!$E$14+1,1))</f>
        <v>291.18074901939718</v>
      </c>
      <c r="DU80" s="59">
        <f t="shared" si="98"/>
        <v>181.05123751753774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0.97477239924130343</v>
      </c>
      <c r="EC80" s="21">
        <f>EXP(-LN(2)/2)*EC79+(1-EXP(-LN(2)/2))/(LN(2)/2)*DW80*DZ80*VLOOKUP('Données projet'!$B$14,Paramètres!$A$1:$I$89,3,0)*0.475*44/12</f>
        <v>6.0268003203179598E-7</v>
      </c>
      <c r="ED80" s="22">
        <f t="shared" si="72"/>
        <v>0.97477300192133542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168.08890945052406</v>
      </c>
      <c r="EP80" s="59">
        <f t="shared" si="100"/>
        <v>182.52462557642343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2.4491175932782436</v>
      </c>
      <c r="EW80" s="21">
        <f>EXP(-LN(2)/25)*EW79+(1-EXP(-LN(2)/25))/(LN(2)/25)*Calculateur!ER80*Calculateur!ET80*VLOOKUP('Données projet'!$B$15,Paramètres!$A$1:$I$89,3,0)*0.475*44/12</f>
        <v>3.3500999072260509</v>
      </c>
      <c r="EX80" s="21">
        <f>EXP(-LN(2)/2)*EX79+(1-EXP(-LN(2)/2))/(LN(2)/2)*ER80*EU80*VLOOKUP('Données projet'!$B$15,Paramètres!$A$1:$I$89,3,0)*0.475*44/12</f>
        <v>4.5903754305406987E-7</v>
      </c>
      <c r="EY80" s="22">
        <f t="shared" si="75"/>
        <v>5.7992179595418376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3.1</v>
      </c>
      <c r="FE80" s="12">
        <f>IF('Données projet'!$A$218&gt;35,FE79+FD80-FM79,IF(A80&lt;'Données projet'!$A$218,$FB$205^A80,IF(A80='Données projet'!$A$218,'Données projet'!$B$218,FE79+FD80-FM79)))</f>
        <v>274.7</v>
      </c>
      <c r="FF80" s="17">
        <f>FE80*VLOOKUP('Données projet'!$B$16,Paramètres!$A$1:$I$89,3,0)*VLOOKUP('Données projet'!$B$16,Paramètres!$A$1:$I$89,5,0)</f>
        <v>184.26875999999999</v>
      </c>
      <c r="FG80" s="13">
        <f t="shared" si="101"/>
        <v>46.270607209807572</v>
      </c>
      <c r="FH80" s="20">
        <f t="shared" si="76"/>
        <v>401.52273122374817</v>
      </c>
      <c r="FI80" s="59">
        <f t="shared" si="77"/>
        <v>694.85606455708148</v>
      </c>
      <c r="FJ80" s="59">
        <f ca="1">AVERAGE(OFFSET($FI$3,0,0,'Données projet'!$E$16+1,1))-AVERAGE(OFFSET($H$3,0,0,'Données projet'!$E$16+1,1))</f>
        <v>156.63226020379989</v>
      </c>
      <c r="FK80" s="59">
        <f t="shared" si="102"/>
        <v>196.0481096619543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2.3554870973202595</v>
      </c>
      <c r="FS80" s="21">
        <f>EXP(-LN(2)/2)*FS79+(1-EXP(-LN(2)/2))/(LN(2)/2)*FM80*FP80*VLOOKUP('Données projet'!$B$16,Paramètres!$A$1:$I$89,3,0)*0.475*44/12</f>
        <v>7.6483639873052046E-7</v>
      </c>
      <c r="FT80" s="22">
        <f t="shared" si="78"/>
        <v>2.3554878621566582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7.2</v>
      </c>
      <c r="FZ80" s="12">
        <f>IF('Données projet'!$A$244&gt;35,FZ79+FY80-GH79,IF(A80&lt;'Données projet'!$A$244,$FW$205^A80,IF(A80='Données projet'!$A$244,'Données projet'!$B$244,FZ79+FY80-GH79)))</f>
        <v>428.39999999999958</v>
      </c>
      <c r="GA80" s="17">
        <f>FZ80*VLOOKUP('Données projet'!$B$17,Paramètres!$A$1:$I$89,3,0)*VLOOKUP('Données projet'!$B$17,Paramètres!$A$1:$I$89,5,0)</f>
        <v>256.18319999999977</v>
      </c>
      <c r="GB80" s="13">
        <f t="shared" si="103"/>
        <v>61.90809149979912</v>
      </c>
      <c r="GC80" s="20">
        <f t="shared" si="79"/>
        <v>554.00899936214978</v>
      </c>
      <c r="GD80" s="59">
        <f t="shared" si="80"/>
        <v>847.34233269548304</v>
      </c>
      <c r="GE80" s="59">
        <f ca="1">AVERAGE(OFFSET($GD$3,0,0,'Données projet'!$E$17+1,1))-AVERAGE(OFFSET($H$3,0,0,'Données projet'!$E$17+1,1))</f>
        <v>216.94426559495264</v>
      </c>
      <c r="GF80" s="59">
        <f t="shared" si="104"/>
        <v>225.33715877618704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3.4909356648952672</v>
      </c>
      <c r="GN80" s="21">
        <f>EXP(-LN(2)/2)*GN79+(1-EXP(-LN(2)/2))/(LN(2)/2)*GH80*GK80*VLOOKUP('Données projet'!$B$17,Paramètres!$A$1:$I$89,3,0)*0.475*44/12</f>
        <v>2.0002354717246714E-6</v>
      </c>
      <c r="GO80" s="21">
        <f t="shared" si="81"/>
        <v>3.4909376651307391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6.1</v>
      </c>
      <c r="GU80" s="12">
        <f>IF('Données projet'!$A$270&gt;35,GU79+GT80-HC79,IF(A80&lt;'Données projet'!$A$270,$GR$205^A80,IF(A80='Données projet'!$A$270,'Données projet'!$B$270,GU79+GT80-HC79)))</f>
        <v>263.70000000000022</v>
      </c>
      <c r="GV80" s="17">
        <f>GU80*VLOOKUP('Données projet'!$B$18,Paramètres!$A$1:$I$89,3,0)*VLOOKUP('Données projet'!$B$18,Paramètres!$A$1:$I$89,5,0)</f>
        <v>255.05064000000024</v>
      </c>
      <c r="GW80" s="13">
        <f t="shared" si="105"/>
        <v>61.666197214635986</v>
      </c>
      <c r="GX80" s="20">
        <f t="shared" si="82"/>
        <v>551.61515814882478</v>
      </c>
      <c r="GY80" s="59">
        <f t="shared" si="83"/>
        <v>844.94849148215803</v>
      </c>
      <c r="GZ80" s="59">
        <f ca="1">AVERAGE(OFFSET($GY$3,0,0,'Données projet'!$E$18+1,1))-AVERAGE(OFFSET($H$3,0,0,'Données projet'!$E$18+1,1))</f>
        <v>261.22357949323879</v>
      </c>
      <c r="HA80" s="59">
        <f t="shared" si="106"/>
        <v>163.41029152029387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0.90202819034269877</v>
      </c>
      <c r="HI80" s="21">
        <f>EXP(-LN(2)/2)*HI79+(1-EXP(-LN(2)/2))/(LN(2)/2)*HC80*HF80*VLOOKUP('Données projet'!$B$18,Paramètres!$A$1:$I$89,3,0)*0.475*44/12</f>
        <v>5.577039102383778E-7</v>
      </c>
      <c r="HJ80" s="22">
        <f t="shared" si="84"/>
        <v>0.90202874804660904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237.22177246688199</v>
      </c>
      <c r="T81" s="59">
        <f t="shared" si="88"/>
        <v>149.27472147904302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3.7</v>
      </c>
      <c r="AI81" s="13">
        <f>IF('Données projet'!$A$62&gt;35,AI80+AH81-AQ80,IF(A81&lt;'Données projet'!$A$62,$AF$205^A81,IF(A81='Données projet'!$A$62,'Données projet'!$B$62,AI80+AH81-AQ80)))</f>
        <v>233.59999999999988</v>
      </c>
      <c r="AJ81" s="13">
        <f>AI81*VLOOKUP('Données projet'!$B$10,Paramètres!$A$1:$I$89,3,0)*VLOOKUP('Données projet'!$B$10,Paramètres!$A$1:$I$89,5,0)</f>
        <v>204.07295999999991</v>
      </c>
      <c r="AK81" s="13">
        <f t="shared" si="89"/>
        <v>50.638228095278592</v>
      </c>
      <c r="AL81" s="20">
        <f t="shared" si="58"/>
        <v>443.62198593261002</v>
      </c>
      <c r="AM81" s="59">
        <f t="shared" si="59"/>
        <v>736.95531926594333</v>
      </c>
      <c r="AN81" s="59">
        <f ca="1">AVERAGE(OFFSET($AM$3,0,0,'Données projet'!$E$10+1,1))-AVERAGE(OFFSET($H$3,0,0,'Données projet'!$E$10+1,1))</f>
        <v>210.07838338464626</v>
      </c>
      <c r="AO81" s="59">
        <f t="shared" si="90"/>
        <v>241.76003724236273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2.048578367941333</v>
      </c>
      <c r="AV81" s="21">
        <f>EXP(-LN(2)/25)*AV80+(1-EXP(-LN(2)/25))/(LN(2)/25)*Calculateur!AQ81*Calculateur!AS81*VLOOKUP('Données projet'!$B$10,Paramètres!$A$1:$I$89,3,0)*0.475*44/12</f>
        <v>3.583266563008741</v>
      </c>
      <c r="AW81" s="21">
        <f>EXP(-LN(2)/2)*AW80+(1-EXP(-LN(2)/2))/(LN(2)/2)*AQ81*AT81*VLOOKUP('Données projet'!$B$10,Paramètres!$A$1:$I$89,3,0)*0.475*44/12</f>
        <v>9.5197108214195349E-7</v>
      </c>
      <c r="AX81" s="21">
        <f t="shared" si="60"/>
        <v>5.631845882921156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5.0999999999999996</v>
      </c>
      <c r="BD81" s="12">
        <f>IF('Données projet'!$A$88&gt;35,BD80+BC81-BL80,IF(A81&lt;'Données projet'!$A$88,$BA$205^A81,IF(A81='Données projet'!$A$88,'Données projet'!$B$88,BD80+BC81-BL80)))</f>
        <v>376.80000000000058</v>
      </c>
      <c r="BE81" s="13">
        <f>BD81*VLOOKUP('Données projet'!$B$11,Paramètres!$A$1:$I$89,3,0)*VLOOKUP('Données projet'!$B$11,Paramètres!$A$1:$I$89,5,0)</f>
        <v>235.12320000000034</v>
      </c>
      <c r="BF81" s="13">
        <f t="shared" si="91"/>
        <v>57.389012831278578</v>
      </c>
      <c r="BG81" s="20">
        <f t="shared" si="61"/>
        <v>509.45877068114413</v>
      </c>
      <c r="BH81" s="59">
        <f t="shared" si="62"/>
        <v>802.79210401447745</v>
      </c>
      <c r="BI81" s="59">
        <f ca="1">AVERAGE(OFFSET($BH$3,0,0,'Données projet'!$E$11+1,1))-AVERAGE(OFFSET($H$3,0,0,'Données projet'!$E$11+1,1))</f>
        <v>209.93608079129638</v>
      </c>
      <c r="BJ81" s="59">
        <f t="shared" si="92"/>
        <v>240.15652428700969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2.6875162276561109</v>
      </c>
      <c r="BQ81" s="21">
        <f>EXP(-LN(2)/25)*BQ80+(1-EXP(-LN(2)/25))/(LN(2)/25)*Calculateur!BL81*Calculateur!BN81*VLOOKUP('Données projet'!$B$11,Paramètres!$A$1:$I$89,3,0)*0.475*44/12</f>
        <v>5.4932985663690816</v>
      </c>
      <c r="BR81" s="21">
        <f>EXP(-LN(2)/2)*BR80+(1-EXP(-LN(2)/2))/(LN(2)/2)*BL81*BO81*VLOOKUP('Données projet'!$B$11,Paramètres!$A$1:$I$89,3,0)*0.475*44/12</f>
        <v>1.2034663858243885E-6</v>
      </c>
      <c r="BS81" s="22">
        <f t="shared" si="63"/>
        <v>8.1808159974915782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498.99999999999989</v>
      </c>
      <c r="BZ81" s="13">
        <f>BY81*VLOOKUP('Données projet'!$B$12,Paramètres!$A$1:$I$89,3,0)*VLOOKUP('Données projet'!$B$12,Paramètres!$A$1:$I$89,5,0)</f>
        <v>233.53199999999995</v>
      </c>
      <c r="CA81" s="13">
        <f t="shared" si="93"/>
        <v>57.04570382109808</v>
      </c>
      <c r="CB81" s="20">
        <f t="shared" si="64"/>
        <v>506.08950082174573</v>
      </c>
      <c r="CC81" s="59">
        <f t="shared" si="65"/>
        <v>799.42283415507904</v>
      </c>
      <c r="CD81" s="59">
        <f ca="1">AVERAGE(OFFSET($CC$3,0,0,'Données projet'!$E$12+1,1))-AVERAGE(OFFSET($H$3,0,0,'Données projet'!$E$12+1,1))</f>
        <v>215.23235148064941</v>
      </c>
      <c r="CE81" s="59">
        <f t="shared" si="94"/>
        <v>184.07239726900434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1.2115419136996166</v>
      </c>
      <c r="CL81" s="21">
        <f>EXP(-LN(2)/25)*CL80+(1-EXP(-LN(2)/25))/(LN(2)/25)*Calculateur!CG81*Calculateur!CI81*VLOOKUP('Données projet'!$B$12,Paramètres!$A$1:$I$89,3,0)*0.475*44/12</f>
        <v>2.0758418847894227</v>
      </c>
      <c r="CM81" s="21">
        <f>EXP(-LN(2)/2)*CM80+(1-EXP(-LN(2)/2))/(LN(2)/2)*CG81*CJ81*VLOOKUP('Données projet'!$B$12,Paramètres!$A$1:$I$89,3,0)*0.475*44/12</f>
        <v>5.8604338647699308E-7</v>
      </c>
      <c r="CN81" s="22">
        <f t="shared" si="66"/>
        <v>3.2873843845324258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6.1</v>
      </c>
      <c r="CT81" s="12">
        <f>IF('Données projet'!$A$140&gt;35,CT80+CS81-DB80,IF(A81&lt;'Données projet'!$A$140,$CQ$205^A81,IF(A81='Données projet'!$A$140,'Données projet'!$B$140,CT80+CS81-DB80)))</f>
        <v>269.80000000000024</v>
      </c>
      <c r="CU81" s="17">
        <f>CT81*VLOOKUP('Données projet'!$B$13,Paramètres!$A$1:$I$89,3,0)*VLOOKUP('Données projet'!$B$13,Paramètres!$A$1:$I$89,5,0)</f>
        <v>273.57720000000029</v>
      </c>
      <c r="CV81" s="13">
        <f t="shared" si="95"/>
        <v>65.607858889915164</v>
      </c>
      <c r="CW81" s="20">
        <f t="shared" si="67"/>
        <v>590.747310899936</v>
      </c>
      <c r="CX81" s="59">
        <f t="shared" si="68"/>
        <v>884.08064423326937</v>
      </c>
      <c r="CY81" s="59">
        <f ca="1">AVERAGE(OFFSET($CX$3,0,0,'Données projet'!$E$13+1,1))-AVERAGE(OFFSET($H$3,0,0,'Données projet'!$E$13+1,1))</f>
        <v>279.20364724206644</v>
      </c>
      <c r="CZ81" s="59">
        <f t="shared" si="96"/>
        <v>173.99850582760712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0.91981519085066898</v>
      </c>
      <c r="DH81" s="21">
        <f>EXP(-LN(2)/2)*DH80+(1-EXP(-LN(2)/2))/(LN(2)/2)*DB81*DE81*VLOOKUP('Données projet'!$B$13,Paramètres!$A$1:$I$89,3,0)*0.475*44/12</f>
        <v>4.1343796925076915E-7</v>
      </c>
      <c r="DI81" s="22">
        <f t="shared" si="69"/>
        <v>0.91981560428863829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6.1</v>
      </c>
      <c r="DO81" s="12">
        <f>IF('Données projet'!$A$166&gt;35,DO80+DN81-DW80,IF(A81&lt;'Données projet'!$A$166,$DL$205^A81,IF(A81='Données projet'!$A$166,'Données projet'!$B$166,DO80+DN81-DW80)))</f>
        <v>269.80000000000024</v>
      </c>
      <c r="DP81" s="17">
        <f>DO81*VLOOKUP('Données projet'!$B$14,Paramètres!$A$1:$I$89,3,0)*VLOOKUP('Données projet'!$B$14,Paramètres!$A$1:$I$89,5,0)</f>
        <v>281.99496000000028</v>
      </c>
      <c r="DQ81" s="13">
        <f t="shared" si="97"/>
        <v>67.388426918877258</v>
      </c>
      <c r="DR81" s="20">
        <f t="shared" si="70"/>
        <v>608.5093988837117</v>
      </c>
      <c r="DS81" s="59">
        <f t="shared" si="71"/>
        <v>901.84273221704507</v>
      </c>
      <c r="DT81" s="59">
        <f ca="1">AVERAGE(OFFSET($DS$3,0,0,'Données projet'!$E$14+1,1))-AVERAGE(OFFSET($H$3,0,0,'Données projet'!$E$14+1,1))</f>
        <v>291.18074901939718</v>
      </c>
      <c r="DU81" s="59">
        <f t="shared" si="98"/>
        <v>181.05123751753774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0.94811719672299744</v>
      </c>
      <c r="EC81" s="21">
        <f>EXP(-LN(2)/2)*EC80+(1-EXP(-LN(2)/2))/(LN(2)/2)*DW81*DZ81*VLOOKUP('Données projet'!$B$14,Paramètres!$A$1:$I$89,3,0)*0.475*44/12</f>
        <v>4.2615913753540862E-7</v>
      </c>
      <c r="ED81" s="22">
        <f t="shared" si="72"/>
        <v>0.94811762288213497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168.08890945052406</v>
      </c>
      <c r="EP81" s="59">
        <f t="shared" si="100"/>
        <v>182.52462557642343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2.4010918910882872</v>
      </c>
      <c r="EW81" s="21">
        <f>EXP(-LN(2)/25)*EW80+(1-EXP(-LN(2)/25))/(LN(2)/25)*Calculateur!ER81*Calculateur!ET81*VLOOKUP('Données projet'!$B$15,Paramètres!$A$1:$I$89,3,0)*0.475*44/12</f>
        <v>3.2584912490888573</v>
      </c>
      <c r="EX81" s="21">
        <f>EXP(-LN(2)/2)*EX80+(1-EXP(-LN(2)/2))/(LN(2)/2)*ER81*EU81*VLOOKUP('Données projet'!$B$15,Paramètres!$A$1:$I$89,3,0)*0.475*44/12</f>
        <v>3.245885595127446E-7</v>
      </c>
      <c r="EY81" s="22">
        <f t="shared" si="75"/>
        <v>5.6595834647657037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3.1</v>
      </c>
      <c r="FE81" s="12">
        <f>IF('Données projet'!$A$218&gt;35,FE80+FD81-FM80,IF(A81&lt;'Données projet'!$A$218,$FB$205^A81,IF(A81='Données projet'!$A$218,'Données projet'!$B$218,FE80+FD81-FM80)))</f>
        <v>277.8</v>
      </c>
      <c r="FF81" s="17">
        <f>FE81*VLOOKUP('Données projet'!$B$16,Paramètres!$A$1:$I$89,3,0)*VLOOKUP('Données projet'!$B$16,Paramètres!$A$1:$I$89,5,0)</f>
        <v>186.34824000000003</v>
      </c>
      <c r="FG81" s="13">
        <f t="shared" si="101"/>
        <v>46.731690940362157</v>
      </c>
      <c r="FH81" s="20">
        <f t="shared" si="76"/>
        <v>405.9475463877975</v>
      </c>
      <c r="FI81" s="59">
        <f t="shared" si="77"/>
        <v>699.28087972113076</v>
      </c>
      <c r="FJ81" s="59">
        <f ca="1">AVERAGE(OFFSET($FI$3,0,0,'Données projet'!$E$16+1,1))-AVERAGE(OFFSET($H$3,0,0,'Données projet'!$E$16+1,1))</f>
        <v>156.63226020379989</v>
      </c>
      <c r="FK81" s="59">
        <f t="shared" si="102"/>
        <v>196.0481096619543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2.2910761787743543</v>
      </c>
      <c r="FS81" s="21">
        <f>EXP(-LN(2)/2)*FS80+(1-EXP(-LN(2)/2))/(LN(2)/2)*FM81*FP81*VLOOKUP('Données projet'!$B$16,Paramètres!$A$1:$I$89,3,0)*0.475*44/12</f>
        <v>5.4082100404064915E-7</v>
      </c>
      <c r="FT81" s="22">
        <f t="shared" si="78"/>
        <v>2.2910767195953583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7.2</v>
      </c>
      <c r="FZ81" s="12">
        <f>IF('Données projet'!$A$244&gt;35,FZ80+FY81-GH80,IF(A81&lt;'Données projet'!$A$244,$FW$205^A81,IF(A81='Données projet'!$A$244,'Données projet'!$B$244,FZ80+FY81-GH80)))</f>
        <v>435.59999999999957</v>
      </c>
      <c r="GA81" s="17">
        <f>FZ81*VLOOKUP('Données projet'!$B$17,Paramètres!$A$1:$I$89,3,0)*VLOOKUP('Données projet'!$B$17,Paramètres!$A$1:$I$89,5,0)</f>
        <v>260.48879999999974</v>
      </c>
      <c r="GB81" s="13">
        <f t="shared" si="103"/>
        <v>62.826558970958764</v>
      </c>
      <c r="GC81" s="20">
        <f t="shared" si="79"/>
        <v>563.107583541086</v>
      </c>
      <c r="GD81" s="59">
        <f t="shared" si="80"/>
        <v>856.44091687441937</v>
      </c>
      <c r="GE81" s="59">
        <f ca="1">AVERAGE(OFFSET($GD$3,0,0,'Données projet'!$E$17+1,1))-AVERAGE(OFFSET($H$3,0,0,'Données projet'!$E$17+1,1))</f>
        <v>216.94426559495264</v>
      </c>
      <c r="GF81" s="59">
        <f t="shared" si="104"/>
        <v>225.33715877618704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3.3954758455583782</v>
      </c>
      <c r="GN81" s="21">
        <f>EXP(-LN(2)/2)*GN80+(1-EXP(-LN(2)/2))/(LN(2)/2)*GH81*GK81*VLOOKUP('Données projet'!$B$17,Paramètres!$A$1:$I$89,3,0)*0.475*44/12</f>
        <v>1.4143800660263879E-6</v>
      </c>
      <c r="GO81" s="21">
        <f t="shared" si="81"/>
        <v>3.3954772599384442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6.1</v>
      </c>
      <c r="GU81" s="12">
        <f>IF('Données projet'!$A$270&gt;35,GU80+GT81-HC80,IF(A81&lt;'Données projet'!$A$270,$GR$205^A81,IF(A81='Données projet'!$A$270,'Données projet'!$B$270,GU80+GT81-HC80)))</f>
        <v>269.80000000000024</v>
      </c>
      <c r="GV81" s="17">
        <f>GU81*VLOOKUP('Données projet'!$B$18,Paramètres!$A$1:$I$89,3,0)*VLOOKUP('Données projet'!$B$18,Paramètres!$A$1:$I$89,5,0)</f>
        <v>260.95056000000022</v>
      </c>
      <c r="GW81" s="13">
        <f t="shared" si="105"/>
        <v>62.924955880176995</v>
      </c>
      <c r="GX81" s="20">
        <f t="shared" si="82"/>
        <v>564.0831901579752</v>
      </c>
      <c r="GY81" s="59">
        <f t="shared" si="83"/>
        <v>857.41652349130845</v>
      </c>
      <c r="GZ81" s="59">
        <f ca="1">AVERAGE(OFFSET($GY$3,0,0,'Données projet'!$E$18+1,1))-AVERAGE(OFFSET($H$3,0,0,'Données projet'!$E$18+1,1))</f>
        <v>261.22357949323879</v>
      </c>
      <c r="HA81" s="59">
        <f t="shared" si="106"/>
        <v>163.41029152029387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0.87736218204217675</v>
      </c>
      <c r="HI81" s="21">
        <f>EXP(-LN(2)/2)*HI80+(1-EXP(-LN(2)/2))/(LN(2)/2)*HC81*HF81*VLOOKUP('Données projet'!$B$18,Paramètres!$A$1:$I$89,3,0)*0.475*44/12</f>
        <v>3.9435621682381056E-7</v>
      </c>
      <c r="HJ81" s="22">
        <f t="shared" si="84"/>
        <v>0.87736257639839355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237.22177246688199</v>
      </c>
      <c r="T82" s="59">
        <f t="shared" si="88"/>
        <v>149.27472147904302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3.7</v>
      </c>
      <c r="AI82" s="13">
        <f>IF('Données projet'!$A$62&gt;35,AI81+AH82-AQ81,IF(A82&lt;'Données projet'!$A$62,$AF$205^A82,IF(A82='Données projet'!$A$62,'Données projet'!$B$62,AI81+AH82-AQ81)))</f>
        <v>237.29999999999987</v>
      </c>
      <c r="AJ82" s="13">
        <f>AI82*VLOOKUP('Données projet'!$B$10,Paramètres!$A$1:$I$89,3,0)*VLOOKUP('Données projet'!$B$10,Paramètres!$A$1:$I$89,5,0)</f>
        <v>207.30527999999993</v>
      </c>
      <c r="AK82" s="13">
        <f t="shared" si="89"/>
        <v>51.346279688817212</v>
      </c>
      <c r="AL82" s="20">
        <f t="shared" si="58"/>
        <v>450.48479979135647</v>
      </c>
      <c r="AM82" s="59">
        <f t="shared" si="59"/>
        <v>743.81813312468978</v>
      </c>
      <c r="AN82" s="59">
        <f ca="1">AVERAGE(OFFSET($AM$3,0,0,'Données projet'!$E$10+1,1))-AVERAGE(OFFSET($H$3,0,0,'Données projet'!$E$10+1,1))</f>
        <v>210.07838338464626</v>
      </c>
      <c r="AO82" s="59">
        <f t="shared" si="90"/>
        <v>241.76003724236273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2.0084069956554291</v>
      </c>
      <c r="AV82" s="21">
        <f>EXP(-LN(2)/25)*AV81+(1-EXP(-LN(2)/25))/(LN(2)/25)*Calculateur!AQ82*Calculateur!AS82*VLOOKUP('Données projet'!$B$10,Paramètres!$A$1:$I$89,3,0)*0.475*44/12</f>
        <v>3.4852819504074679</v>
      </c>
      <c r="AW82" s="21">
        <f>EXP(-LN(2)/2)*AW81+(1-EXP(-LN(2)/2))/(LN(2)/2)*AQ82*AT82*VLOOKUP('Données projet'!$B$10,Paramètres!$A$1:$I$89,3,0)*0.475*44/12</f>
        <v>6.7314520767607125E-7</v>
      </c>
      <c r="AX82" s="21">
        <f t="shared" si="60"/>
        <v>5.4936896192081051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5.0999999999999996</v>
      </c>
      <c r="BD82" s="12">
        <f>IF('Données projet'!$A$88&gt;35,BD81+BC82-BL81,IF(A82&lt;'Données projet'!$A$88,$BA$205^A82,IF(A82='Données projet'!$A$88,'Données projet'!$B$88,BD81+BC82-BL81)))</f>
        <v>381.9000000000006</v>
      </c>
      <c r="BE82" s="13">
        <f>BD82*VLOOKUP('Données projet'!$B$11,Paramètres!$A$1:$I$89,3,0)*VLOOKUP('Données projet'!$B$11,Paramètres!$A$1:$I$89,5,0)</f>
        <v>238.3056000000004</v>
      </c>
      <c r="BF82" s="13">
        <f t="shared" si="91"/>
        <v>58.074821878967199</v>
      </c>
      <c r="BG82" s="20">
        <f t="shared" si="61"/>
        <v>516.19590143920186</v>
      </c>
      <c r="BH82" s="59">
        <f t="shared" si="62"/>
        <v>809.52923477253512</v>
      </c>
      <c r="BI82" s="59">
        <f ca="1">AVERAGE(OFFSET($BH$3,0,0,'Données projet'!$E$11+1,1))-AVERAGE(OFFSET($H$3,0,0,'Données projet'!$E$11+1,1))</f>
        <v>209.93608079129638</v>
      </c>
      <c r="BJ82" s="59">
        <f t="shared" si="92"/>
        <v>240.15652428700969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2.6348156736548134</v>
      </c>
      <c r="BQ82" s="21">
        <f>EXP(-LN(2)/25)*BQ81+(1-EXP(-LN(2)/25))/(LN(2)/25)*Calculateur!BL82*Calculateur!BN82*VLOOKUP('Données projet'!$B$11,Paramètres!$A$1:$I$89,3,0)*0.475*44/12</f>
        <v>5.3430840281917025</v>
      </c>
      <c r="BR82" s="21">
        <f>EXP(-LN(2)/2)*BR81+(1-EXP(-LN(2)/2))/(LN(2)/2)*BL82*BO82*VLOOKUP('Données projet'!$B$11,Paramètres!$A$1:$I$89,3,0)*0.475*44/12</f>
        <v>8.5097924234649107E-7</v>
      </c>
      <c r="BS82" s="22">
        <f t="shared" si="63"/>
        <v>7.9779005528257585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515.99999999999989</v>
      </c>
      <c r="BZ82" s="13">
        <f>BY82*VLOOKUP('Données projet'!$B$12,Paramètres!$A$1:$I$89,3,0)*VLOOKUP('Données projet'!$B$12,Paramètres!$A$1:$I$89,5,0)</f>
        <v>241.48799999999997</v>
      </c>
      <c r="CA82" s="13">
        <f t="shared" si="93"/>
        <v>58.759565673424916</v>
      </c>
      <c r="CB82" s="20">
        <f t="shared" si="64"/>
        <v>522.93117688121504</v>
      </c>
      <c r="CC82" s="59">
        <f t="shared" si="65"/>
        <v>816.26451021454841</v>
      </c>
      <c r="CD82" s="59">
        <f ca="1">AVERAGE(OFFSET($CC$3,0,0,'Données projet'!$E$12+1,1))-AVERAGE(OFFSET($H$3,0,0,'Données projet'!$E$12+1,1))</f>
        <v>215.23235148064941</v>
      </c>
      <c r="CE82" s="59">
        <f t="shared" si="94"/>
        <v>184.07239726900434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1.1877843157395676</v>
      </c>
      <c r="CL82" s="21">
        <f>EXP(-LN(2)/25)*CL81+(1-EXP(-LN(2)/25))/(LN(2)/25)*Calculateur!CG82*Calculateur!CI82*VLOOKUP('Données projet'!$B$12,Paramètres!$A$1:$I$89,3,0)*0.475*44/12</f>
        <v>2.0190778792860757</v>
      </c>
      <c r="CM82" s="21">
        <f>EXP(-LN(2)/2)*CM81+(1-EXP(-LN(2)/2))/(LN(2)/2)*CG82*CJ82*VLOOKUP('Données projet'!$B$12,Paramètres!$A$1:$I$89,3,0)*0.475*44/12</f>
        <v>4.1439525264741046E-7</v>
      </c>
      <c r="CN82" s="22">
        <f t="shared" si="66"/>
        <v>3.2068626094208961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6.1</v>
      </c>
      <c r="CT82" s="12">
        <f>IF('Données projet'!$A$140&gt;35,CT81+CS82-DB81,IF(A82&lt;'Données projet'!$A$140,$CQ$205^A82,IF(A82='Données projet'!$A$140,'Données projet'!$B$140,CT81+CS82-DB81)))</f>
        <v>275.90000000000026</v>
      </c>
      <c r="CU82" s="17">
        <f>CT82*VLOOKUP('Données projet'!$B$13,Paramètres!$A$1:$I$89,3,0)*VLOOKUP('Données projet'!$B$13,Paramètres!$A$1:$I$89,5,0)</f>
        <v>279.7626000000003</v>
      </c>
      <c r="CV82" s="13">
        <f t="shared" si="95"/>
        <v>66.916836960258763</v>
      </c>
      <c r="CW82" s="20">
        <f t="shared" si="67"/>
        <v>603.80001937245117</v>
      </c>
      <c r="CX82" s="59">
        <f t="shared" si="68"/>
        <v>897.13335270578455</v>
      </c>
      <c r="CY82" s="59">
        <f ca="1">AVERAGE(OFFSET($CX$3,0,0,'Données projet'!$E$13+1,1))-AVERAGE(OFFSET($H$3,0,0,'Données projet'!$E$13+1,1))</f>
        <v>279.20364724206644</v>
      </c>
      <c r="CZ82" s="59">
        <f t="shared" si="96"/>
        <v>173.99850582760712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0.89466279608587884</v>
      </c>
      <c r="DH82" s="21">
        <f>EXP(-LN(2)/2)*DH81+(1-EXP(-LN(2)/2))/(LN(2)/2)*DB82*DE82*VLOOKUP('Données projet'!$B$13,Paramètres!$A$1:$I$89,3,0)*0.475*44/12</f>
        <v>2.9234479165721419E-7</v>
      </c>
      <c r="DI82" s="22">
        <f t="shared" si="69"/>
        <v>0.89466308843067055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6.1</v>
      </c>
      <c r="DO82" s="12">
        <f>IF('Données projet'!$A$166&gt;35,DO81+DN82-DW81,IF(A82&lt;'Données projet'!$A$166,$DL$205^A82,IF(A82='Données projet'!$A$166,'Données projet'!$B$166,DO81+DN82-DW81)))</f>
        <v>275.90000000000026</v>
      </c>
      <c r="DP82" s="17">
        <f>DO82*VLOOKUP('Données projet'!$B$14,Paramètres!$A$1:$I$89,3,0)*VLOOKUP('Données projet'!$B$14,Paramètres!$A$1:$I$89,5,0)</f>
        <v>288.37068000000028</v>
      </c>
      <c r="DQ82" s="13">
        <f t="shared" si="97"/>
        <v>68.732930070241679</v>
      </c>
      <c r="DR82" s="20">
        <f t="shared" si="70"/>
        <v>621.95545420567146</v>
      </c>
      <c r="DS82" s="59">
        <f t="shared" si="71"/>
        <v>915.28878753900472</v>
      </c>
      <c r="DT82" s="59">
        <f ca="1">AVERAGE(OFFSET($DS$3,0,0,'Données projet'!$E$14+1,1))-AVERAGE(OFFSET($H$3,0,0,'Données projet'!$E$14+1,1))</f>
        <v>291.18074901939718</v>
      </c>
      <c r="DU82" s="59">
        <f t="shared" si="98"/>
        <v>181.05123751753774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0.92219088211929068</v>
      </c>
      <c r="EC82" s="21">
        <f>EXP(-LN(2)/2)*EC81+(1-EXP(-LN(2)/2))/(LN(2)/2)*DW82*DZ82*VLOOKUP('Données projet'!$B$14,Paramètres!$A$1:$I$89,3,0)*0.475*44/12</f>
        <v>3.0134001601589799E-7</v>
      </c>
      <c r="ED82" s="22">
        <f t="shared" si="72"/>
        <v>0.92219118345930673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168.08890945052406</v>
      </c>
      <c r="EP82" s="59">
        <f t="shared" si="100"/>
        <v>182.52462557642343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2.3540079436254899</v>
      </c>
      <c r="EW82" s="21">
        <f>EXP(-LN(2)/25)*EW81+(1-EXP(-LN(2)/25))/(LN(2)/25)*Calculateur!ER82*Calculateur!ET82*VLOOKUP('Données projet'!$B$15,Paramètres!$A$1:$I$89,3,0)*0.475*44/12</f>
        <v>3.1693876345259153</v>
      </c>
      <c r="EX82" s="21">
        <f>EXP(-LN(2)/2)*EX81+(1-EXP(-LN(2)/2))/(LN(2)/2)*ER82*EU82*VLOOKUP('Données projet'!$B$15,Paramètres!$A$1:$I$89,3,0)*0.475*44/12</f>
        <v>2.2951877152703496E-7</v>
      </c>
      <c r="EY82" s="22">
        <f t="shared" si="75"/>
        <v>5.5233958076701759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3.1</v>
      </c>
      <c r="FE82" s="12">
        <f>IF('Données projet'!$A$218&gt;35,FE81+FD82-FM81,IF(A82&lt;'Données projet'!$A$218,$FB$205^A82,IF(A82='Données projet'!$A$218,'Données projet'!$B$218,FE81+FD82-FM81)))</f>
        <v>280.90000000000003</v>
      </c>
      <c r="FF82" s="17">
        <f>FE82*VLOOKUP('Données projet'!$B$16,Paramètres!$A$1:$I$89,3,0)*VLOOKUP('Données projet'!$B$16,Paramètres!$A$1:$I$89,5,0)</f>
        <v>188.42772000000002</v>
      </c>
      <c r="FG82" s="13">
        <f t="shared" si="101"/>
        <v>47.192176135661008</v>
      </c>
      <c r="FH82" s="20">
        <f t="shared" si="76"/>
        <v>410.37131910294289</v>
      </c>
      <c r="FI82" s="59">
        <f t="shared" si="77"/>
        <v>703.70465243627621</v>
      </c>
      <c r="FJ82" s="59">
        <f ca="1">AVERAGE(OFFSET($FI$3,0,0,'Données projet'!$E$16+1,1))-AVERAGE(OFFSET($H$3,0,0,'Données projet'!$E$16+1,1))</f>
        <v>156.63226020379989</v>
      </c>
      <c r="FK82" s="59">
        <f t="shared" si="102"/>
        <v>196.0481096619543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2.2284265801833096</v>
      </c>
      <c r="FS82" s="21">
        <f>EXP(-LN(2)/2)*FS81+(1-EXP(-LN(2)/2))/(LN(2)/2)*FM82*FP82*VLOOKUP('Données projet'!$B$16,Paramètres!$A$1:$I$89,3,0)*0.475*44/12</f>
        <v>3.8241819936526023E-7</v>
      </c>
      <c r="FT82" s="22">
        <f t="shared" si="78"/>
        <v>2.228426962601509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7.2</v>
      </c>
      <c r="FZ82" s="12">
        <f>IF('Données projet'!$A$244&gt;35,FZ81+FY82-GH81,IF(A82&lt;'Données projet'!$A$244,$FW$205^A82,IF(A82='Données projet'!$A$244,'Données projet'!$B$244,FZ81+FY82-GH81)))</f>
        <v>442.79999999999956</v>
      </c>
      <c r="GA82" s="17">
        <f>FZ82*VLOOKUP('Données projet'!$B$17,Paramètres!$A$1:$I$89,3,0)*VLOOKUP('Données projet'!$B$17,Paramètres!$A$1:$I$89,5,0)</f>
        <v>264.79439999999977</v>
      </c>
      <c r="GB82" s="13">
        <f t="shared" si="103"/>
        <v>63.74326095490612</v>
      </c>
      <c r="GC82" s="20">
        <f t="shared" si="79"/>
        <v>572.2030928297944</v>
      </c>
      <c r="GD82" s="59">
        <f t="shared" si="80"/>
        <v>865.53642616312777</v>
      </c>
      <c r="GE82" s="59">
        <f ca="1">AVERAGE(OFFSET($GD$3,0,0,'Données projet'!$E$17+1,1))-AVERAGE(OFFSET($H$3,0,0,'Données projet'!$E$17+1,1))</f>
        <v>216.94426559495264</v>
      </c>
      <c r="GF82" s="59">
        <f t="shared" si="104"/>
        <v>225.33715877618704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3.3026263800012701</v>
      </c>
      <c r="GN82" s="21">
        <f>EXP(-LN(2)/2)*GN81+(1-EXP(-LN(2)/2))/(LN(2)/2)*GH82*GK82*VLOOKUP('Données projet'!$B$17,Paramètres!$A$1:$I$89,3,0)*0.475*44/12</f>
        <v>1.0001177358623357E-6</v>
      </c>
      <c r="GO82" s="21">
        <f t="shared" si="81"/>
        <v>3.3026273801190058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6.1</v>
      </c>
      <c r="GU82" s="12">
        <f>IF('Données projet'!$A$270&gt;35,GU81+GT82-HC81,IF(A82&lt;'Données projet'!$A$270,$GR$205^A82,IF(A82='Données projet'!$A$270,'Données projet'!$B$270,GU81+GT82-HC81)))</f>
        <v>275.90000000000026</v>
      </c>
      <c r="GV82" s="17">
        <f>GU82*VLOOKUP('Données projet'!$B$18,Paramètres!$A$1:$I$89,3,0)*VLOOKUP('Données projet'!$B$18,Paramètres!$A$1:$I$89,5,0)</f>
        <v>266.85048000000029</v>
      </c>
      <c r="GW82" s="13">
        <f t="shared" si="105"/>
        <v>64.180405893607485</v>
      </c>
      <c r="GX82" s="20">
        <f t="shared" si="82"/>
        <v>576.54545959803352</v>
      </c>
      <c r="GY82" s="59">
        <f t="shared" si="83"/>
        <v>869.87879293136689</v>
      </c>
      <c r="GZ82" s="59">
        <f ca="1">AVERAGE(OFFSET($GY$3,0,0,'Données projet'!$E$18+1,1))-AVERAGE(OFFSET($H$3,0,0,'Données projet'!$E$18+1,1))</f>
        <v>261.22357949323879</v>
      </c>
      <c r="HA82" s="59">
        <f t="shared" si="106"/>
        <v>163.41029152029387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0.85337066703576148</v>
      </c>
      <c r="HI82" s="21">
        <f>EXP(-LN(2)/2)*HI81+(1-EXP(-LN(2)/2))/(LN(2)/2)*HC82*HF82*VLOOKUP('Données projet'!$B$18,Paramètres!$A$1:$I$89,3,0)*0.475*44/12</f>
        <v>2.788519551191889E-7</v>
      </c>
      <c r="HJ82" s="22">
        <f t="shared" si="84"/>
        <v>0.85337094588771656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237.22177246688199</v>
      </c>
      <c r="T83" s="59">
        <f t="shared" si="88"/>
        <v>149.27472147904302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241</v>
      </c>
      <c r="AG83" s="12">
        <f>VLOOKUP(A83,'Données projet'!$A$61:$I$81,9,0)</f>
        <v>3.7</v>
      </c>
      <c r="AH83" s="12">
        <f t="array" ref="AH83">INDEX(AG:AG,MIN(IF(ISNUMBER(AG83:AG279),ROW(AG83:AG279),"")))</f>
        <v>3.7</v>
      </c>
      <c r="AI83" s="13">
        <f>IF('Données projet'!$A$62&gt;35,AI82+AH83-AQ82,IF(A83&lt;'Données projet'!$A$62,$AF$205^A83,IF(A83='Données projet'!$A$62,'Données projet'!$B$62,AI82+AH83-AQ82)))</f>
        <v>240.99999999999986</v>
      </c>
      <c r="AJ83" s="13">
        <f>AI83*VLOOKUP('Données projet'!$B$10,Paramètres!$A$1:$I$89,3,0)*VLOOKUP('Données projet'!$B$10,Paramètres!$A$1:$I$89,5,0)</f>
        <v>210.53759999999988</v>
      </c>
      <c r="AK83" s="13">
        <f t="shared" si="89"/>
        <v>52.053047337322234</v>
      </c>
      <c r="AL83" s="20">
        <f t="shared" si="58"/>
        <v>457.34537744583599</v>
      </c>
      <c r="AM83" s="59">
        <f t="shared" si="59"/>
        <v>750.67871077916925</v>
      </c>
      <c r="AN83" s="59">
        <f ca="1">AVERAGE(OFFSET($AM$3,0,0,'Données projet'!$E$10+1,1))-AVERAGE(OFFSET($H$3,0,0,'Données projet'!$E$10+1,1))</f>
        <v>210.07838338464626</v>
      </c>
      <c r="AO83" s="59">
        <f t="shared" si="90"/>
        <v>241.76003724236273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1.9690233594779341</v>
      </c>
      <c r="AV83" s="21">
        <f>EXP(-LN(2)/25)*AV82+(1-EXP(-LN(2)/25))/(LN(2)/25)*Calculateur!AQ83*Calculateur!AS83*VLOOKUP('Données projet'!$B$10,Paramètres!$A$1:$I$89,3,0)*0.475*44/12</f>
        <v>3.3899767321905636</v>
      </c>
      <c r="AW83" s="21">
        <f>EXP(-LN(2)/2)*AW82+(1-EXP(-LN(2)/2))/(LN(2)/2)*AQ83*AT83*VLOOKUP('Données projet'!$B$10,Paramètres!$A$1:$I$89,3,0)*0.475*44/12</f>
        <v>4.7598554107097685E-7</v>
      </c>
      <c r="AX83" s="21">
        <f t="shared" si="60"/>
        <v>5.3590005676540384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387</v>
      </c>
      <c r="BB83" s="12">
        <f>VLOOKUP(A83,'Données projet'!$A$87:$I$107,9,0)</f>
        <v>5.0999999999999996</v>
      </c>
      <c r="BC83" s="12">
        <f t="array" ref="BC83">INDEX(BB:BB,MIN(IF(ISNUMBER(BB83:BB279),ROW(BB83:BB279),"")))</f>
        <v>5.0999999999999996</v>
      </c>
      <c r="BD83" s="12">
        <f>IF('Données projet'!$A$88&gt;35,BD82+BC83-BL82,IF(A83&lt;'Données projet'!$A$88,$BA$205^A83,IF(A83='Données projet'!$A$88,'Données projet'!$B$88,BD82+BC83-BL82)))</f>
        <v>387.00000000000063</v>
      </c>
      <c r="BE83" s="13">
        <f>BD83*VLOOKUP('Données projet'!$B$11,Paramètres!$A$1:$I$89,3,0)*VLOOKUP('Données projet'!$B$11,Paramètres!$A$1:$I$89,5,0)</f>
        <v>241.4880000000004</v>
      </c>
      <c r="BF83" s="13">
        <f t="shared" si="91"/>
        <v>58.759565673425016</v>
      </c>
      <c r="BG83" s="20">
        <f t="shared" si="61"/>
        <v>522.93117688121595</v>
      </c>
      <c r="BH83" s="59">
        <f t="shared" si="62"/>
        <v>816.26451021454932</v>
      </c>
      <c r="BI83" s="59">
        <f ca="1">AVERAGE(OFFSET($BH$3,0,0,'Données projet'!$E$11+1,1))-AVERAGE(OFFSET($H$3,0,0,'Données projet'!$E$11+1,1))</f>
        <v>209.93608079129638</v>
      </c>
      <c r="BJ83" s="59">
        <f t="shared" si="92"/>
        <v>240.15652428700969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387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2.5831485453733176</v>
      </c>
      <c r="BQ83" s="21">
        <f>EXP(-LN(2)/25)*BQ82+(1-EXP(-LN(2)/25))/(LN(2)/25)*Calculateur!BL83*Calculateur!BN83*VLOOKUP('Données projet'!$B$11,Paramètres!$A$1:$I$89,3,0)*0.475*44/12</f>
        <v>5.196977114460223</v>
      </c>
      <c r="BR83" s="21">
        <f>EXP(-LN(2)/2)*BR82+(1-EXP(-LN(2)/2))/(LN(2)/2)*BL83*BO83*VLOOKUP('Données projet'!$B$11,Paramètres!$A$1:$I$89,3,0)*0.475*44/12</f>
        <v>6.0173319291219425E-7</v>
      </c>
      <c r="BS83" s="22">
        <f t="shared" si="63"/>
        <v>7.7801262615667337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533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532.99999999999989</v>
      </c>
      <c r="BZ83" s="13">
        <f>BY83*VLOOKUP('Données projet'!$B$12,Paramètres!$A$1:$I$89,3,0)*VLOOKUP('Données projet'!$B$12,Paramètres!$A$1:$I$89,5,0)</f>
        <v>249.44399999999993</v>
      </c>
      <c r="CA83" s="13">
        <f t="shared" si="93"/>
        <v>60.466866397117599</v>
      </c>
      <c r="CB83" s="20">
        <f t="shared" si="64"/>
        <v>539.76142564164627</v>
      </c>
      <c r="CC83" s="59">
        <f t="shared" si="65"/>
        <v>833.09475897497964</v>
      </c>
      <c r="CD83" s="59">
        <f ca="1">AVERAGE(OFFSET($CC$3,0,0,'Données projet'!$E$12+1,1))-AVERAGE(OFFSET($H$3,0,0,'Données projet'!$E$12+1,1))</f>
        <v>215.23235148064941</v>
      </c>
      <c r="CE83" s="59">
        <f t="shared" si="94"/>
        <v>184.07239726900434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83.4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1.1644925897848111</v>
      </c>
      <c r="CL83" s="21">
        <f>EXP(-LN(2)/25)*CL82+(1-EXP(-LN(2)/25))/(LN(2)/25)*Calculateur!CG83*Calculateur!CI83*VLOOKUP('Données projet'!$B$12,Paramètres!$A$1:$I$89,3,0)*0.475*44/12</f>
        <v>1.963866088498307</v>
      </c>
      <c r="CM83" s="21">
        <f>EXP(-LN(2)/2)*CM82+(1-EXP(-LN(2)/2))/(LN(2)/2)*CG83*CJ83*VLOOKUP('Données projet'!$B$12,Paramètres!$A$1:$I$89,3,0)*0.475*44/12</f>
        <v>2.9302169323849654E-7</v>
      </c>
      <c r="CN83" s="22">
        <f t="shared" si="66"/>
        <v>3.1283589713048112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282</v>
      </c>
      <c r="CR83" s="12">
        <f>VLOOKUP(A83,'Données projet'!$A$139:$I$159,9,0)</f>
        <v>6.1</v>
      </c>
      <c r="CS83" s="12">
        <f t="array" ref="CS83">INDEX(CR:CR,MIN(IF(ISNUMBER(CR83:CR279),ROW(CR83:CR279),"")))</f>
        <v>6.1</v>
      </c>
      <c r="CT83" s="12">
        <f>IF('Données projet'!$A$140&gt;35,CT82+CS83-DB82,IF(A83&lt;'Données projet'!$A$140,$CQ$205^A83,IF(A83='Données projet'!$A$140,'Données projet'!$B$140,CT82+CS83-DB82)))</f>
        <v>282.00000000000028</v>
      </c>
      <c r="CU83" s="17">
        <f>CT83*VLOOKUP('Données projet'!$B$13,Paramètres!$A$1:$I$89,3,0)*VLOOKUP('Données projet'!$B$13,Paramètres!$A$1:$I$89,5,0)</f>
        <v>285.94800000000032</v>
      </c>
      <c r="CV83" s="13">
        <f t="shared" si="95"/>
        <v>68.222450362989434</v>
      </c>
      <c r="CW83" s="20">
        <f t="shared" si="67"/>
        <v>616.8468677155405</v>
      </c>
      <c r="CX83" s="59">
        <f t="shared" si="68"/>
        <v>910.18020104887387</v>
      </c>
      <c r="CY83" s="59">
        <f ca="1">AVERAGE(OFFSET($CX$3,0,0,'Données projet'!$E$13+1,1))-AVERAGE(OFFSET($H$3,0,0,'Données projet'!$E$13+1,1))</f>
        <v>279.20364724206644</v>
      </c>
      <c r="CZ83" s="59">
        <f t="shared" si="96"/>
        <v>173.99850582760712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0.87019819487863881</v>
      </c>
      <c r="DH83" s="21">
        <f>EXP(-LN(2)/2)*DH82+(1-EXP(-LN(2)/2))/(LN(2)/2)*DB83*DE83*VLOOKUP('Données projet'!$B$13,Paramètres!$A$1:$I$89,3,0)*0.475*44/12</f>
        <v>2.0671898462538458E-7</v>
      </c>
      <c r="DI83" s="22">
        <f t="shared" si="69"/>
        <v>0.87019840159762341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282</v>
      </c>
      <c r="DM83" s="12">
        <f>VLOOKUP(A83,'Données projet'!$A$165:$I$185,9,0)</f>
        <v>6.1</v>
      </c>
      <c r="DN83" s="12">
        <f t="array" ref="DN83">INDEX(DM:DM,MIN(IF(ISNUMBER(DM83:DM279),ROW(DM83:DM279),"")))</f>
        <v>6.1</v>
      </c>
      <c r="DO83" s="12">
        <f>IF('Données projet'!$A$166&gt;35,DO82+DN83-DW82,IF(A83&lt;'Données projet'!$A$166,$DL$205^A83,IF(A83='Données projet'!$A$166,'Données projet'!$B$166,DO82+DN83-DW82)))</f>
        <v>282.00000000000028</v>
      </c>
      <c r="DP83" s="17">
        <f>DO83*VLOOKUP('Données projet'!$B$14,Paramètres!$A$1:$I$89,3,0)*VLOOKUP('Données projet'!$B$14,Paramètres!$A$1:$I$89,5,0)</f>
        <v>294.74640000000034</v>
      </c>
      <c r="DQ83" s="13">
        <f t="shared" si="97"/>
        <v>70.073977238414798</v>
      </c>
      <c r="DR83" s="20">
        <f t="shared" si="70"/>
        <v>635.39549035690629</v>
      </c>
      <c r="DS83" s="59">
        <f t="shared" si="71"/>
        <v>928.72882369023955</v>
      </c>
      <c r="DT83" s="59">
        <f ca="1">AVERAGE(OFFSET($DS$3,0,0,'Données projet'!$E$14+1,1))-AVERAGE(OFFSET($H$3,0,0,'Données projet'!$E$14+1,1))</f>
        <v>291.18074901939718</v>
      </c>
      <c r="DU83" s="59">
        <f t="shared" si="98"/>
        <v>181.05123751753774</v>
      </c>
      <c r="DV83" s="15">
        <f>IF(ISNA(VLOOKUP(A83,'Données projet'!$A$165:$I$185,3,0)),0,VLOOKUP(A83,'Données projet'!$A$165:$I$185,3,0))</f>
        <v>6</v>
      </c>
      <c r="DW83" s="15">
        <f>IF(ISNA(VLOOKUP(A83,'Données projet'!$A$165:$I$185,4,0)),0,VLOOKUP(A83,'Données projet'!$A$165:$I$185,4,0))</f>
        <v>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0.89697352395182783</v>
      </c>
      <c r="EC83" s="21">
        <f>EXP(-LN(2)/2)*EC82+(1-EXP(-LN(2)/2))/(LN(2)/2)*DW83*DZ83*VLOOKUP('Données projet'!$B$14,Paramètres!$A$1:$I$89,3,0)*0.475*44/12</f>
        <v>2.1307956876770431E-7</v>
      </c>
      <c r="ED83" s="22">
        <f t="shared" si="72"/>
        <v>0.8969737370313966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168.08890945052406</v>
      </c>
      <c r="EP83" s="59">
        <f t="shared" si="100"/>
        <v>182.52462557642343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2.3078472836540658</v>
      </c>
      <c r="EW83" s="21">
        <f>EXP(-LN(2)/25)*EW82+(1-EXP(-LN(2)/25))/(LN(2)/25)*Calculateur!ER83*Calculateur!ET83*VLOOKUP('Données projet'!$B$15,Paramètres!$A$1:$I$89,3,0)*0.475*44/12</f>
        <v>3.082720562988952</v>
      </c>
      <c r="EX83" s="21">
        <f>EXP(-LN(2)/2)*EX82+(1-EXP(-LN(2)/2))/(LN(2)/2)*ER83*EU83*VLOOKUP('Données projet'!$B$15,Paramètres!$A$1:$I$89,3,0)*0.475*44/12</f>
        <v>1.622942797563723E-7</v>
      </c>
      <c r="EY83" s="22">
        <f t="shared" si="75"/>
        <v>5.3905680089372972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284</v>
      </c>
      <c r="FC83" s="12">
        <f>VLOOKUP(A83,'Données projet'!$A$217:$I$237,9,0)</f>
        <v>3.1</v>
      </c>
      <c r="FD83" s="12">
        <f t="array" ref="FD83">INDEX(FC:FC,MIN(IF(ISNUMBER(FC83:FC279),ROW(FC83:FC279),"")))</f>
        <v>3.1</v>
      </c>
      <c r="FE83" s="12">
        <f>IF('Données projet'!$A$218&gt;35,FE82+FD83-FM82,IF(A83&lt;'Données projet'!$A$218,$FB$205^A83,IF(A83='Données projet'!$A$218,'Données projet'!$B$218,FE82+FD83-FM82)))</f>
        <v>284.00000000000006</v>
      </c>
      <c r="FF83" s="17">
        <f>FE83*VLOOKUP('Données projet'!$B$16,Paramètres!$A$1:$I$89,3,0)*VLOOKUP('Données projet'!$B$16,Paramètres!$A$1:$I$89,5,0)</f>
        <v>190.50720000000004</v>
      </c>
      <c r="FG83" s="13">
        <f t="shared" si="101"/>
        <v>47.652070165548515</v>
      </c>
      <c r="FH83" s="20">
        <f t="shared" si="76"/>
        <v>414.79406220499703</v>
      </c>
      <c r="FI83" s="59">
        <f t="shared" si="77"/>
        <v>708.12739553833035</v>
      </c>
      <c r="FJ83" s="59">
        <f ca="1">AVERAGE(OFFSET($FI$3,0,0,'Données projet'!$E$16+1,1))-AVERAGE(OFFSET($H$3,0,0,'Données projet'!$E$16+1,1))</f>
        <v>156.63226020379989</v>
      </c>
      <c r="FK83" s="59">
        <f t="shared" si="102"/>
        <v>196.0481096619543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284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2.1674901381603364</v>
      </c>
      <c r="FS83" s="21">
        <f>EXP(-LN(2)/2)*FS82+(1-EXP(-LN(2)/2))/(LN(2)/2)*FM83*FP83*VLOOKUP('Données projet'!$B$16,Paramètres!$A$1:$I$89,3,0)*0.475*44/12</f>
        <v>2.7041050202032457E-7</v>
      </c>
      <c r="FT83" s="22">
        <f t="shared" si="78"/>
        <v>2.1674904085708384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450</v>
      </c>
      <c r="FX83" s="12">
        <f>VLOOKUP(A83,'Données projet'!$A$243:$I$263,9,0)</f>
        <v>7.2</v>
      </c>
      <c r="FY83" s="12">
        <f t="array" ref="FY83">INDEX(FX:FX,MIN(IF(ISNUMBER(FX83:FX279),ROW(FX83:FX279),"")))</f>
        <v>7.2</v>
      </c>
      <c r="FZ83" s="12">
        <f>IF('Données projet'!$A$244&gt;35,FZ82+FY83-GH82,IF(A83&lt;'Données projet'!$A$244,$FW$205^A83,IF(A83='Données projet'!$A$244,'Données projet'!$B$244,FZ82+FY83-GH82)))</f>
        <v>449.99999999999955</v>
      </c>
      <c r="GA83" s="17">
        <f>FZ83*VLOOKUP('Données projet'!$B$17,Paramètres!$A$1:$I$89,3,0)*VLOOKUP('Données projet'!$B$17,Paramètres!$A$1:$I$89,5,0)</f>
        <v>269.09999999999974</v>
      </c>
      <c r="GB83" s="13">
        <f t="shared" si="103"/>
        <v>64.658229472790936</v>
      </c>
      <c r="GC83" s="20">
        <f t="shared" si="79"/>
        <v>581.29558299844382</v>
      </c>
      <c r="GD83" s="59">
        <f t="shared" si="80"/>
        <v>874.62891633177719</v>
      </c>
      <c r="GE83" s="59">
        <f ca="1">AVERAGE(OFFSET($GD$3,0,0,'Données projet'!$E$17+1,1))-AVERAGE(OFFSET($H$3,0,0,'Données projet'!$E$17+1,1))</f>
        <v>216.94426559495264</v>
      </c>
      <c r="GF83" s="59">
        <f t="shared" si="104"/>
        <v>225.33715877618704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450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3.2123158879625624</v>
      </c>
      <c r="GN83" s="21">
        <f>EXP(-LN(2)/2)*GN82+(1-EXP(-LN(2)/2))/(LN(2)/2)*GH83*GK83*VLOOKUP('Données projet'!$B$17,Paramètres!$A$1:$I$89,3,0)*0.475*44/12</f>
        <v>7.0719003301319395E-7</v>
      </c>
      <c r="GO83" s="21">
        <f t="shared" si="81"/>
        <v>3.2123165951525956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282</v>
      </c>
      <c r="GS83" s="12">
        <f>VLOOKUP(A83,'Données projet'!$A$269:$I$289,9,0)</f>
        <v>6.1</v>
      </c>
      <c r="GT83" s="12">
        <f t="array" ref="GT83">INDEX(GS:GS,MIN(IF(ISNUMBER(GS83:GS279),ROW(GS83:GS279),"")))</f>
        <v>6.1</v>
      </c>
      <c r="GU83" s="12">
        <f>IF('Données projet'!$A$270&gt;35,GU82+GT83-HC82,IF(A83&lt;'Données projet'!$A$270,$GR$205^A83,IF(A83='Données projet'!$A$270,'Données projet'!$B$270,GU82+GT83-HC82)))</f>
        <v>282.00000000000028</v>
      </c>
      <c r="GV83" s="17">
        <f>GU83*VLOOKUP('Données projet'!$B$18,Paramètres!$A$1:$I$89,3,0)*VLOOKUP('Données projet'!$B$18,Paramètres!$A$1:$I$89,5,0)</f>
        <v>272.7504000000003</v>
      </c>
      <c r="GW83" s="13">
        <f t="shared" si="105"/>
        <v>65.432628830820761</v>
      </c>
      <c r="GX83" s="20">
        <f t="shared" si="82"/>
        <v>589.00210854701334</v>
      </c>
      <c r="GY83" s="59">
        <f t="shared" si="83"/>
        <v>882.33544188034671</v>
      </c>
      <c r="GZ83" s="59">
        <f ca="1">AVERAGE(OFFSET($GY$3,0,0,'Données projet'!$E$18+1,1))-AVERAGE(OFFSET($H$3,0,0,'Données projet'!$E$18+1,1))</f>
        <v>261.22357949323879</v>
      </c>
      <c r="HA83" s="59">
        <f t="shared" si="106"/>
        <v>163.41029152029387</v>
      </c>
      <c r="HB83" s="15">
        <f>IF(ISNA(VLOOKUP(A83,'Données projet'!$A$269:$I$289,3,0)),0,VLOOKUP(A83,'Données projet'!$A$269:$I$289,3,0))</f>
        <v>6</v>
      </c>
      <c r="HC83" s="15">
        <f>IF(ISNA(VLOOKUP(A83,'Données projet'!$A$269:$I$289,4,0)),0,VLOOKUP(A83,'Données projet'!$A$269:$I$289,4,0))</f>
        <v>42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0.83003520126885555</v>
      </c>
      <c r="HI83" s="21">
        <f>EXP(-LN(2)/2)*HI82+(1-EXP(-LN(2)/2))/(LN(2)/2)*HC83*HF83*VLOOKUP('Données projet'!$B$18,Paramètres!$A$1:$I$89,3,0)*0.475*44/12</f>
        <v>1.9717810841190528E-7</v>
      </c>
      <c r="HJ83" s="22">
        <f t="shared" si="84"/>
        <v>0.83003539844696395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237.22177246688199</v>
      </c>
      <c r="T84" s="59">
        <f t="shared" si="88"/>
        <v>149.27472147904302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3.1</v>
      </c>
      <c r="AI84" s="13">
        <f>IF('Données projet'!$A$62&gt;35,AI83+AH84-AQ83,IF(A84&lt;'Données projet'!$A$62,$AF$205^A84,IF(A84='Données projet'!$A$62,'Données projet'!$B$62,AI83+AH84-AQ83)))</f>
        <v>217.09999999999985</v>
      </c>
      <c r="AJ84" s="13">
        <f>AI84*VLOOKUP('Données projet'!$B$10,Paramètres!$A$1:$I$89,3,0)*VLOOKUP('Données projet'!$B$10,Paramètres!$A$1:$I$89,5,0)</f>
        <v>189.65855999999988</v>
      </c>
      <c r="AK84" s="13">
        <f t="shared" si="89"/>
        <v>47.464457414655961</v>
      </c>
      <c r="AL84" s="20">
        <f t="shared" si="58"/>
        <v>412.98925533052557</v>
      </c>
      <c r="AM84" s="59">
        <f t="shared" si="59"/>
        <v>706.32258866385882</v>
      </c>
      <c r="AN84" s="59">
        <f ca="1">AVERAGE(OFFSET($AM$3,0,0,'Données projet'!$E$10+1,1))-AVERAGE(OFFSET($H$3,0,0,'Données projet'!$E$10+1,1))</f>
        <v>210.07838338464626</v>
      </c>
      <c r="AO84" s="59">
        <f t="shared" si="90"/>
        <v>241.76003724236273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1.9304120123842337</v>
      </c>
      <c r="AV84" s="21">
        <f>EXP(-LN(2)/25)*AV83+(1-EXP(-LN(2)/25))/(LN(2)/25)*Calculateur!AQ84*Calculateur!AS84*VLOOKUP('Données projet'!$B$10,Paramètres!$A$1:$I$89,3,0)*0.475*44/12</f>
        <v>3.297277640177684</v>
      </c>
      <c r="AW84" s="21">
        <f>EXP(-LN(2)/2)*AW83+(1-EXP(-LN(2)/2))/(LN(2)/2)*AQ84*AT84*VLOOKUP('Données projet'!$B$10,Paramètres!$A$1:$I$89,3,0)*0.475*44/12</f>
        <v>3.3657260383803568E-7</v>
      </c>
      <c r="AX84" s="21">
        <f t="shared" si="60"/>
        <v>5.2276899891345208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6.2527760746888816E-13</v>
      </c>
      <c r="BE84" s="13">
        <f>BD84*VLOOKUP('Données projet'!$B$11,Paramètres!$A$1:$I$89,3,0)*VLOOKUP('Données projet'!$B$11,Paramètres!$A$1:$I$89,5,0)</f>
        <v>3.9017322706058616E-13</v>
      </c>
      <c r="BF84" s="13">
        <f t="shared" si="91"/>
        <v>5.0025007393608908E-12</v>
      </c>
      <c r="BG84" s="20">
        <f t="shared" si="61"/>
        <v>9.3922404915174053E-12</v>
      </c>
      <c r="BH84" s="59">
        <f t="shared" si="62"/>
        <v>293.33333333334269</v>
      </c>
      <c r="BI84" s="59">
        <f ca="1">AVERAGE(OFFSET($BH$3,0,0,'Données projet'!$E$11+1,1))-AVERAGE(OFFSET($H$3,0,0,'Données projet'!$E$11+1,1))</f>
        <v>209.93608079129638</v>
      </c>
      <c r="BJ84" s="59">
        <f t="shared" si="92"/>
        <v>240.15652428700969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2.5324945779635852</v>
      </c>
      <c r="BQ84" s="21">
        <f>EXP(-LN(2)/25)*BQ83+(1-EXP(-LN(2)/25))/(LN(2)/25)*Calculateur!BL84*Calculateur!BN84*VLOOKUP('Données projet'!$B$11,Paramètres!$A$1:$I$89,3,0)*0.475*44/12</f>
        <v>5.0548655019681599</v>
      </c>
      <c r="BR84" s="21">
        <f>EXP(-LN(2)/2)*BR83+(1-EXP(-LN(2)/2))/(LN(2)/2)*BL84*BO84*VLOOKUP('Données projet'!$B$11,Paramètres!$A$1:$I$89,3,0)*0.475*44/12</f>
        <v>4.2548962117324554E-7</v>
      </c>
      <c r="BS84" s="22">
        <f t="shared" si="63"/>
        <v>7.5873605054213664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17.5</v>
      </c>
      <c r="BY84" s="12">
        <f>IF('Données projet'!$A$114&gt;35,BY83+BX84-CG83,IF(A84&lt;'Données projet'!$A$114,$BV$205^A84,IF(A84='Données projet'!$A$114,'Données projet'!$B$114,BY83+BX84-CG83)))</f>
        <v>467.09999999999991</v>
      </c>
      <c r="BZ84" s="13">
        <f>BY84*VLOOKUP('Données projet'!$B$12,Paramètres!$A$1:$I$89,3,0)*VLOOKUP('Données projet'!$B$12,Paramètres!$A$1:$I$89,5,0)</f>
        <v>218.60279999999995</v>
      </c>
      <c r="CA84" s="13">
        <f t="shared" si="93"/>
        <v>53.811098692658383</v>
      </c>
      <c r="CB84" s="20">
        <f t="shared" si="64"/>
        <v>474.45420688971325</v>
      </c>
      <c r="CC84" s="59">
        <f t="shared" si="65"/>
        <v>767.78754022304656</v>
      </c>
      <c r="CD84" s="59">
        <f ca="1">AVERAGE(OFFSET($CC$3,0,0,'Données projet'!$E$12+1,1))-AVERAGE(OFFSET($H$3,0,0,'Données projet'!$E$12+1,1))</f>
        <v>215.23235148064941</v>
      </c>
      <c r="CE84" s="59">
        <f t="shared" si="94"/>
        <v>184.07239726900434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1.1416576003694774</v>
      </c>
      <c r="CL84" s="21">
        <f>EXP(-LN(2)/25)*CL83+(1-EXP(-LN(2)/25))/(LN(2)/25)*Calculateur!CG84*Calculateur!CI84*VLOOKUP('Données projet'!$B$12,Paramètres!$A$1:$I$89,3,0)*0.475*44/12</f>
        <v>1.9101640670330917</v>
      </c>
      <c r="CM84" s="21">
        <f>EXP(-LN(2)/2)*CM83+(1-EXP(-LN(2)/2))/(LN(2)/2)*CG84*CJ84*VLOOKUP('Données projet'!$B$12,Paramètres!$A$1:$I$89,3,0)*0.475*44/12</f>
        <v>2.0719762632370523E-7</v>
      </c>
      <c r="CN84" s="22">
        <f t="shared" si="66"/>
        <v>3.0518218746001953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5.6</v>
      </c>
      <c r="CT84" s="12">
        <f>IF('Données projet'!$A$140&gt;35,CT83+CS84-DB83,IF(A84&lt;'Données projet'!$A$140,$CQ$205^A84,IF(A84='Données projet'!$A$140,'Données projet'!$B$140,CT83+CS84-DB83)))</f>
        <v>245.60000000000031</v>
      </c>
      <c r="CU84" s="17">
        <f>CT84*VLOOKUP('Données projet'!$B$13,Paramètres!$A$1:$I$89,3,0)*VLOOKUP('Données projet'!$B$13,Paramètres!$A$1:$I$89,5,0)</f>
        <v>249.03840000000034</v>
      </c>
      <c r="CV84" s="13">
        <f t="shared" si="95"/>
        <v>60.379982523340054</v>
      </c>
      <c r="CW84" s="20">
        <f t="shared" si="67"/>
        <v>538.90368289481785</v>
      </c>
      <c r="CX84" s="59">
        <f t="shared" si="68"/>
        <v>832.23701622815111</v>
      </c>
      <c r="CY84" s="59">
        <f ca="1">AVERAGE(OFFSET($CX$3,0,0,'Données projet'!$E$13+1,1))-AVERAGE(OFFSET($H$3,0,0,'Données projet'!$E$13+1,1))</f>
        <v>279.20364724206644</v>
      </c>
      <c r="CZ84" s="59">
        <f t="shared" si="96"/>
        <v>173.99850582760712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0.84640257947794828</v>
      </c>
      <c r="DH84" s="21">
        <f>EXP(-LN(2)/2)*DH83+(1-EXP(-LN(2)/2))/(LN(2)/2)*DB84*DE84*VLOOKUP('Données projet'!$B$13,Paramètres!$A$1:$I$89,3,0)*0.475*44/12</f>
        <v>1.4617239582860709E-7</v>
      </c>
      <c r="DI84" s="22">
        <f t="shared" si="69"/>
        <v>0.84640272565034413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5.6</v>
      </c>
      <c r="DO84" s="12">
        <f>IF('Données projet'!$A$166&gt;35,DO83+DN84-DW83,IF(A84&lt;'Données projet'!$A$166,$DL$205^A84,IF(A84='Données projet'!$A$166,'Données projet'!$B$166,DO83+DN84-DW83)))</f>
        <v>245.60000000000031</v>
      </c>
      <c r="DP84" s="17">
        <f>DO84*VLOOKUP('Données projet'!$B$14,Paramètres!$A$1:$I$89,3,0)*VLOOKUP('Données projet'!$B$14,Paramètres!$A$1:$I$89,5,0)</f>
        <v>256.70112000000034</v>
      </c>
      <c r="DQ84" s="13">
        <f t="shared" si="97"/>
        <v>62.018668319362511</v>
      </c>
      <c r="DR84" s="20">
        <f t="shared" si="70"/>
        <v>555.10363132289024</v>
      </c>
      <c r="DS84" s="59">
        <f t="shared" si="71"/>
        <v>848.43696465622361</v>
      </c>
      <c r="DT84" s="59">
        <f ca="1">AVERAGE(OFFSET($DS$3,0,0,'Données projet'!$E$14+1,1))-AVERAGE(OFFSET($H$3,0,0,'Données projet'!$E$14+1,1))</f>
        <v>291.18074901939718</v>
      </c>
      <c r="DU84" s="59">
        <f t="shared" si="98"/>
        <v>181.05123751753774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0.87244573576957751</v>
      </c>
      <c r="EC84" s="21">
        <f>EXP(-LN(2)/2)*EC83+(1-EXP(-LN(2)/2))/(LN(2)/2)*DW84*DZ84*VLOOKUP('Données projet'!$B$14,Paramètres!$A$1:$I$89,3,0)*0.475*44/12</f>
        <v>1.50670008007949E-7</v>
      </c>
      <c r="ED84" s="22">
        <f t="shared" si="72"/>
        <v>0.87244588643958554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168.08890945052406</v>
      </c>
      <c r="EP84" s="59">
        <f t="shared" si="100"/>
        <v>182.52462557642343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2.2625918060694588</v>
      </c>
      <c r="EW84" s="21">
        <f>EXP(-LN(2)/25)*EW83+(1-EXP(-LN(2)/25))/(LN(2)/25)*Calculateur!ER84*Calculateur!ET84*VLOOKUP('Données projet'!$B$15,Paramètres!$A$1:$I$89,3,0)*0.475*44/12</f>
        <v>2.9984234070807902</v>
      </c>
      <c r="EX84" s="21">
        <f>EXP(-LN(2)/2)*EX83+(1-EXP(-LN(2)/2))/(LN(2)/2)*ER84*EU84*VLOOKUP('Données projet'!$B$15,Paramètres!$A$1:$I$89,3,0)*0.475*44/12</f>
        <v>1.1475938576351748E-7</v>
      </c>
      <c r="EY84" s="22">
        <f t="shared" si="75"/>
        <v>5.261015327909635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3.813056537183002E-14</v>
      </c>
      <c r="FG84" s="13">
        <f t="shared" si="101"/>
        <v>6.4086286045526829E-13</v>
      </c>
      <c r="FH84" s="20">
        <f t="shared" si="76"/>
        <v>1.1825802166488628E-12</v>
      </c>
      <c r="FI84" s="59">
        <f t="shared" si="77"/>
        <v>293.33333333333451</v>
      </c>
      <c r="FJ84" s="59">
        <f ca="1">AVERAGE(OFFSET($FI$3,0,0,'Données projet'!$E$16+1,1))-AVERAGE(OFFSET($H$3,0,0,'Données projet'!$E$16+1,1))</f>
        <v>156.63226020379989</v>
      </c>
      <c r="FK84" s="59">
        <f t="shared" si="102"/>
        <v>196.0481096619543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2.1082200063489895</v>
      </c>
      <c r="FS84" s="21">
        <f>EXP(-LN(2)/2)*FS83+(1-EXP(-LN(2)/2))/(LN(2)/2)*FM84*FP84*VLOOKUP('Données projet'!$B$16,Paramètres!$A$1:$I$89,3,0)*0.475*44/12</f>
        <v>1.9120909968263012E-7</v>
      </c>
      <c r="FT84" s="22">
        <f t="shared" si="78"/>
        <v>2.1082201975580892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-4.5474735088646412E-13</v>
      </c>
      <c r="GA84" s="17">
        <f>FZ84*VLOOKUP('Données projet'!$B$17,Paramètres!$A$1:$I$89,3,0)*VLOOKUP('Données projet'!$B$17,Paramètres!$A$1:$I$89,5,0)</f>
        <v>-2.7193891583010558E-13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216.94426559495264</v>
      </c>
      <c r="GF84" s="59">
        <f t="shared" si="104"/>
        <v>225.33715877618704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3.1244749410778754</v>
      </c>
      <c r="GN84" s="21">
        <f>EXP(-LN(2)/2)*GN83+(1-EXP(-LN(2)/2))/(LN(2)/2)*GH84*GK84*VLOOKUP('Données projet'!$B$17,Paramètres!$A$1:$I$89,3,0)*0.475*44/12</f>
        <v>5.0005886793116784E-7</v>
      </c>
      <c r="GO84" s="21">
        <f t="shared" si="81"/>
        <v>3.1244754411367435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5.6</v>
      </c>
      <c r="GU84" s="12">
        <f>IF('Données projet'!$A$270&gt;35,GU83+GT84-HC83,IF(A84&lt;'Données projet'!$A$270,$GR$205^A84,IF(A84='Données projet'!$A$270,'Données projet'!$B$270,GU83+GT84-HC83)))</f>
        <v>245.60000000000031</v>
      </c>
      <c r="GV84" s="17">
        <f>GU84*VLOOKUP('Données projet'!$B$18,Paramètres!$A$1:$I$89,3,0)*VLOOKUP('Données projet'!$B$18,Paramètres!$A$1:$I$89,5,0)</f>
        <v>237.54432000000031</v>
      </c>
      <c r="GW84" s="13">
        <f t="shared" si="105"/>
        <v>57.910863128488039</v>
      </c>
      <c r="GX84" s="20">
        <f t="shared" si="82"/>
        <v>514.58444394878381</v>
      </c>
      <c r="GY84" s="59">
        <f t="shared" si="83"/>
        <v>807.91777728211719</v>
      </c>
      <c r="GZ84" s="59">
        <f ca="1">AVERAGE(OFFSET($GY$3,0,0,'Données projet'!$E$18+1,1))-AVERAGE(OFFSET($H$3,0,0,'Données projet'!$E$18+1,1))</f>
        <v>261.22357949323879</v>
      </c>
      <c r="HA84" s="59">
        <f t="shared" si="106"/>
        <v>163.41029152029387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0.80733784504050454</v>
      </c>
      <c r="HI84" s="21">
        <f>EXP(-LN(2)/2)*HI83+(1-EXP(-LN(2)/2))/(LN(2)/2)*HC84*HF84*VLOOKUP('Données projet'!$B$18,Paramètres!$A$1:$I$89,3,0)*0.475*44/12</f>
        <v>1.3942597755959445E-7</v>
      </c>
      <c r="HJ84" s="22">
        <f t="shared" si="84"/>
        <v>0.80733798446648208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237.22177246688199</v>
      </c>
      <c r="T85" s="59">
        <f t="shared" si="88"/>
        <v>149.27472147904302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3.1</v>
      </c>
      <c r="AI85" s="13">
        <f>IF('Données projet'!$A$62&gt;35,AI84+AH85-AQ84,IF(A85&lt;'Données projet'!$A$62,$AF$205^A85,IF(A85='Données projet'!$A$62,'Données projet'!$B$62,AI84+AH85-AQ84)))</f>
        <v>220.19999999999985</v>
      </c>
      <c r="AJ85" s="13">
        <f>AI85*VLOOKUP('Données projet'!$B$10,Paramètres!$A$1:$I$89,3,0)*VLOOKUP('Données projet'!$B$10,Paramètres!$A$1:$I$89,5,0)</f>
        <v>192.3667199999999</v>
      </c>
      <c r="AK85" s="13">
        <f t="shared" si="89"/>
        <v>48.062823450978094</v>
      </c>
      <c r="AL85" s="20">
        <f t="shared" si="58"/>
        <v>418.7481215104533</v>
      </c>
      <c r="AM85" s="59">
        <f t="shared" si="59"/>
        <v>712.08145484378656</v>
      </c>
      <c r="AN85" s="59">
        <f ca="1">AVERAGE(OFFSET($AM$3,0,0,'Données projet'!$E$10+1,1))-AVERAGE(OFFSET($H$3,0,0,'Données projet'!$E$10+1,1))</f>
        <v>210.07838338464626</v>
      </c>
      <c r="AO85" s="59">
        <f t="shared" si="90"/>
        <v>241.76003724236273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1.8925578102564444</v>
      </c>
      <c r="AV85" s="21">
        <f>EXP(-LN(2)/25)*AV84+(1-EXP(-LN(2)/25))/(LN(2)/25)*Calculateur!AQ85*Calculateur!AS85*VLOOKUP('Données projet'!$B$10,Paramètres!$A$1:$I$89,3,0)*0.475*44/12</f>
        <v>3.2071134097107303</v>
      </c>
      <c r="AW85" s="21">
        <f>EXP(-LN(2)/2)*AW84+(1-EXP(-LN(2)/2))/(LN(2)/2)*AQ85*AT85*VLOOKUP('Données projet'!$B$10,Paramètres!$A$1:$I$89,3,0)*0.475*44/12</f>
        <v>2.3799277053548845E-7</v>
      </c>
      <c r="AX85" s="21">
        <f t="shared" si="60"/>
        <v>5.0996714579599454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6.2527760746888816E-13</v>
      </c>
      <c r="BE85" s="13">
        <f>BD85*VLOOKUP('Données projet'!$B$11,Paramètres!$A$1:$I$89,3,0)*VLOOKUP('Données projet'!$B$11,Paramètres!$A$1:$I$89,5,0)</f>
        <v>3.9017322706058616E-13</v>
      </c>
      <c r="BF85" s="13">
        <f t="shared" si="91"/>
        <v>5.0025007393608908E-12</v>
      </c>
      <c r="BG85" s="20">
        <f t="shared" si="61"/>
        <v>9.3922404915174053E-12</v>
      </c>
      <c r="BH85" s="59">
        <f t="shared" si="62"/>
        <v>293.33333333334269</v>
      </c>
      <c r="BI85" s="59">
        <f ca="1">AVERAGE(OFFSET($BH$3,0,0,'Données projet'!$E$11+1,1))-AVERAGE(OFFSET($H$3,0,0,'Données projet'!$E$11+1,1))</f>
        <v>209.93608079129638</v>
      </c>
      <c r="BJ85" s="59">
        <f t="shared" si="92"/>
        <v>240.15652428700969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2.4828339039588885</v>
      </c>
      <c r="BQ85" s="21">
        <f>EXP(-LN(2)/25)*BQ84+(1-EXP(-LN(2)/25))/(LN(2)/25)*Calculateur!BL85*Calculateur!BN85*VLOOKUP('Données projet'!$B$11,Paramètres!$A$1:$I$89,3,0)*0.475*44/12</f>
        <v>4.9166399389930167</v>
      </c>
      <c r="BR85" s="21">
        <f>EXP(-LN(2)/2)*BR84+(1-EXP(-LN(2)/2))/(LN(2)/2)*BL85*BO85*VLOOKUP('Données projet'!$B$11,Paramètres!$A$1:$I$89,3,0)*0.475*44/12</f>
        <v>3.0086659645609713E-7</v>
      </c>
      <c r="BS85" s="22">
        <f t="shared" si="63"/>
        <v>7.3994741438185017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17.5</v>
      </c>
      <c r="BY85" s="12">
        <f>IF('Données projet'!$A$114&gt;35,BY84+BX85-CG84,IF(A85&lt;'Données projet'!$A$114,$BV$205^A85,IF(A85='Données projet'!$A$114,'Données projet'!$B$114,BY84+BX85-CG84)))</f>
        <v>484.59999999999991</v>
      </c>
      <c r="BZ85" s="13">
        <f>BY85*VLOOKUP('Données projet'!$B$12,Paramètres!$A$1:$I$89,3,0)*VLOOKUP('Données projet'!$B$12,Paramètres!$A$1:$I$89,5,0)</f>
        <v>226.79279999999994</v>
      </c>
      <c r="CA85" s="13">
        <f t="shared" si="93"/>
        <v>55.588644170072158</v>
      </c>
      <c r="CB85" s="20">
        <f t="shared" si="64"/>
        <v>491.8143485962089</v>
      </c>
      <c r="CC85" s="59">
        <f t="shared" si="65"/>
        <v>785.14768192954216</v>
      </c>
      <c r="CD85" s="59">
        <f ca="1">AVERAGE(OFFSET($CC$3,0,0,'Données projet'!$E$12+1,1))-AVERAGE(OFFSET($H$3,0,0,'Données projet'!$E$12+1,1))</f>
        <v>215.23235148064941</v>
      </c>
      <c r="CE85" s="59">
        <f t="shared" si="94"/>
        <v>184.07239726900434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1.1192703911686102</v>
      </c>
      <c r="CL85" s="21">
        <f>EXP(-LN(2)/25)*CL84+(1-EXP(-LN(2)/25))/(LN(2)/25)*Calculateur!CG85*Calculateur!CI85*VLOOKUP('Données projet'!$B$12,Paramètres!$A$1:$I$89,3,0)*0.475*44/12</f>
        <v>1.8579305301689093</v>
      </c>
      <c r="CM85" s="21">
        <f>EXP(-LN(2)/2)*CM84+(1-EXP(-LN(2)/2))/(LN(2)/2)*CG85*CJ85*VLOOKUP('Données projet'!$B$12,Paramètres!$A$1:$I$89,3,0)*0.475*44/12</f>
        <v>1.4651084661924827E-7</v>
      </c>
      <c r="CN85" s="22">
        <f t="shared" si="66"/>
        <v>2.977201067848366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5.6</v>
      </c>
      <c r="CT85" s="12">
        <f>IF('Données projet'!$A$140&gt;35,CT84+CS85-DB84,IF(A85&lt;'Données projet'!$A$140,$CQ$205^A85,IF(A85='Données projet'!$A$140,'Données projet'!$B$140,CT84+CS85-DB84)))</f>
        <v>251.2000000000003</v>
      </c>
      <c r="CU85" s="17">
        <f>CT85*VLOOKUP('Données projet'!$B$13,Paramètres!$A$1:$I$89,3,0)*VLOOKUP('Données projet'!$B$13,Paramètres!$A$1:$I$89,5,0)</f>
        <v>254.71680000000032</v>
      </c>
      <c r="CV85" s="13">
        <f t="shared" si="95"/>
        <v>61.594871205031644</v>
      </c>
      <c r="CW85" s="20">
        <f t="shared" si="67"/>
        <v>550.9094940154306</v>
      </c>
      <c r="CX85" s="59">
        <f t="shared" si="68"/>
        <v>844.24282734876397</v>
      </c>
      <c r="CY85" s="59">
        <f ca="1">AVERAGE(OFFSET($CX$3,0,0,'Données projet'!$E$13+1,1))-AVERAGE(OFFSET($H$3,0,0,'Données projet'!$E$13+1,1))</f>
        <v>279.20364724206644</v>
      </c>
      <c r="CZ85" s="59">
        <f t="shared" si="96"/>
        <v>173.99850582760712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0.82325765643174664</v>
      </c>
      <c r="DH85" s="21">
        <f>EXP(-LN(2)/2)*DH84+(1-EXP(-LN(2)/2))/(LN(2)/2)*DB85*DE85*VLOOKUP('Données projet'!$B$13,Paramètres!$A$1:$I$89,3,0)*0.475*44/12</f>
        <v>1.0335949231269229E-7</v>
      </c>
      <c r="DI85" s="22">
        <f t="shared" si="69"/>
        <v>0.82325775979123894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5.6</v>
      </c>
      <c r="DO85" s="12">
        <f>IF('Données projet'!$A$166&gt;35,DO84+DN85-DW84,IF(A85&lt;'Données projet'!$A$166,$DL$205^A85,IF(A85='Données projet'!$A$166,'Données projet'!$B$166,DO84+DN85-DW84)))</f>
        <v>251.2000000000003</v>
      </c>
      <c r="DP85" s="17">
        <f>DO85*VLOOKUP('Données projet'!$B$14,Paramètres!$A$1:$I$89,3,0)*VLOOKUP('Données projet'!$B$14,Paramètres!$A$1:$I$89,5,0)</f>
        <v>262.55424000000033</v>
      </c>
      <c r="DQ85" s="13">
        <f t="shared" si="97"/>
        <v>63.266528538031061</v>
      </c>
      <c r="DR85" s="20">
        <f t="shared" si="70"/>
        <v>567.47117187040465</v>
      </c>
      <c r="DS85" s="59">
        <f t="shared" si="71"/>
        <v>860.80450520373802</v>
      </c>
      <c r="DT85" s="59">
        <f ca="1">AVERAGE(OFFSET($DS$3,0,0,'Données projet'!$E$14+1,1))-AVERAGE(OFFSET($H$3,0,0,'Données projet'!$E$14+1,1))</f>
        <v>291.18074901939718</v>
      </c>
      <c r="DU85" s="59">
        <f t="shared" si="98"/>
        <v>181.05123751753774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0.84858866124503118</v>
      </c>
      <c r="EC85" s="21">
        <f>EXP(-LN(2)/2)*EC84+(1-EXP(-LN(2)/2))/(LN(2)/2)*DW85*DZ85*VLOOKUP('Données projet'!$B$14,Paramètres!$A$1:$I$89,3,0)*0.475*44/12</f>
        <v>1.0653978438385215E-7</v>
      </c>
      <c r="ED85" s="22">
        <f t="shared" si="72"/>
        <v>0.84858876778481562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168.08890945052406</v>
      </c>
      <c r="EP85" s="59">
        <f t="shared" si="100"/>
        <v>182.52462557642343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2.2182237607971702</v>
      </c>
      <c r="EW85" s="21">
        <f>EXP(-LN(2)/25)*EW84+(1-EXP(-LN(2)/25))/(LN(2)/25)*Calculateur!ER85*Calculateur!ET85*VLOOKUP('Données projet'!$B$15,Paramètres!$A$1:$I$89,3,0)*0.475*44/12</f>
        <v>2.9164313613339319</v>
      </c>
      <c r="EX85" s="21">
        <f>EXP(-LN(2)/2)*EX84+(1-EXP(-LN(2)/2))/(LN(2)/2)*ER85*EU85*VLOOKUP('Données projet'!$B$15,Paramètres!$A$1:$I$89,3,0)*0.475*44/12</f>
        <v>8.1147139878186151E-8</v>
      </c>
      <c r="EY85" s="22">
        <f t="shared" si="75"/>
        <v>5.1346552032782418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3.813056537183002E-14</v>
      </c>
      <c r="FG85" s="13">
        <f t="shared" si="101"/>
        <v>6.4086286045526829E-13</v>
      </c>
      <c r="FH85" s="20">
        <f t="shared" si="76"/>
        <v>1.1825802166488628E-12</v>
      </c>
      <c r="FI85" s="59">
        <f t="shared" si="77"/>
        <v>293.33333333333451</v>
      </c>
      <c r="FJ85" s="59">
        <f ca="1">AVERAGE(OFFSET($FI$3,0,0,'Données projet'!$E$16+1,1))-AVERAGE(OFFSET($H$3,0,0,'Données projet'!$E$16+1,1))</f>
        <v>156.63226020379989</v>
      </c>
      <c r="FK85" s="59">
        <f t="shared" si="102"/>
        <v>196.0481096619543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2.0505706194089046</v>
      </c>
      <c r="FS85" s="21">
        <f>EXP(-LN(2)/2)*FS84+(1-EXP(-LN(2)/2))/(LN(2)/2)*FM85*FP85*VLOOKUP('Données projet'!$B$16,Paramètres!$A$1:$I$89,3,0)*0.475*44/12</f>
        <v>1.3520525101016229E-7</v>
      </c>
      <c r="FT85" s="22">
        <f t="shared" si="78"/>
        <v>2.0505707546141556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-4.5474735088646412E-13</v>
      </c>
      <c r="GA85" s="17">
        <f>FZ85*VLOOKUP('Données projet'!$B$17,Paramètres!$A$1:$I$89,3,0)*VLOOKUP('Données projet'!$B$17,Paramètres!$A$1:$I$89,5,0)</f>
        <v>-2.7193891583010558E-13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216.94426559495264</v>
      </c>
      <c r="GF85" s="59">
        <f t="shared" si="104"/>
        <v>225.33715877618704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3.039036009505105</v>
      </c>
      <c r="GN85" s="21">
        <f>EXP(-LN(2)/2)*GN84+(1-EXP(-LN(2)/2))/(LN(2)/2)*GH85*GK85*VLOOKUP('Données projet'!$B$17,Paramètres!$A$1:$I$89,3,0)*0.475*44/12</f>
        <v>3.5359501650659697E-7</v>
      </c>
      <c r="GO85" s="21">
        <f t="shared" si="81"/>
        <v>3.0390363631001214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5.6</v>
      </c>
      <c r="GU85" s="12">
        <f>IF('Données projet'!$A$270&gt;35,GU84+GT85-HC84,IF(A85&lt;'Données projet'!$A$270,$GR$205^A85,IF(A85='Données projet'!$A$270,'Données projet'!$B$270,GU84+GT85-HC84)))</f>
        <v>251.2000000000003</v>
      </c>
      <c r="GV85" s="17">
        <f>GU85*VLOOKUP('Données projet'!$B$18,Paramètres!$A$1:$I$89,3,0)*VLOOKUP('Données projet'!$B$18,Paramètres!$A$1:$I$89,5,0)</f>
        <v>242.96064000000032</v>
      </c>
      <c r="GW85" s="13">
        <f t="shared" si="105"/>
        <v>59.076071351835822</v>
      </c>
      <c r="GX85" s="20">
        <f t="shared" si="82"/>
        <v>526.04727227111459</v>
      </c>
      <c r="GY85" s="59">
        <f t="shared" si="83"/>
        <v>819.38060560444796</v>
      </c>
      <c r="GZ85" s="59">
        <f ca="1">AVERAGE(OFFSET($GY$3,0,0,'Données projet'!$E$18+1,1))-AVERAGE(OFFSET($H$3,0,0,'Données projet'!$E$18+1,1))</f>
        <v>261.22357949323879</v>
      </c>
      <c r="HA85" s="59">
        <f t="shared" si="106"/>
        <v>163.41029152029387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0.78526114921181989</v>
      </c>
      <c r="HI85" s="21">
        <f>EXP(-LN(2)/2)*HI84+(1-EXP(-LN(2)/2))/(LN(2)/2)*HC85*HF85*VLOOKUP('Données projet'!$B$18,Paramètres!$A$1:$I$89,3,0)*0.475*44/12</f>
        <v>9.8589054205952641E-8</v>
      </c>
      <c r="HJ85" s="22">
        <f t="shared" si="84"/>
        <v>0.78526124780087414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237.22177246688199</v>
      </c>
      <c r="T86" s="59">
        <f t="shared" si="88"/>
        <v>149.27472147904302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3.1</v>
      </c>
      <c r="AI86" s="13">
        <f>IF('Données projet'!$A$62&gt;35,AI85+AH86-AQ85,IF(A86&lt;'Données projet'!$A$62,$AF$205^A86,IF(A86='Données projet'!$A$62,'Données projet'!$B$62,AI85+AH86-AQ85)))</f>
        <v>223.29999999999984</v>
      </c>
      <c r="AJ86" s="13">
        <f>AI86*VLOOKUP('Données projet'!$B$10,Paramètres!$A$1:$I$89,3,0)*VLOOKUP('Données projet'!$B$10,Paramètres!$A$1:$I$89,5,0)</f>
        <v>195.07487999999987</v>
      </c>
      <c r="AK86" s="13">
        <f t="shared" si="89"/>
        <v>48.66020971834471</v>
      </c>
      <c r="AL86" s="20">
        <f t="shared" si="58"/>
        <v>424.5052812594501</v>
      </c>
      <c r="AM86" s="59">
        <f t="shared" si="59"/>
        <v>717.83861459278341</v>
      </c>
      <c r="AN86" s="59">
        <f ca="1">AVERAGE(OFFSET($AM$3,0,0,'Données projet'!$E$10+1,1))-AVERAGE(OFFSET($H$3,0,0,'Données projet'!$E$10+1,1))</f>
        <v>210.07838338464626</v>
      </c>
      <c r="AO86" s="59">
        <f t="shared" si="90"/>
        <v>241.76003724236273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1.8554459059435975</v>
      </c>
      <c r="AV86" s="21">
        <f>EXP(-LN(2)/25)*AV85+(1-EXP(-LN(2)/25))/(LN(2)/25)*Calculateur!AQ86*Calculateur!AS86*VLOOKUP('Données projet'!$B$10,Paramètres!$A$1:$I$89,3,0)*0.475*44/12</f>
        <v>3.119414724867426</v>
      </c>
      <c r="AW86" s="21">
        <f>EXP(-LN(2)/2)*AW85+(1-EXP(-LN(2)/2))/(LN(2)/2)*AQ86*AT86*VLOOKUP('Données projet'!$B$10,Paramètres!$A$1:$I$89,3,0)*0.475*44/12</f>
        <v>1.6828630191901787E-7</v>
      </c>
      <c r="AX86" s="21">
        <f t="shared" si="60"/>
        <v>4.9748607990973257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6.2527760746888816E-13</v>
      </c>
      <c r="BE86" s="13">
        <f>BD86*VLOOKUP('Données projet'!$B$11,Paramètres!$A$1:$I$89,3,0)*VLOOKUP('Données projet'!$B$11,Paramètres!$A$1:$I$89,5,0)</f>
        <v>3.9017322706058616E-13</v>
      </c>
      <c r="BF86" s="13">
        <f t="shared" si="91"/>
        <v>5.0025007393608908E-12</v>
      </c>
      <c r="BG86" s="20">
        <f t="shared" si="61"/>
        <v>9.3922404915174053E-12</v>
      </c>
      <c r="BH86" s="59">
        <f t="shared" si="62"/>
        <v>293.33333333334269</v>
      </c>
      <c r="BI86" s="59">
        <f ca="1">AVERAGE(OFFSET($BH$3,0,0,'Données projet'!$E$11+1,1))-AVERAGE(OFFSET($H$3,0,0,'Données projet'!$E$11+1,1))</f>
        <v>209.93608079129638</v>
      </c>
      <c r="BJ86" s="59">
        <f t="shared" si="92"/>
        <v>240.15652428700969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2.4341470454814034</v>
      </c>
      <c r="BQ86" s="21">
        <f>EXP(-LN(2)/25)*BQ85+(1-EXP(-LN(2)/25))/(LN(2)/25)*Calculateur!BL86*Calculateur!BN86*VLOOKUP('Données projet'!$B$11,Paramètres!$A$1:$I$89,3,0)*0.475*44/12</f>
        <v>4.7821941613063954</v>
      </c>
      <c r="BR86" s="21">
        <f>EXP(-LN(2)/2)*BR85+(1-EXP(-LN(2)/2))/(LN(2)/2)*BL86*BO86*VLOOKUP('Données projet'!$B$11,Paramètres!$A$1:$I$89,3,0)*0.475*44/12</f>
        <v>2.1274481058662277E-7</v>
      </c>
      <c r="BS86" s="22">
        <f t="shared" si="63"/>
        <v>7.2163414195326094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17.5</v>
      </c>
      <c r="BY86" s="12">
        <f>IF('Données projet'!$A$114&gt;35,BY85+BX86-CG85,IF(A86&lt;'Données projet'!$A$114,$BV$205^A86,IF(A86='Données projet'!$A$114,'Données projet'!$B$114,BY85+BX86-CG85)))</f>
        <v>502.09999999999991</v>
      </c>
      <c r="BZ86" s="13">
        <f>BY86*VLOOKUP('Données projet'!$B$12,Paramètres!$A$1:$I$89,3,0)*VLOOKUP('Données projet'!$B$12,Paramètres!$A$1:$I$89,5,0)</f>
        <v>234.98279999999997</v>
      </c>
      <c r="CA86" s="13">
        <f t="shared" si="93"/>
        <v>57.358731763746825</v>
      </c>
      <c r="CB86" s="20">
        <f t="shared" si="64"/>
        <v>509.16150115519235</v>
      </c>
      <c r="CC86" s="59">
        <f t="shared" si="65"/>
        <v>802.49483448852561</v>
      </c>
      <c r="CD86" s="59">
        <f ca="1">AVERAGE(OFFSET($CC$3,0,0,'Données projet'!$E$12+1,1))-AVERAGE(OFFSET($H$3,0,0,'Données projet'!$E$12+1,1))</f>
        <v>215.23235148064941</v>
      </c>
      <c r="CE86" s="59">
        <f t="shared" si="94"/>
        <v>184.07239726900434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1.0973221814853225</v>
      </c>
      <c r="CL86" s="21">
        <f>EXP(-LN(2)/25)*CL85+(1-EXP(-LN(2)/25))/(LN(2)/25)*Calculateur!CG86*Calculateur!CI86*VLOOKUP('Données projet'!$B$12,Paramètres!$A$1:$I$89,3,0)*0.475*44/12</f>
        <v>1.8071253221171202</v>
      </c>
      <c r="CM86" s="21">
        <f>EXP(-LN(2)/2)*CM85+(1-EXP(-LN(2)/2))/(LN(2)/2)*CG86*CJ86*VLOOKUP('Données projet'!$B$12,Paramètres!$A$1:$I$89,3,0)*0.475*44/12</f>
        <v>1.0359881316185261E-7</v>
      </c>
      <c r="CN86" s="22">
        <f t="shared" si="66"/>
        <v>2.9044476072012557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5.6</v>
      </c>
      <c r="CT86" s="12">
        <f>IF('Données projet'!$A$140&gt;35,CT85+CS86-DB85,IF(A86&lt;'Données projet'!$A$140,$CQ$205^A86,IF(A86='Données projet'!$A$140,'Données projet'!$B$140,CT85+CS86-DB85)))</f>
        <v>256.8000000000003</v>
      </c>
      <c r="CU86" s="17">
        <f>CT86*VLOOKUP('Données projet'!$B$13,Paramètres!$A$1:$I$89,3,0)*VLOOKUP('Données projet'!$B$13,Paramètres!$A$1:$I$89,5,0)</f>
        <v>260.39520000000027</v>
      </c>
      <c r="CV86" s="13">
        <f t="shared" si="95"/>
        <v>62.80661117771438</v>
      </c>
      <c r="CW86" s="20">
        <f t="shared" si="67"/>
        <v>562.90982113451958</v>
      </c>
      <c r="CX86" s="59">
        <f t="shared" si="68"/>
        <v>856.24315446785295</v>
      </c>
      <c r="CY86" s="59">
        <f ca="1">AVERAGE(OFFSET($CX$3,0,0,'Données projet'!$E$13+1,1))-AVERAGE(OFFSET($H$3,0,0,'Données projet'!$E$13+1,1))</f>
        <v>279.20364724206644</v>
      </c>
      <c r="CZ86" s="59">
        <f t="shared" si="96"/>
        <v>173.99850582760712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0.80074563252338193</v>
      </c>
      <c r="DH86" s="21">
        <f>EXP(-LN(2)/2)*DH85+(1-EXP(-LN(2)/2))/(LN(2)/2)*DB86*DE86*VLOOKUP('Données projet'!$B$13,Paramètres!$A$1:$I$89,3,0)*0.475*44/12</f>
        <v>7.3086197914303546E-8</v>
      </c>
      <c r="DI86" s="22">
        <f t="shared" si="69"/>
        <v>0.80074570560957981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5.6</v>
      </c>
      <c r="DO86" s="12">
        <f>IF('Données projet'!$A$166&gt;35,DO85+DN86-DW85,IF(A86&lt;'Données projet'!$A$166,$DL$205^A86,IF(A86='Données projet'!$A$166,'Données projet'!$B$166,DO85+DN86-DW85)))</f>
        <v>256.8000000000003</v>
      </c>
      <c r="DP86" s="17">
        <f>DO86*VLOOKUP('Données projet'!$B$14,Paramètres!$A$1:$I$89,3,0)*VLOOKUP('Données projet'!$B$14,Paramètres!$A$1:$I$89,5,0)</f>
        <v>268.40736000000032</v>
      </c>
      <c r="DQ86" s="13">
        <f t="shared" si="97"/>
        <v>64.511154593132659</v>
      </c>
      <c r="DR86" s="20">
        <f t="shared" si="70"/>
        <v>579.83307958303988</v>
      </c>
      <c r="DS86" s="59">
        <f t="shared" si="71"/>
        <v>873.16641291637325</v>
      </c>
      <c r="DT86" s="59">
        <f ca="1">AVERAGE(OFFSET($DS$3,0,0,'Données projet'!$E$14+1,1))-AVERAGE(OFFSET($H$3,0,0,'Données projet'!$E$14+1,1))</f>
        <v>291.18074901939718</v>
      </c>
      <c r="DU86" s="59">
        <f t="shared" si="98"/>
        <v>181.05123751753774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0.82538395967794753</v>
      </c>
      <c r="EC86" s="21">
        <f>EXP(-LN(2)/2)*EC85+(1-EXP(-LN(2)/2))/(LN(2)/2)*DW86*DZ86*VLOOKUP('Données projet'!$B$14,Paramètres!$A$1:$I$89,3,0)*0.475*44/12</f>
        <v>7.5335004003974498E-8</v>
      </c>
      <c r="ED86" s="22">
        <f t="shared" si="72"/>
        <v>0.82538403501295154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168.08890945052406</v>
      </c>
      <c r="EP86" s="59">
        <f t="shared" si="100"/>
        <v>182.52462557642343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2.1747257458308358</v>
      </c>
      <c r="EW86" s="21">
        <f>EXP(-LN(2)/25)*EW85+(1-EXP(-LN(2)/25))/(LN(2)/25)*Calculateur!ER86*Calculateur!ET86*VLOOKUP('Données projet'!$B$15,Paramètres!$A$1:$I$89,3,0)*0.475*44/12</f>
        <v>2.8366813923897958</v>
      </c>
      <c r="EX86" s="21">
        <f>EXP(-LN(2)/2)*EX85+(1-EXP(-LN(2)/2))/(LN(2)/2)*ER86*EU86*VLOOKUP('Données projet'!$B$15,Paramètres!$A$1:$I$89,3,0)*0.475*44/12</f>
        <v>5.737969288175874E-8</v>
      </c>
      <c r="EY86" s="22">
        <f t="shared" si="75"/>
        <v>5.0114071956003245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3.813056537183002E-14</v>
      </c>
      <c r="FG86" s="13">
        <f t="shared" si="101"/>
        <v>6.4086286045526829E-13</v>
      </c>
      <c r="FH86" s="20">
        <f t="shared" si="76"/>
        <v>1.1825802166488628E-12</v>
      </c>
      <c r="FI86" s="59">
        <f t="shared" si="77"/>
        <v>293.33333333333451</v>
      </c>
      <c r="FJ86" s="59">
        <f ca="1">AVERAGE(OFFSET($FI$3,0,0,'Données projet'!$E$16+1,1))-AVERAGE(OFFSET($H$3,0,0,'Données projet'!$E$16+1,1))</f>
        <v>156.63226020379989</v>
      </c>
      <c r="FK86" s="59">
        <f t="shared" si="102"/>
        <v>196.0481096619543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1.9944976579863458</v>
      </c>
      <c r="FS86" s="21">
        <f>EXP(-LN(2)/2)*FS85+(1-EXP(-LN(2)/2))/(LN(2)/2)*FM86*FP86*VLOOKUP('Données projet'!$B$16,Paramètres!$A$1:$I$89,3,0)*0.475*44/12</f>
        <v>9.5604549841315058E-8</v>
      </c>
      <c r="FT86" s="22">
        <f t="shared" si="78"/>
        <v>1.9944977535908957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-4.5474735088646412E-13</v>
      </c>
      <c r="GA86" s="17">
        <f>FZ86*VLOOKUP('Données projet'!$B$17,Paramètres!$A$1:$I$89,3,0)*VLOOKUP('Données projet'!$B$17,Paramètres!$A$1:$I$89,5,0)</f>
        <v>-2.7193891583010558E-13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216.94426559495264</v>
      </c>
      <c r="GF86" s="59">
        <f t="shared" si="104"/>
        <v>225.33715877618704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2.95593341000923</v>
      </c>
      <c r="GN86" s="21">
        <f>EXP(-LN(2)/2)*GN85+(1-EXP(-LN(2)/2))/(LN(2)/2)*GH86*GK86*VLOOKUP('Données projet'!$B$17,Paramètres!$A$1:$I$89,3,0)*0.475*44/12</f>
        <v>2.5002943396558392E-7</v>
      </c>
      <c r="GO86" s="21">
        <f t="shared" si="81"/>
        <v>2.9559336600386641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5.6</v>
      </c>
      <c r="GU86" s="12">
        <f>IF('Données projet'!$A$270&gt;35,GU85+GT86-HC85,IF(A86&lt;'Données projet'!$A$270,$GR$205^A86,IF(A86='Données projet'!$A$270,'Données projet'!$B$270,GU85+GT86-HC85)))</f>
        <v>256.8000000000003</v>
      </c>
      <c r="GV86" s="17">
        <f>GU86*VLOOKUP('Données projet'!$B$18,Paramètres!$A$1:$I$89,3,0)*VLOOKUP('Données projet'!$B$18,Paramètres!$A$1:$I$89,5,0)</f>
        <v>248.37696000000028</v>
      </c>
      <c r="GW86" s="13">
        <f t="shared" si="105"/>
        <v>60.238259626372425</v>
      </c>
      <c r="GX86" s="20">
        <f t="shared" si="82"/>
        <v>537.50484084926575</v>
      </c>
      <c r="GY86" s="59">
        <f t="shared" si="83"/>
        <v>830.838174182599</v>
      </c>
      <c r="GZ86" s="59">
        <f ca="1">AVERAGE(OFFSET($GY$3,0,0,'Données projet'!$E$18+1,1))-AVERAGE(OFFSET($H$3,0,0,'Données projet'!$E$18+1,1))</f>
        <v>261.22357949323879</v>
      </c>
      <c r="HA86" s="59">
        <f t="shared" si="106"/>
        <v>163.41029152029387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0.76378814179153354</v>
      </c>
      <c r="HI86" s="21">
        <f>EXP(-LN(2)/2)*HI85+(1-EXP(-LN(2)/2))/(LN(2)/2)*HC86*HF86*VLOOKUP('Données projet'!$B$18,Paramètres!$A$1:$I$89,3,0)*0.475*44/12</f>
        <v>6.9712988779797225E-8</v>
      </c>
      <c r="HJ86" s="22">
        <f t="shared" si="84"/>
        <v>0.76378821150452236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237.22177246688199</v>
      </c>
      <c r="T87" s="59">
        <f t="shared" si="88"/>
        <v>149.27472147904302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3.1</v>
      </c>
      <c r="AI87" s="13">
        <f>IF('Données projet'!$A$62&gt;35,AI86+AH87-AQ86,IF(A87&lt;'Données projet'!$A$62,$AF$205^A87,IF(A87='Données projet'!$A$62,'Données projet'!$B$62,AI86+AH87-AQ86)))</f>
        <v>226.39999999999984</v>
      </c>
      <c r="AJ87" s="13">
        <f>AI87*VLOOKUP('Données projet'!$B$10,Paramètres!$A$1:$I$89,3,0)*VLOOKUP('Données projet'!$B$10,Paramètres!$A$1:$I$89,5,0)</f>
        <v>197.78303999999989</v>
      </c>
      <c r="AK87" s="13">
        <f t="shared" si="89"/>
        <v>49.256631390532817</v>
      </c>
      <c r="AL87" s="20">
        <f t="shared" si="58"/>
        <v>430.26076100517776</v>
      </c>
      <c r="AM87" s="59">
        <f t="shared" si="59"/>
        <v>723.59409433851101</v>
      </c>
      <c r="AN87" s="59">
        <f ca="1">AVERAGE(OFFSET($AM$3,0,0,'Données projet'!$E$10+1,1))-AVERAGE(OFFSET($H$3,0,0,'Données projet'!$E$10+1,1))</f>
        <v>210.07838338464626</v>
      </c>
      <c r="AO87" s="59">
        <f t="shared" si="90"/>
        <v>241.76003724236273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1.819061743438299</v>
      </c>
      <c r="AV87" s="21">
        <f>EXP(-LN(2)/25)*AV86+(1-EXP(-LN(2)/25))/(LN(2)/25)*Calculateur!AQ87*Calculateur!AS87*VLOOKUP('Données projet'!$B$10,Paramètres!$A$1:$I$89,3,0)*0.475*44/12</f>
        <v>3.0341141651730354</v>
      </c>
      <c r="AW87" s="21">
        <f>EXP(-LN(2)/2)*AW86+(1-EXP(-LN(2)/2))/(LN(2)/2)*AQ87*AT87*VLOOKUP('Données projet'!$B$10,Paramètres!$A$1:$I$89,3,0)*0.475*44/12</f>
        <v>1.1899638526774425E-7</v>
      </c>
      <c r="AX87" s="21">
        <f t="shared" si="60"/>
        <v>4.8531760276077192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6.2527760746888816E-13</v>
      </c>
      <c r="BE87" s="13">
        <f>BD87*VLOOKUP('Données projet'!$B$11,Paramètres!$A$1:$I$89,3,0)*VLOOKUP('Données projet'!$B$11,Paramètres!$A$1:$I$89,5,0)</f>
        <v>3.9017322706058616E-13</v>
      </c>
      <c r="BF87" s="13">
        <f t="shared" si="91"/>
        <v>5.0025007393608908E-12</v>
      </c>
      <c r="BG87" s="20">
        <f t="shared" si="61"/>
        <v>9.3922404915174053E-12</v>
      </c>
      <c r="BH87" s="59">
        <f t="shared" si="62"/>
        <v>293.33333333334269</v>
      </c>
      <c r="BI87" s="59">
        <f ca="1">AVERAGE(OFFSET($BH$3,0,0,'Données projet'!$E$11+1,1))-AVERAGE(OFFSET($H$3,0,0,'Données projet'!$E$11+1,1))</f>
        <v>209.93608079129638</v>
      </c>
      <c r="BJ87" s="59">
        <f t="shared" si="92"/>
        <v>240.15652428700969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2.3864149066026106</v>
      </c>
      <c r="BQ87" s="21">
        <f>EXP(-LN(2)/25)*BQ86+(1-EXP(-LN(2)/25))/(LN(2)/25)*Calculateur!BL87*Calculateur!BN87*VLOOKUP('Données projet'!$B$11,Paramètres!$A$1:$I$89,3,0)*0.475*44/12</f>
        <v>4.6514248104808109</v>
      </c>
      <c r="BR87" s="21">
        <f>EXP(-LN(2)/2)*BR86+(1-EXP(-LN(2)/2))/(LN(2)/2)*BL87*BO87*VLOOKUP('Données projet'!$B$11,Paramètres!$A$1:$I$89,3,0)*0.475*44/12</f>
        <v>1.5043329822804856E-7</v>
      </c>
      <c r="BS87" s="22">
        <f t="shared" si="63"/>
        <v>7.0378398675167197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17.5</v>
      </c>
      <c r="BY87" s="12">
        <f>IF('Données projet'!$A$114&gt;35,BY86+BX87-CG86,IF(A87&lt;'Données projet'!$A$114,$BV$205^A87,IF(A87='Données projet'!$A$114,'Données projet'!$B$114,BY86+BX87-CG86)))</f>
        <v>519.59999999999991</v>
      </c>
      <c r="BZ87" s="13">
        <f>BY87*VLOOKUP('Données projet'!$B$12,Paramètres!$A$1:$I$89,3,0)*VLOOKUP('Données projet'!$B$12,Paramètres!$A$1:$I$89,5,0)</f>
        <v>243.17279999999994</v>
      </c>
      <c r="CA87" s="13">
        <f t="shared" si="93"/>
        <v>59.121651195612671</v>
      </c>
      <c r="CB87" s="20">
        <f t="shared" si="64"/>
        <v>526.49616916569187</v>
      </c>
      <c r="CC87" s="59">
        <f t="shared" si="65"/>
        <v>819.82950249902524</v>
      </c>
      <c r="CD87" s="59">
        <f ca="1">AVERAGE(OFFSET($CC$3,0,0,'Données projet'!$E$12+1,1))-AVERAGE(OFFSET($H$3,0,0,'Données projet'!$E$12+1,1))</f>
        <v>215.23235148064941</v>
      </c>
      <c r="CE87" s="59">
        <f t="shared" si="94"/>
        <v>184.07239726900434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1.0758043628068381</v>
      </c>
      <c r="CL87" s="21">
        <f>EXP(-LN(2)/25)*CL86+(1-EXP(-LN(2)/25))/(LN(2)/25)*Calculateur!CG87*Calculateur!CI87*VLOOKUP('Données projet'!$B$12,Paramètres!$A$1:$I$89,3,0)*0.475*44/12</f>
        <v>1.7577093851512371</v>
      </c>
      <c r="CM87" s="21">
        <f>EXP(-LN(2)/2)*CM86+(1-EXP(-LN(2)/2))/(LN(2)/2)*CG87*CJ87*VLOOKUP('Données projet'!$B$12,Paramètres!$A$1:$I$89,3,0)*0.475*44/12</f>
        <v>7.3255423309624135E-8</v>
      </c>
      <c r="CN87" s="22">
        <f t="shared" si="66"/>
        <v>2.8335138212134985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5.6</v>
      </c>
      <c r="CT87" s="12">
        <f>IF('Données projet'!$A$140&gt;35,CT86+CS87-DB86,IF(A87&lt;'Données projet'!$A$140,$CQ$205^A87,IF(A87='Données projet'!$A$140,'Données projet'!$B$140,CT86+CS87-DB86)))</f>
        <v>262.40000000000032</v>
      </c>
      <c r="CU87" s="17">
        <f>CT87*VLOOKUP('Données projet'!$B$13,Paramètres!$A$1:$I$89,3,0)*VLOOKUP('Données projet'!$B$13,Paramètres!$A$1:$I$89,5,0)</f>
        <v>266.07360000000034</v>
      </c>
      <c r="CV87" s="13">
        <f t="shared" si="95"/>
        <v>64.015279012301193</v>
      </c>
      <c r="CW87" s="20">
        <f t="shared" si="67"/>
        <v>574.90479761309177</v>
      </c>
      <c r="CX87" s="59">
        <f t="shared" si="68"/>
        <v>868.23813094642514</v>
      </c>
      <c r="CY87" s="59">
        <f ca="1">AVERAGE(OFFSET($CX$3,0,0,'Données projet'!$E$13+1,1))-AVERAGE(OFFSET($H$3,0,0,'Données projet'!$E$13+1,1))</f>
        <v>279.20364724206644</v>
      </c>
      <c r="CZ87" s="59">
        <f t="shared" si="96"/>
        <v>173.99850582760712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0.77884920109264733</v>
      </c>
      <c r="DH87" s="21">
        <f>EXP(-LN(2)/2)*DH86+(1-EXP(-LN(2)/2))/(LN(2)/2)*DB87*DE87*VLOOKUP('Données projet'!$B$13,Paramètres!$A$1:$I$89,3,0)*0.475*44/12</f>
        <v>5.1679746156346144E-8</v>
      </c>
      <c r="DI87" s="22">
        <f t="shared" si="69"/>
        <v>0.77884925277239347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5.6</v>
      </c>
      <c r="DO87" s="12">
        <f>IF('Données projet'!$A$166&gt;35,DO86+DN87-DW86,IF(A87&lt;'Données projet'!$A$166,$DL$205^A87,IF(A87='Données projet'!$A$166,'Données projet'!$B$166,DO86+DN87-DW86)))</f>
        <v>262.40000000000032</v>
      </c>
      <c r="DP87" s="17">
        <f>DO87*VLOOKUP('Données projet'!$B$14,Paramètres!$A$1:$I$89,3,0)*VLOOKUP('Données projet'!$B$14,Paramètres!$A$1:$I$89,5,0)</f>
        <v>274.26048000000037</v>
      </c>
      <c r="DQ87" s="13">
        <f t="shared" si="97"/>
        <v>65.752625133680468</v>
      </c>
      <c r="DR87" s="20">
        <f t="shared" si="70"/>
        <v>592.18949144116073</v>
      </c>
      <c r="DS87" s="59">
        <f t="shared" si="71"/>
        <v>885.52282477449398</v>
      </c>
      <c r="DT87" s="59">
        <f ca="1">AVERAGE(OFFSET($DS$3,0,0,'Données projet'!$E$14+1,1))-AVERAGE(OFFSET($H$3,0,0,'Données projet'!$E$14+1,1))</f>
        <v>291.18074901939718</v>
      </c>
      <c r="DU87" s="59">
        <f t="shared" si="98"/>
        <v>181.05123751753774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0.80281379189549806</v>
      </c>
      <c r="EC87" s="21">
        <f>EXP(-LN(2)/2)*EC86+(1-EXP(-LN(2)/2))/(LN(2)/2)*DW87*DZ87*VLOOKUP('Données projet'!$B$14,Paramètres!$A$1:$I$89,3,0)*0.475*44/12</f>
        <v>5.3269892191926077E-8</v>
      </c>
      <c r="ED87" s="22">
        <f t="shared" si="72"/>
        <v>0.80281384516539023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168.08890945052406</v>
      </c>
      <c r="EP87" s="59">
        <f t="shared" si="100"/>
        <v>182.52462557642343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2.1320807004068216</v>
      </c>
      <c r="EW87" s="21">
        <f>EXP(-LN(2)/25)*EW86+(1-EXP(-LN(2)/25))/(LN(2)/25)*Calculateur!ER87*Calculateur!ET87*VLOOKUP('Données projet'!$B$15,Paramètres!$A$1:$I$89,3,0)*0.475*44/12</f>
        <v>2.7591121905403058</v>
      </c>
      <c r="EX87" s="21">
        <f>EXP(-LN(2)/2)*EX86+(1-EXP(-LN(2)/2))/(LN(2)/2)*ER87*EU87*VLOOKUP('Données projet'!$B$15,Paramètres!$A$1:$I$89,3,0)*0.475*44/12</f>
        <v>4.0573569939093075E-8</v>
      </c>
      <c r="EY87" s="22">
        <f t="shared" si="75"/>
        <v>4.8911929315206981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3.813056537183002E-14</v>
      </c>
      <c r="FG87" s="13">
        <f t="shared" si="101"/>
        <v>6.4086286045526829E-13</v>
      </c>
      <c r="FH87" s="20">
        <f t="shared" si="76"/>
        <v>1.1825802166488628E-12</v>
      </c>
      <c r="FI87" s="59">
        <f t="shared" si="77"/>
        <v>293.33333333333451</v>
      </c>
      <c r="FJ87" s="59">
        <f ca="1">AVERAGE(OFFSET($FI$3,0,0,'Données projet'!$E$16+1,1))-AVERAGE(OFFSET($H$3,0,0,'Données projet'!$E$16+1,1))</f>
        <v>156.63226020379989</v>
      </c>
      <c r="FK87" s="59">
        <f t="shared" si="102"/>
        <v>196.0481096619543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1.9399580146426358</v>
      </c>
      <c r="FS87" s="21">
        <f>EXP(-LN(2)/2)*FS86+(1-EXP(-LN(2)/2))/(LN(2)/2)*FM87*FP87*VLOOKUP('Données projet'!$B$16,Paramètres!$A$1:$I$89,3,0)*0.475*44/12</f>
        <v>6.7602625505081144E-8</v>
      </c>
      <c r="FT87" s="22">
        <f t="shared" si="78"/>
        <v>1.9399580822452613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-4.5474735088646412E-13</v>
      </c>
      <c r="GA87" s="17">
        <f>FZ87*VLOOKUP('Données projet'!$B$17,Paramètres!$A$1:$I$89,3,0)*VLOOKUP('Données projet'!$B$17,Paramètres!$A$1:$I$89,5,0)</f>
        <v>-2.7193891583010558E-13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216.94426559495264</v>
      </c>
      <c r="GF87" s="59">
        <f t="shared" si="104"/>
        <v>225.33715877618704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2.8751032554667453</v>
      </c>
      <c r="GN87" s="21">
        <f>EXP(-LN(2)/2)*GN86+(1-EXP(-LN(2)/2))/(LN(2)/2)*GH87*GK87*VLOOKUP('Données projet'!$B$17,Paramètres!$A$1:$I$89,3,0)*0.475*44/12</f>
        <v>1.7679750825329849E-7</v>
      </c>
      <c r="GO87" s="21">
        <f t="shared" si="81"/>
        <v>2.8751034322642535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5.6</v>
      </c>
      <c r="GU87" s="12">
        <f>IF('Données projet'!$A$270&gt;35,GU86+GT87-HC86,IF(A87&lt;'Données projet'!$A$270,$GR$205^A87,IF(A87='Données projet'!$A$270,'Données projet'!$B$270,GU86+GT87-HC86)))</f>
        <v>262.40000000000032</v>
      </c>
      <c r="GV87" s="17">
        <f>GU87*VLOOKUP('Données projet'!$B$18,Paramètres!$A$1:$I$89,3,0)*VLOOKUP('Données projet'!$B$18,Paramètres!$A$1:$I$89,5,0)</f>
        <v>253.79328000000029</v>
      </c>
      <c r="GW87" s="13">
        <f t="shared" si="105"/>
        <v>61.397501391795316</v>
      </c>
      <c r="GX87" s="20">
        <f t="shared" si="82"/>
        <v>548.95727759071076</v>
      </c>
      <c r="GY87" s="59">
        <f t="shared" si="83"/>
        <v>842.29061092404413</v>
      </c>
      <c r="GZ87" s="59">
        <f ca="1">AVERAGE(OFFSET($GY$3,0,0,'Données projet'!$E$18+1,1))-AVERAGE(OFFSET($H$3,0,0,'Données projet'!$E$18+1,1))</f>
        <v>261.22357949323879</v>
      </c>
      <c r="HA87" s="59">
        <f t="shared" si="106"/>
        <v>163.41029152029387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0.74290231488837133</v>
      </c>
      <c r="HI87" s="21">
        <f>EXP(-LN(2)/2)*HI86+(1-EXP(-LN(2)/2))/(LN(2)/2)*HC87*HF87*VLOOKUP('Données projet'!$B$18,Paramètres!$A$1:$I$89,3,0)*0.475*44/12</f>
        <v>4.929452710297632E-8</v>
      </c>
      <c r="HJ87" s="22">
        <f t="shared" si="84"/>
        <v>0.74290236418289846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237.22177246688199</v>
      </c>
      <c r="T88" s="59">
        <f t="shared" si="88"/>
        <v>149.27472147904302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3.1</v>
      </c>
      <c r="AI88" s="13">
        <f>IF('Données projet'!$A$62&gt;35,AI87+AH88-AQ87,IF(A88&lt;'Données projet'!$A$62,$AF$205^A88,IF(A88='Données projet'!$A$62,'Données projet'!$B$62,AI87+AH88-AQ87)))</f>
        <v>229.49999999999983</v>
      </c>
      <c r="AJ88" s="13">
        <f>AI88*VLOOKUP('Données projet'!$B$10,Paramètres!$A$1:$I$89,3,0)*VLOOKUP('Données projet'!$B$10,Paramètres!$A$1:$I$89,5,0)</f>
        <v>200.49119999999988</v>
      </c>
      <c r="AK88" s="13">
        <f t="shared" si="89"/>
        <v>49.85210320190825</v>
      </c>
      <c r="AL88" s="20">
        <f t="shared" si="58"/>
        <v>436.01458640998993</v>
      </c>
      <c r="AM88" s="59">
        <f t="shared" si="59"/>
        <v>729.34791974332325</v>
      </c>
      <c r="AN88" s="59">
        <f ca="1">AVERAGE(OFFSET($AM$3,0,0,'Données projet'!$E$10+1,1))-AVERAGE(OFFSET($H$3,0,0,'Données projet'!$E$10+1,1))</f>
        <v>210.07838338464626</v>
      </c>
      <c r="AO88" s="59">
        <f t="shared" si="90"/>
        <v>241.76003724236273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1.7833910521675815</v>
      </c>
      <c r="AV88" s="21">
        <f>EXP(-LN(2)/25)*AV87+(1-EXP(-LN(2)/25))/(LN(2)/25)*Calculateur!AQ88*Calculateur!AS88*VLOOKUP('Données projet'!$B$10,Paramètres!$A$1:$I$89,3,0)*0.475*44/12</f>
        <v>2.9511461537692494</v>
      </c>
      <c r="AW88" s="21">
        <f>EXP(-LN(2)/2)*AW87+(1-EXP(-LN(2)/2))/(LN(2)/2)*AQ88*AT88*VLOOKUP('Données projet'!$B$10,Paramètres!$A$1:$I$89,3,0)*0.475*44/12</f>
        <v>8.4143150959508946E-8</v>
      </c>
      <c r="AX88" s="21">
        <f t="shared" si="60"/>
        <v>4.7345372900799818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6.2527760746888816E-13</v>
      </c>
      <c r="BE88" s="13">
        <f>BD88*VLOOKUP('Données projet'!$B$11,Paramètres!$A$1:$I$89,3,0)*VLOOKUP('Données projet'!$B$11,Paramètres!$A$1:$I$89,5,0)</f>
        <v>3.9017322706058616E-13</v>
      </c>
      <c r="BF88" s="13">
        <f t="shared" si="91"/>
        <v>5.0025007393608908E-12</v>
      </c>
      <c r="BG88" s="20">
        <f t="shared" si="61"/>
        <v>9.3922404915174053E-12</v>
      </c>
      <c r="BH88" s="59">
        <f t="shared" si="62"/>
        <v>293.33333333334269</v>
      </c>
      <c r="BI88" s="59">
        <f ca="1">AVERAGE(OFFSET($BH$3,0,0,'Données projet'!$E$11+1,1))-AVERAGE(OFFSET($H$3,0,0,'Données projet'!$E$11+1,1))</f>
        <v>209.93608079129638</v>
      </c>
      <c r="BJ88" s="59">
        <f t="shared" si="92"/>
        <v>240.15652428700969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2.3396187658535008</v>
      </c>
      <c r="BQ88" s="21">
        <f>EXP(-LN(2)/25)*BQ87+(1-EXP(-LN(2)/25))/(LN(2)/25)*Calculateur!BL88*Calculateur!BN88*VLOOKUP('Données projet'!$B$11,Paramètres!$A$1:$I$89,3,0)*0.475*44/12</f>
        <v>4.5242313544304134</v>
      </c>
      <c r="BR88" s="21">
        <f>EXP(-LN(2)/2)*BR87+(1-EXP(-LN(2)/2))/(LN(2)/2)*BL88*BO88*VLOOKUP('Données projet'!$B$11,Paramètres!$A$1:$I$89,3,0)*0.475*44/12</f>
        <v>1.0637240529331138E-7</v>
      </c>
      <c r="BS88" s="22">
        <f t="shared" si="63"/>
        <v>6.8638502266563188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17.5</v>
      </c>
      <c r="BY88" s="12">
        <f>IF('Données projet'!$A$114&gt;35,BY87+BX88-CG87,IF(A88&lt;'Données projet'!$A$114,$BV$205^A88,IF(A88='Données projet'!$A$114,'Données projet'!$B$114,BY87+BX88-CG87)))</f>
        <v>537.09999999999991</v>
      </c>
      <c r="BZ88" s="13">
        <f>BY88*VLOOKUP('Données projet'!$B$12,Paramètres!$A$1:$I$89,3,0)*VLOOKUP('Données projet'!$B$12,Paramètres!$A$1:$I$89,5,0)</f>
        <v>251.36279999999996</v>
      </c>
      <c r="CA88" s="13">
        <f t="shared" si="93"/>
        <v>60.877671564837158</v>
      </c>
      <c r="CB88" s="20">
        <f t="shared" si="64"/>
        <v>543.81882130875795</v>
      </c>
      <c r="CC88" s="59">
        <f t="shared" si="65"/>
        <v>837.15215464209132</v>
      </c>
      <c r="CD88" s="59">
        <f ca="1">AVERAGE(OFFSET($CC$3,0,0,'Données projet'!$E$12+1,1))-AVERAGE(OFFSET($H$3,0,0,'Données projet'!$E$12+1,1))</f>
        <v>215.23235148064941</v>
      </c>
      <c r="CE88" s="59">
        <f t="shared" si="94"/>
        <v>184.07239726900434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1.0547084954280654</v>
      </c>
      <c r="CL88" s="21">
        <f>EXP(-LN(2)/25)*CL87+(1-EXP(-LN(2)/25))/(LN(2)/25)*Calculateur!CG88*Calculateur!CI88*VLOOKUP('Données projet'!$B$12,Paramètres!$A$1:$I$89,3,0)*0.475*44/12</f>
        <v>1.7096447295803572</v>
      </c>
      <c r="CM88" s="21">
        <f>EXP(-LN(2)/2)*CM87+(1-EXP(-LN(2)/2))/(LN(2)/2)*CG88*CJ88*VLOOKUP('Données projet'!$B$12,Paramètres!$A$1:$I$89,3,0)*0.475*44/12</f>
        <v>5.1799406580926307E-8</v>
      </c>
      <c r="CN88" s="22">
        <f t="shared" si="66"/>
        <v>2.7643532768078289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5.6</v>
      </c>
      <c r="CT88" s="12">
        <f>IF('Données projet'!$A$140&gt;35,CT87+CS88-DB87,IF(A88&lt;'Données projet'!$A$140,$CQ$205^A88,IF(A88='Données projet'!$A$140,'Données projet'!$B$140,CT87+CS88-DB87)))</f>
        <v>268.00000000000034</v>
      </c>
      <c r="CU88" s="17">
        <f>CT88*VLOOKUP('Données projet'!$B$13,Paramètres!$A$1:$I$89,3,0)*VLOOKUP('Données projet'!$B$13,Paramètres!$A$1:$I$89,5,0)</f>
        <v>271.75200000000035</v>
      </c>
      <c r="CV88" s="13">
        <f t="shared" si="95"/>
        <v>65.220947824725044</v>
      </c>
      <c r="CW88" s="20">
        <f t="shared" si="67"/>
        <v>586.89455079472998</v>
      </c>
      <c r="CX88" s="59">
        <f t="shared" si="68"/>
        <v>880.22788412806335</v>
      </c>
      <c r="CY88" s="59">
        <f ca="1">AVERAGE(OFFSET($CX$3,0,0,'Données projet'!$E$13+1,1))-AVERAGE(OFFSET($H$3,0,0,'Données projet'!$E$13+1,1))</f>
        <v>279.20364724206644</v>
      </c>
      <c r="CZ88" s="59">
        <f t="shared" si="96"/>
        <v>173.99850582760712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0.75755152873086951</v>
      </c>
      <c r="DH88" s="21">
        <f>EXP(-LN(2)/2)*DH87+(1-EXP(-LN(2)/2))/(LN(2)/2)*DB88*DE88*VLOOKUP('Données projet'!$B$13,Paramètres!$A$1:$I$89,3,0)*0.475*44/12</f>
        <v>3.6543098957151773E-8</v>
      </c>
      <c r="DI88" s="22">
        <f t="shared" si="69"/>
        <v>0.7575515652739685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5.6</v>
      </c>
      <c r="DO88" s="12">
        <f>IF('Données projet'!$A$166&gt;35,DO87+DN88-DW87,IF(A88&lt;'Données projet'!$A$166,$DL$205^A88,IF(A88='Données projet'!$A$166,'Données projet'!$B$166,DO87+DN88-DW87)))</f>
        <v>268.00000000000034</v>
      </c>
      <c r="DP88" s="17">
        <f>DO88*VLOOKUP('Données projet'!$B$14,Paramètres!$A$1:$I$89,3,0)*VLOOKUP('Données projet'!$B$14,Paramètres!$A$1:$I$89,5,0)</f>
        <v>280.11360000000036</v>
      </c>
      <c r="DQ88" s="13">
        <f t="shared" si="97"/>
        <v>66.991015259941435</v>
      </c>
      <c r="DR88" s="20">
        <f t="shared" si="70"/>
        <v>604.54053824439859</v>
      </c>
      <c r="DS88" s="59">
        <f t="shared" si="71"/>
        <v>897.87387157773196</v>
      </c>
      <c r="DT88" s="59">
        <f ca="1">AVERAGE(OFFSET($DS$3,0,0,'Données projet'!$E$14+1,1))-AVERAGE(OFFSET($H$3,0,0,'Données projet'!$E$14+1,1))</f>
        <v>291.18074901939718</v>
      </c>
      <c r="DU88" s="59">
        <f t="shared" si="98"/>
        <v>181.05123751753774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0.78086080653797318</v>
      </c>
      <c r="EC88" s="21">
        <f>EXP(-LN(2)/2)*EC87+(1-EXP(-LN(2)/2))/(LN(2)/2)*DW88*DZ88*VLOOKUP('Données projet'!$B$14,Paramètres!$A$1:$I$89,3,0)*0.475*44/12</f>
        <v>3.7667502001987249E-8</v>
      </c>
      <c r="ED88" s="22">
        <f t="shared" si="72"/>
        <v>0.78086084420547519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168.08890945052406</v>
      </c>
      <c r="EP88" s="59">
        <f t="shared" si="100"/>
        <v>182.52462557642343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2.0902718983126634</v>
      </c>
      <c r="EW88" s="21">
        <f>EXP(-LN(2)/25)*EW87+(1-EXP(-LN(2)/25))/(LN(2)/25)*Calculateur!ER88*Calculateur!ET88*VLOOKUP('Données projet'!$B$15,Paramètres!$A$1:$I$89,3,0)*0.475*44/12</f>
        <v>2.683664122594577</v>
      </c>
      <c r="EX88" s="21">
        <f>EXP(-LN(2)/2)*EX87+(1-EXP(-LN(2)/2))/(LN(2)/2)*ER88*EU88*VLOOKUP('Données projet'!$B$15,Paramètres!$A$1:$I$89,3,0)*0.475*44/12</f>
        <v>2.868984644087937E-8</v>
      </c>
      <c r="EY88" s="22">
        <f t="shared" si="75"/>
        <v>4.7739360495970864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3.813056537183002E-14</v>
      </c>
      <c r="FG88" s="13">
        <f t="shared" si="101"/>
        <v>6.4086286045526829E-13</v>
      </c>
      <c r="FH88" s="20">
        <f t="shared" si="76"/>
        <v>1.1825802166488628E-12</v>
      </c>
      <c r="FI88" s="59">
        <f t="shared" si="77"/>
        <v>293.33333333333451</v>
      </c>
      <c r="FJ88" s="59">
        <f ca="1">AVERAGE(OFFSET($FI$3,0,0,'Données projet'!$E$16+1,1))-AVERAGE(OFFSET($H$3,0,0,'Données projet'!$E$16+1,1))</f>
        <v>156.63226020379989</v>
      </c>
      <c r="FK88" s="59">
        <f t="shared" si="102"/>
        <v>196.0481096619543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1.8869097607142749</v>
      </c>
      <c r="FS88" s="21">
        <f>EXP(-LN(2)/2)*FS87+(1-EXP(-LN(2)/2))/(LN(2)/2)*FM88*FP88*VLOOKUP('Données projet'!$B$16,Paramètres!$A$1:$I$89,3,0)*0.475*44/12</f>
        <v>4.7802274920657529E-8</v>
      </c>
      <c r="FT88" s="22">
        <f t="shared" si="78"/>
        <v>1.8869098085165499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-4.5474735088646412E-13</v>
      </c>
      <c r="GA88" s="17">
        <f>FZ88*VLOOKUP('Données projet'!$B$17,Paramètres!$A$1:$I$89,3,0)*VLOOKUP('Données projet'!$B$17,Paramètres!$A$1:$I$89,5,0)</f>
        <v>-2.7193891583010558E-13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216.94426559495264</v>
      </c>
      <c r="GF88" s="59">
        <f t="shared" si="104"/>
        <v>225.33715877618704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2.796483405750898</v>
      </c>
      <c r="GN88" s="21">
        <f>EXP(-LN(2)/2)*GN87+(1-EXP(-LN(2)/2))/(LN(2)/2)*GH88*GK88*VLOOKUP('Données projet'!$B$17,Paramètres!$A$1:$I$89,3,0)*0.475*44/12</f>
        <v>1.2501471698279196E-7</v>
      </c>
      <c r="GO88" s="21">
        <f t="shared" si="81"/>
        <v>2.7964835307656148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5.6</v>
      </c>
      <c r="GU88" s="12">
        <f>IF('Données projet'!$A$270&gt;35,GU87+GT88-HC87,IF(A88&lt;'Données projet'!$A$270,$GR$205^A88,IF(A88='Données projet'!$A$270,'Données projet'!$B$270,GU87+GT88-HC87)))</f>
        <v>268.00000000000034</v>
      </c>
      <c r="GV88" s="17">
        <f>GU88*VLOOKUP('Données projet'!$B$18,Paramètres!$A$1:$I$89,3,0)*VLOOKUP('Données projet'!$B$18,Paramètres!$A$1:$I$89,5,0)</f>
        <v>259.20960000000036</v>
      </c>
      <c r="GW88" s="13">
        <f t="shared" si="105"/>
        <v>62.553866774106815</v>
      </c>
      <c r="GX88" s="20">
        <f t="shared" si="82"/>
        <v>560.4047046315701</v>
      </c>
      <c r="GY88" s="59">
        <f t="shared" si="83"/>
        <v>853.73803796490347</v>
      </c>
      <c r="GZ88" s="59">
        <f ca="1">AVERAGE(OFFSET($GY$3,0,0,'Données projet'!$E$18+1,1))-AVERAGE(OFFSET($H$3,0,0,'Données projet'!$E$18+1,1))</f>
        <v>261.22357949323879</v>
      </c>
      <c r="HA88" s="59">
        <f t="shared" si="106"/>
        <v>163.41029152029387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0.72258761202021404</v>
      </c>
      <c r="HI88" s="21">
        <f>EXP(-LN(2)/2)*HI87+(1-EXP(-LN(2)/2))/(LN(2)/2)*HC88*HF88*VLOOKUP('Données projet'!$B$18,Paramètres!$A$1:$I$89,3,0)*0.475*44/12</f>
        <v>3.4856494389898613E-8</v>
      </c>
      <c r="HJ88" s="22">
        <f t="shared" si="84"/>
        <v>0.7225876468767084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237.22177246688199</v>
      </c>
      <c r="T89" s="59">
        <f t="shared" si="88"/>
        <v>149.27472147904302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3.1</v>
      </c>
      <c r="AI89" s="13">
        <f>IF('Données projet'!$A$62&gt;35,AI88+AH89-AQ88,IF(A89&lt;'Données projet'!$A$62,$AF$205^A89,IF(A89='Données projet'!$A$62,'Données projet'!$B$62,AI88+AH89-AQ88)))</f>
        <v>232.59999999999982</v>
      </c>
      <c r="AJ89" s="13">
        <f>AI89*VLOOKUP('Données projet'!$B$10,Paramètres!$A$1:$I$89,3,0)*VLOOKUP('Données projet'!$B$10,Paramètres!$A$1:$I$89,5,0)</f>
        <v>203.19935999999987</v>
      </c>
      <c r="AK89" s="13">
        <f t="shared" si="89"/>
        <v>50.446639465910458</v>
      </c>
      <c r="AL89" s="20">
        <f t="shared" si="58"/>
        <v>441.76678240312714</v>
      </c>
      <c r="AM89" s="59">
        <f t="shared" si="59"/>
        <v>735.10011573646045</v>
      </c>
      <c r="AN89" s="59">
        <f ca="1">AVERAGE(OFFSET($AM$3,0,0,'Données projet'!$E$10+1,1))-AVERAGE(OFFSET($H$3,0,0,'Données projet'!$E$10+1,1))</f>
        <v>210.07838338464626</v>
      </c>
      <c r="AO89" s="59">
        <f t="shared" si="90"/>
        <v>241.76003724236273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1.7484198413957095</v>
      </c>
      <c r="AV89" s="21">
        <f>EXP(-LN(2)/25)*AV88+(1-EXP(-LN(2)/25))/(LN(2)/25)*Calculateur!AQ89*Calculateur!AS89*VLOOKUP('Données projet'!$B$10,Paramètres!$A$1:$I$89,3,0)*0.475*44/12</f>
        <v>2.8704469070003982</v>
      </c>
      <c r="AW89" s="21">
        <f>EXP(-LN(2)/2)*AW88+(1-EXP(-LN(2)/2))/(LN(2)/2)*AQ89*AT89*VLOOKUP('Données projet'!$B$10,Paramètres!$A$1:$I$89,3,0)*0.475*44/12</f>
        <v>5.9498192633872133E-8</v>
      </c>
      <c r="AX89" s="21">
        <f t="shared" si="60"/>
        <v>4.6188668078943005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6.2527760746888816E-13</v>
      </c>
      <c r="BE89" s="13">
        <f>BD89*VLOOKUP('Données projet'!$B$11,Paramètres!$A$1:$I$89,3,0)*VLOOKUP('Données projet'!$B$11,Paramètres!$A$1:$I$89,5,0)</f>
        <v>3.9017322706058616E-13</v>
      </c>
      <c r="BF89" s="13">
        <f t="shared" si="91"/>
        <v>5.0025007393608908E-12</v>
      </c>
      <c r="BG89" s="20">
        <f t="shared" si="61"/>
        <v>9.3922404915174053E-12</v>
      </c>
      <c r="BH89" s="59">
        <f t="shared" si="62"/>
        <v>293.33333333334269</v>
      </c>
      <c r="BI89" s="59">
        <f ca="1">AVERAGE(OFFSET($BH$3,0,0,'Données projet'!$E$11+1,1))-AVERAGE(OFFSET($H$3,0,0,'Données projet'!$E$11+1,1))</f>
        <v>209.93608079129638</v>
      </c>
      <c r="BJ89" s="59">
        <f t="shared" si="92"/>
        <v>240.15652428700969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2.2937402688816535</v>
      </c>
      <c r="BQ89" s="21">
        <f>EXP(-LN(2)/25)*BQ88+(1-EXP(-LN(2)/25))/(LN(2)/25)*Calculateur!BL89*Calculateur!BN89*VLOOKUP('Données projet'!$B$11,Paramètres!$A$1:$I$89,3,0)*0.475*44/12</f>
        <v>4.4005160101245266</v>
      </c>
      <c r="BR89" s="21">
        <f>EXP(-LN(2)/2)*BR88+(1-EXP(-LN(2)/2))/(LN(2)/2)*BL89*BO89*VLOOKUP('Données projet'!$B$11,Paramètres!$A$1:$I$89,3,0)*0.475*44/12</f>
        <v>7.5216649114024282E-8</v>
      </c>
      <c r="BS89" s="22">
        <f t="shared" si="63"/>
        <v>6.6942563542228291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17.5</v>
      </c>
      <c r="BY89" s="12">
        <f>IF('Données projet'!$A$114&gt;35,BY88+BX89-CG88,IF(A89&lt;'Données projet'!$A$114,$BV$205^A89,IF(A89='Données projet'!$A$114,'Données projet'!$B$114,BY88+BX89-CG88)))</f>
        <v>554.59999999999991</v>
      </c>
      <c r="BZ89" s="13">
        <f>BY89*VLOOKUP('Données projet'!$B$12,Paramètres!$A$1:$I$89,3,0)*VLOOKUP('Données projet'!$B$12,Paramètres!$A$1:$I$89,5,0)</f>
        <v>259.55279999999993</v>
      </c>
      <c r="CA89" s="13">
        <f t="shared" si="93"/>
        <v>62.627043439399927</v>
      </c>
      <c r="CB89" s="20">
        <f t="shared" si="64"/>
        <v>561.12989399028811</v>
      </c>
      <c r="CC89" s="59">
        <f t="shared" si="65"/>
        <v>854.46322732362137</v>
      </c>
      <c r="CD89" s="59">
        <f ca="1">AVERAGE(OFFSET($CC$3,0,0,'Données projet'!$E$12+1,1))-AVERAGE(OFFSET($H$3,0,0,'Données projet'!$E$12+1,1))</f>
        <v>215.23235148064941</v>
      </c>
      <c r="CE89" s="59">
        <f t="shared" si="94"/>
        <v>184.07239726900434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1.0340263051413818</v>
      </c>
      <c r="CL89" s="21">
        <f>EXP(-LN(2)/25)*CL88+(1-EXP(-LN(2)/25))/(LN(2)/25)*Calculateur!CG89*Calculateur!CI89*VLOOKUP('Données projet'!$B$12,Paramètres!$A$1:$I$89,3,0)*0.475*44/12</f>
        <v>1.6628944045436733</v>
      </c>
      <c r="CM89" s="21">
        <f>EXP(-LN(2)/2)*CM88+(1-EXP(-LN(2)/2))/(LN(2)/2)*CG89*CJ89*VLOOKUP('Données projet'!$B$12,Paramètres!$A$1:$I$89,3,0)*0.475*44/12</f>
        <v>3.6627711654812067E-8</v>
      </c>
      <c r="CN89" s="22">
        <f t="shared" si="66"/>
        <v>2.6969207463127667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5.6</v>
      </c>
      <c r="CT89" s="12">
        <f>IF('Données projet'!$A$140&gt;35,CT88+CS89-DB88,IF(A89&lt;'Données projet'!$A$140,$CQ$205^A89,IF(A89='Données projet'!$A$140,'Données projet'!$B$140,CT88+CS89-DB88)))</f>
        <v>273.60000000000036</v>
      </c>
      <c r="CU89" s="17">
        <f>CT89*VLOOKUP('Données projet'!$B$13,Paramètres!$A$1:$I$89,3,0)*VLOOKUP('Données projet'!$B$13,Paramètres!$A$1:$I$89,5,0)</f>
        <v>277.43040000000036</v>
      </c>
      <c r="CV89" s="13">
        <f t="shared" si="95"/>
        <v>66.423687500715801</v>
      </c>
      <c r="CW89" s="20">
        <f t="shared" si="67"/>
        <v>598.87920239708058</v>
      </c>
      <c r="CX89" s="59">
        <f t="shared" si="68"/>
        <v>892.21253573041395</v>
      </c>
      <c r="CY89" s="59">
        <f ca="1">AVERAGE(OFFSET($CX$3,0,0,'Données projet'!$E$13+1,1))-AVERAGE(OFFSET($H$3,0,0,'Données projet'!$E$13+1,1))</f>
        <v>279.20364724206644</v>
      </c>
      <c r="CZ89" s="59">
        <f t="shared" si="96"/>
        <v>173.99850582760712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0.73683624233982037</v>
      </c>
      <c r="DH89" s="21">
        <f>EXP(-LN(2)/2)*DH88+(1-EXP(-LN(2)/2))/(LN(2)/2)*DB89*DE89*VLOOKUP('Données projet'!$B$13,Paramètres!$A$1:$I$89,3,0)*0.475*44/12</f>
        <v>2.5839873078173072E-8</v>
      </c>
      <c r="DI89" s="22">
        <f t="shared" si="69"/>
        <v>0.7368362681796935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5.6</v>
      </c>
      <c r="DO89" s="12">
        <f>IF('Données projet'!$A$166&gt;35,DO88+DN89-DW88,IF(A89&lt;'Données projet'!$A$166,$DL$205^A89,IF(A89='Données projet'!$A$166,'Données projet'!$B$166,DO88+DN89-DW88)))</f>
        <v>273.60000000000036</v>
      </c>
      <c r="DP89" s="17">
        <f>DO89*VLOOKUP('Données projet'!$B$14,Paramètres!$A$1:$I$89,3,0)*VLOOKUP('Données projet'!$B$14,Paramètres!$A$1:$I$89,5,0)</f>
        <v>285.96672000000041</v>
      </c>
      <c r="DQ89" s="13">
        <f t="shared" si="97"/>
        <v>68.226396754312916</v>
      </c>
      <c r="DR89" s="20">
        <f t="shared" si="70"/>
        <v>616.88634501376237</v>
      </c>
      <c r="DS89" s="59">
        <f t="shared" si="71"/>
        <v>910.21967834709562</v>
      </c>
      <c r="DT89" s="59">
        <f ca="1">AVERAGE(OFFSET($DS$3,0,0,'Données projet'!$E$14+1,1))-AVERAGE(OFFSET($H$3,0,0,'Données projet'!$E$14+1,1))</f>
        <v>291.18074901939718</v>
      </c>
      <c r="DU89" s="59">
        <f t="shared" si="98"/>
        <v>181.05123751753774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0.75950812671950718</v>
      </c>
      <c r="EC89" s="21">
        <f>EXP(-LN(2)/2)*EC88+(1-EXP(-LN(2)/2))/(LN(2)/2)*DW89*DZ89*VLOOKUP('Données projet'!$B$14,Paramètres!$A$1:$I$89,3,0)*0.475*44/12</f>
        <v>2.6634946095963039E-8</v>
      </c>
      <c r="ED89" s="22">
        <f t="shared" si="72"/>
        <v>0.75950815335445332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168.08890945052406</v>
      </c>
      <c r="EP89" s="59">
        <f t="shared" si="100"/>
        <v>182.52462557642343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2.04928294132672</v>
      </c>
      <c r="EW89" s="21">
        <f>EXP(-LN(2)/25)*EW88+(1-EXP(-LN(2)/25))/(LN(2)/25)*Calculateur!ER89*Calculateur!ET89*VLOOKUP('Données projet'!$B$15,Paramètres!$A$1:$I$89,3,0)*0.475*44/12</f>
        <v>2.6102791860344658</v>
      </c>
      <c r="EX89" s="21">
        <f>EXP(-LN(2)/2)*EX88+(1-EXP(-LN(2)/2))/(LN(2)/2)*ER89*EU89*VLOOKUP('Données projet'!$B$15,Paramètres!$A$1:$I$89,3,0)*0.475*44/12</f>
        <v>2.0286784969546538E-8</v>
      </c>
      <c r="EY89" s="22">
        <f t="shared" si="75"/>
        <v>4.6595621476479705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3.813056537183002E-14</v>
      </c>
      <c r="FG89" s="13">
        <f t="shared" si="101"/>
        <v>6.4086286045526829E-13</v>
      </c>
      <c r="FH89" s="20">
        <f t="shared" si="76"/>
        <v>1.1825802166488628E-12</v>
      </c>
      <c r="FI89" s="59">
        <f t="shared" si="77"/>
        <v>293.33333333333451</v>
      </c>
      <c r="FJ89" s="59">
        <f ca="1">AVERAGE(OFFSET($FI$3,0,0,'Données projet'!$E$16+1,1))-AVERAGE(OFFSET($H$3,0,0,'Données projet'!$E$16+1,1))</f>
        <v>156.63226020379989</v>
      </c>
      <c r="FK89" s="59">
        <f t="shared" si="102"/>
        <v>196.0481096619543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1.8353121140792712</v>
      </c>
      <c r="FS89" s="21">
        <f>EXP(-LN(2)/2)*FS88+(1-EXP(-LN(2)/2))/(LN(2)/2)*FM89*FP89*VLOOKUP('Données projet'!$B$16,Paramètres!$A$1:$I$89,3,0)*0.475*44/12</f>
        <v>3.3801312752540572E-8</v>
      </c>
      <c r="FT89" s="22">
        <f t="shared" si="78"/>
        <v>1.8353121478805841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-4.5474735088646412E-13</v>
      </c>
      <c r="GA89" s="17">
        <f>FZ89*VLOOKUP('Données projet'!$B$17,Paramètres!$A$1:$I$89,3,0)*VLOOKUP('Données projet'!$B$17,Paramètres!$A$1:$I$89,5,0)</f>
        <v>-2.7193891583010558E-13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216.94426559495264</v>
      </c>
      <c r="GF89" s="59">
        <f t="shared" si="104"/>
        <v>225.33715877618704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2.7200134199599688</v>
      </c>
      <c r="GN89" s="21">
        <f>EXP(-LN(2)/2)*GN88+(1-EXP(-LN(2)/2))/(LN(2)/2)*GH89*GK89*VLOOKUP('Données projet'!$B$17,Paramètres!$A$1:$I$89,3,0)*0.475*44/12</f>
        <v>8.8398754126649244E-8</v>
      </c>
      <c r="GO89" s="21">
        <f t="shared" si="81"/>
        <v>2.7200135083587229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5.6</v>
      </c>
      <c r="GU89" s="12">
        <f>IF('Données projet'!$A$270&gt;35,GU88+GT89-HC88,IF(A89&lt;'Données projet'!$A$270,$GR$205^A89,IF(A89='Données projet'!$A$270,'Données projet'!$B$270,GU88+GT89-HC88)))</f>
        <v>273.60000000000036</v>
      </c>
      <c r="GV89" s="17">
        <f>GU89*VLOOKUP('Données projet'!$B$18,Paramètres!$A$1:$I$89,3,0)*VLOOKUP('Données projet'!$B$18,Paramètres!$A$1:$I$89,5,0)</f>
        <v>264.62592000000035</v>
      </c>
      <c r="GW89" s="13">
        <f t="shared" si="105"/>
        <v>63.707422801198717</v>
      </c>
      <c r="GX89" s="20">
        <f t="shared" si="82"/>
        <v>571.84723871208837</v>
      </c>
      <c r="GY89" s="59">
        <f t="shared" si="83"/>
        <v>865.18057204542174</v>
      </c>
      <c r="GZ89" s="59">
        <f ca="1">AVERAGE(OFFSET($GY$3,0,0,'Données projet'!$E$18+1,1))-AVERAGE(OFFSET($H$3,0,0,'Données projet'!$E$18+1,1))</f>
        <v>261.22357949323879</v>
      </c>
      <c r="HA89" s="59">
        <f t="shared" si="106"/>
        <v>163.41029152029387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0.70282841577029032</v>
      </c>
      <c r="HI89" s="21">
        <f>EXP(-LN(2)/2)*HI88+(1-EXP(-LN(2)/2))/(LN(2)/2)*HC89*HF89*VLOOKUP('Données projet'!$B$18,Paramètres!$A$1:$I$89,3,0)*0.475*44/12</f>
        <v>2.464726355148816E-8</v>
      </c>
      <c r="HJ89" s="22">
        <f t="shared" si="84"/>
        <v>0.70282844041755388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237.22177246688199</v>
      </c>
      <c r="T90" s="59">
        <f t="shared" si="88"/>
        <v>149.27472147904302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3.1</v>
      </c>
      <c r="AI90" s="13">
        <f>IF('Données projet'!$A$62&gt;35,AI89+AH90-AQ89,IF(A90&lt;'Données projet'!$A$62,$AF$205^A90,IF(A90='Données projet'!$A$62,'Données projet'!$B$62,AI89+AH90-AQ89)))</f>
        <v>235.69999999999982</v>
      </c>
      <c r="AJ90" s="13">
        <f>AI90*VLOOKUP('Données projet'!$B$10,Paramètres!$A$1:$I$89,3,0)*VLOOKUP('Données projet'!$B$10,Paramètres!$A$1:$I$89,5,0)</f>
        <v>205.90751999999986</v>
      </c>
      <c r="AK90" s="13">
        <f t="shared" si="89"/>
        <v>51.040254092523767</v>
      </c>
      <c r="AL90" s="20">
        <f t="shared" si="58"/>
        <v>447.5173732111453</v>
      </c>
      <c r="AM90" s="59">
        <f t="shared" si="59"/>
        <v>740.85070654447861</v>
      </c>
      <c r="AN90" s="59">
        <f ca="1">AVERAGE(OFFSET($AM$3,0,0,'Données projet'!$E$10+1,1))-AVERAGE(OFFSET($H$3,0,0,'Données projet'!$E$10+1,1))</f>
        <v>210.07838338464626</v>
      </c>
      <c r="AO90" s="59">
        <f t="shared" si="90"/>
        <v>241.76003724236273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1.7141343947367416</v>
      </c>
      <c r="AV90" s="21">
        <f>EXP(-LN(2)/25)*AV89+(1-EXP(-LN(2)/25))/(LN(2)/25)*Calculateur!AQ90*Calculateur!AS90*VLOOKUP('Données projet'!$B$10,Paramètres!$A$1:$I$89,3,0)*0.475*44/12</f>
        <v>2.7919543853782298</v>
      </c>
      <c r="AW90" s="21">
        <f>EXP(-LN(2)/2)*AW89+(1-EXP(-LN(2)/2))/(LN(2)/2)*AQ90*AT90*VLOOKUP('Données projet'!$B$10,Paramètres!$A$1:$I$89,3,0)*0.475*44/12</f>
        <v>4.207157547975448E-8</v>
      </c>
      <c r="AX90" s="21">
        <f t="shared" si="60"/>
        <v>4.5060888221865474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6.2527760746888816E-13</v>
      </c>
      <c r="BE90" s="13">
        <f>BD90*VLOOKUP('Données projet'!$B$11,Paramètres!$A$1:$I$89,3,0)*VLOOKUP('Données projet'!$B$11,Paramètres!$A$1:$I$89,5,0)</f>
        <v>3.9017322706058616E-13</v>
      </c>
      <c r="BF90" s="13">
        <f t="shared" si="91"/>
        <v>5.0025007393608908E-12</v>
      </c>
      <c r="BG90" s="20">
        <f t="shared" si="61"/>
        <v>9.3922404915174053E-12</v>
      </c>
      <c r="BH90" s="59">
        <f t="shared" si="62"/>
        <v>293.33333333334269</v>
      </c>
      <c r="BI90" s="59">
        <f ca="1">AVERAGE(OFFSET($BH$3,0,0,'Données projet'!$E$11+1,1))-AVERAGE(OFFSET($H$3,0,0,'Données projet'!$E$11+1,1))</f>
        <v>209.93608079129638</v>
      </c>
      <c r="BJ90" s="59">
        <f t="shared" si="92"/>
        <v>240.15652428700969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2.2487614212523042</v>
      </c>
      <c r="BQ90" s="21">
        <f>EXP(-LN(2)/25)*BQ89+(1-EXP(-LN(2)/25))/(LN(2)/25)*Calculateur!BL90*Calculateur!BN90*VLOOKUP('Données projet'!$B$11,Paramètres!$A$1:$I$89,3,0)*0.475*44/12</f>
        <v>4.2801836684145922</v>
      </c>
      <c r="BR90" s="21">
        <f>EXP(-LN(2)/2)*BR89+(1-EXP(-LN(2)/2))/(LN(2)/2)*BL90*BO90*VLOOKUP('Données projet'!$B$11,Paramètres!$A$1:$I$89,3,0)*0.475*44/12</f>
        <v>5.3186202646655692E-8</v>
      </c>
      <c r="BS90" s="22">
        <f t="shared" si="63"/>
        <v>6.5289451428530993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17.5</v>
      </c>
      <c r="BY90" s="12">
        <f>IF('Données projet'!$A$114&gt;35,BY89+BX90-CG89,IF(A90&lt;'Données projet'!$A$114,$BV$205^A90,IF(A90='Données projet'!$A$114,'Données projet'!$B$114,BY89+BX90-CG89)))</f>
        <v>572.09999999999991</v>
      </c>
      <c r="BZ90" s="13">
        <f>BY90*VLOOKUP('Données projet'!$B$12,Paramètres!$A$1:$I$89,3,0)*VLOOKUP('Données projet'!$B$12,Paramètres!$A$1:$I$89,5,0)</f>
        <v>267.74279999999993</v>
      </c>
      <c r="CA90" s="13">
        <f t="shared" si="93"/>
        <v>64.370000676259949</v>
      </c>
      <c r="CB90" s="20">
        <f t="shared" si="64"/>
        <v>578.42979451115264</v>
      </c>
      <c r="CC90" s="59">
        <f t="shared" si="65"/>
        <v>871.76312784448601</v>
      </c>
      <c r="CD90" s="59">
        <f ca="1">AVERAGE(OFFSET($CC$3,0,0,'Données projet'!$E$12+1,1))-AVERAGE(OFFSET($H$3,0,0,'Données projet'!$E$12+1,1))</f>
        <v>215.23235148064941</v>
      </c>
      <c r="CE90" s="59">
        <f t="shared" si="94"/>
        <v>184.07239726900434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1.0137496799913297</v>
      </c>
      <c r="CL90" s="21">
        <f>EXP(-LN(2)/25)*CL89+(1-EXP(-LN(2)/25))/(LN(2)/25)*Calculateur!CG90*Calculateur!CI90*VLOOKUP('Données projet'!$B$12,Paramètres!$A$1:$I$89,3,0)*0.475*44/12</f>
        <v>1.6174224696036104</v>
      </c>
      <c r="CM90" s="21">
        <f>EXP(-LN(2)/2)*CM89+(1-EXP(-LN(2)/2))/(LN(2)/2)*CG90*CJ90*VLOOKUP('Données projet'!$B$12,Paramètres!$A$1:$I$89,3,0)*0.475*44/12</f>
        <v>2.5899703290463154E-8</v>
      </c>
      <c r="CN90" s="22">
        <f t="shared" si="66"/>
        <v>2.6311721754946436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5.6</v>
      </c>
      <c r="CT90" s="12">
        <f>IF('Données projet'!$A$140&gt;35,CT89+CS90-DB89,IF(A90&lt;'Données projet'!$A$140,$CQ$205^A90,IF(A90='Données projet'!$A$140,'Données projet'!$B$140,CT89+CS90-DB89)))</f>
        <v>279.20000000000039</v>
      </c>
      <c r="CU90" s="17">
        <f>CT90*VLOOKUP('Données projet'!$B$13,Paramètres!$A$1:$I$89,3,0)*VLOOKUP('Données projet'!$B$13,Paramètres!$A$1:$I$89,5,0)</f>
        <v>283.10880000000037</v>
      </c>
      <c r="CV90" s="13">
        <f t="shared" si="95"/>
        <v>67.623564901653921</v>
      </c>
      <c r="CW90" s="20">
        <f t="shared" si="67"/>
        <v>610.85886887038123</v>
      </c>
      <c r="CX90" s="59">
        <f t="shared" si="68"/>
        <v>904.19220220371449</v>
      </c>
      <c r="CY90" s="59">
        <f ca="1">AVERAGE(OFFSET($CX$3,0,0,'Données projet'!$E$13+1,1))-AVERAGE(OFFSET($H$3,0,0,'Données projet'!$E$13+1,1))</f>
        <v>279.20364724206644</v>
      </c>
      <c r="CZ90" s="59">
        <f t="shared" si="96"/>
        <v>173.99850582760712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0.71668741654450407</v>
      </c>
      <c r="DH90" s="21">
        <f>EXP(-LN(2)/2)*DH89+(1-EXP(-LN(2)/2))/(LN(2)/2)*DB90*DE90*VLOOKUP('Données projet'!$B$13,Paramètres!$A$1:$I$89,3,0)*0.475*44/12</f>
        <v>1.8271549478575887E-8</v>
      </c>
      <c r="DI90" s="22">
        <f t="shared" si="69"/>
        <v>0.71668743481605357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5.6</v>
      </c>
      <c r="DO90" s="12">
        <f>IF('Données projet'!$A$166&gt;35,DO89+DN90-DW89,IF(A90&lt;'Données projet'!$A$166,$DL$205^A90,IF(A90='Données projet'!$A$166,'Données projet'!$B$166,DO89+DN90-DW89)))</f>
        <v>279.20000000000039</v>
      </c>
      <c r="DP90" s="17">
        <f>DO90*VLOOKUP('Données projet'!$B$14,Paramètres!$A$1:$I$89,3,0)*VLOOKUP('Données projet'!$B$14,Paramètres!$A$1:$I$89,5,0)</f>
        <v>291.81984000000045</v>
      </c>
      <c r="DQ90" s="13">
        <f t="shared" si="97"/>
        <v>69.458838292763431</v>
      </c>
      <c r="DR90" s="20">
        <f t="shared" si="70"/>
        <v>629.22703135989707</v>
      </c>
      <c r="DS90" s="59">
        <f t="shared" si="71"/>
        <v>922.56036469323044</v>
      </c>
      <c r="DT90" s="59">
        <f ca="1">AVERAGE(OFFSET($DS$3,0,0,'Données projet'!$E$14+1,1))-AVERAGE(OFFSET($H$3,0,0,'Données projet'!$E$14+1,1))</f>
        <v>291.18074901939718</v>
      </c>
      <c r="DU90" s="59">
        <f t="shared" si="98"/>
        <v>181.05123751753774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0.73873933705356576</v>
      </c>
      <c r="EC90" s="21">
        <f>EXP(-LN(2)/2)*EC89+(1-EXP(-LN(2)/2))/(LN(2)/2)*DW90*DZ90*VLOOKUP('Données projet'!$B$14,Paramètres!$A$1:$I$89,3,0)*0.475*44/12</f>
        <v>1.8833751000993624E-8</v>
      </c>
      <c r="ED90" s="22">
        <f t="shared" si="72"/>
        <v>0.73873935588731676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168.08890945052406</v>
      </c>
      <c r="EP90" s="59">
        <f t="shared" si="100"/>
        <v>182.52462557642343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2.009097752786476</v>
      </c>
      <c r="EW90" s="21">
        <f>EXP(-LN(2)/25)*EW89+(1-EXP(-LN(2)/25))/(LN(2)/25)*Calculateur!ER90*Calculateur!ET90*VLOOKUP('Données projet'!$B$15,Paramètres!$A$1:$I$89,3,0)*0.475*44/12</f>
        <v>2.5389009644237368</v>
      </c>
      <c r="EX90" s="21">
        <f>EXP(-LN(2)/2)*EX89+(1-EXP(-LN(2)/2))/(LN(2)/2)*ER90*EU90*VLOOKUP('Données projet'!$B$15,Paramètres!$A$1:$I$89,3,0)*0.475*44/12</f>
        <v>1.4344923220439685E-8</v>
      </c>
      <c r="EY90" s="22">
        <f t="shared" si="75"/>
        <v>4.5479987315551362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3.813056537183002E-14</v>
      </c>
      <c r="FG90" s="13">
        <f t="shared" si="101"/>
        <v>6.4086286045526829E-13</v>
      </c>
      <c r="FH90" s="20">
        <f t="shared" si="76"/>
        <v>1.1825802166488628E-12</v>
      </c>
      <c r="FI90" s="59">
        <f t="shared" si="77"/>
        <v>293.33333333333451</v>
      </c>
      <c r="FJ90" s="59">
        <f ca="1">AVERAGE(OFFSET($FI$3,0,0,'Données projet'!$E$16+1,1))-AVERAGE(OFFSET($H$3,0,0,'Données projet'!$E$16+1,1))</f>
        <v>156.63226020379989</v>
      </c>
      <c r="FK90" s="59">
        <f t="shared" si="102"/>
        <v>196.0481096619543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1.7851254078049041</v>
      </c>
      <c r="FS90" s="21">
        <f>EXP(-LN(2)/2)*FS89+(1-EXP(-LN(2)/2))/(LN(2)/2)*FM90*FP90*VLOOKUP('Données projet'!$B$16,Paramètres!$A$1:$I$89,3,0)*0.475*44/12</f>
        <v>2.3901137460328764E-8</v>
      </c>
      <c r="FT90" s="22">
        <f t="shared" si="78"/>
        <v>1.7851254317060417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-4.5474735088646412E-13</v>
      </c>
      <c r="GA90" s="17">
        <f>FZ90*VLOOKUP('Données projet'!$B$17,Paramètres!$A$1:$I$89,3,0)*VLOOKUP('Données projet'!$B$17,Paramètres!$A$1:$I$89,5,0)</f>
        <v>-2.7193891583010558E-13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216.94426559495264</v>
      </c>
      <c r="GF90" s="59">
        <f t="shared" si="104"/>
        <v>225.33715877618704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2.6456345099518743</v>
      </c>
      <c r="GN90" s="21">
        <f>EXP(-LN(2)/2)*GN89+(1-EXP(-LN(2)/2))/(LN(2)/2)*GH90*GK90*VLOOKUP('Données projet'!$B$17,Paramètres!$A$1:$I$89,3,0)*0.475*44/12</f>
        <v>6.250735849139598E-8</v>
      </c>
      <c r="GO90" s="21">
        <f t="shared" si="81"/>
        <v>2.6456345724592327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5.6</v>
      </c>
      <c r="GU90" s="12">
        <f>IF('Données projet'!$A$270&gt;35,GU89+GT90-HC89,IF(A90&lt;'Données projet'!$A$270,$GR$205^A90,IF(A90='Données projet'!$A$270,'Données projet'!$B$270,GU89+GT90-HC89)))</f>
        <v>279.20000000000039</v>
      </c>
      <c r="GV90" s="17">
        <f>GU90*VLOOKUP('Données projet'!$B$18,Paramètres!$A$1:$I$89,3,0)*VLOOKUP('Données projet'!$B$18,Paramètres!$A$1:$I$89,5,0)</f>
        <v>270.04224000000039</v>
      </c>
      <c r="GW90" s="13">
        <f t="shared" si="105"/>
        <v>64.858233600288202</v>
      </c>
      <c r="GX90" s="20">
        <f t="shared" si="82"/>
        <v>583.28499152050256</v>
      </c>
      <c r="GY90" s="59">
        <f t="shared" si="83"/>
        <v>876.61832485383593</v>
      </c>
      <c r="GZ90" s="59">
        <f ca="1">AVERAGE(OFFSET($GY$3,0,0,'Données projet'!$E$18+1,1))-AVERAGE(OFFSET($H$3,0,0,'Données projet'!$E$18+1,1))</f>
        <v>261.22357949323879</v>
      </c>
      <c r="HA90" s="59">
        <f t="shared" si="106"/>
        <v>163.41029152029387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0.68360953578091166</v>
      </c>
      <c r="HI90" s="21">
        <f>EXP(-LN(2)/2)*HI89+(1-EXP(-LN(2)/2))/(LN(2)/2)*HC90*HF90*VLOOKUP('Données projet'!$B$18,Paramètres!$A$1:$I$89,3,0)*0.475*44/12</f>
        <v>1.7428247194949306E-8</v>
      </c>
      <c r="HJ90" s="22">
        <f t="shared" si="84"/>
        <v>0.68360955320915884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237.22177246688199</v>
      </c>
      <c r="T91" s="59">
        <f t="shared" si="88"/>
        <v>149.27472147904302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3.1</v>
      </c>
      <c r="AI91" s="13">
        <f>IF('Données projet'!$A$62&gt;35,AI90+AH91-AQ90,IF(A91&lt;'Données projet'!$A$62,$AF$205^A91,IF(A91='Données projet'!$A$62,'Données projet'!$B$62,AI90+AH91-AQ90)))</f>
        <v>238.79999999999981</v>
      </c>
      <c r="AJ91" s="13">
        <f>AI91*VLOOKUP('Données projet'!$B$10,Paramètres!$A$1:$I$89,3,0)*VLOOKUP('Données projet'!$B$10,Paramètres!$A$1:$I$89,5,0)</f>
        <v>208.61567999999986</v>
      </c>
      <c r="AK91" s="13">
        <f t="shared" si="89"/>
        <v>51.63296060480328</v>
      </c>
      <c r="AL91" s="20">
        <f t="shared" si="58"/>
        <v>453.26638238669875</v>
      </c>
      <c r="AM91" s="59">
        <f t="shared" si="59"/>
        <v>746.59971572003201</v>
      </c>
      <c r="AN91" s="59">
        <f ca="1">AVERAGE(OFFSET($AM$3,0,0,'Données projet'!$E$10+1,1))-AVERAGE(OFFSET($H$3,0,0,'Données projet'!$E$10+1,1))</f>
        <v>210.07838338464626</v>
      </c>
      <c r="AO91" s="59">
        <f t="shared" si="90"/>
        <v>241.76003724236273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1.6805212647746985</v>
      </c>
      <c r="AV91" s="21">
        <f>EXP(-LN(2)/25)*AV90+(1-EXP(-LN(2)/25))/(LN(2)/25)*Calculateur!AQ91*Calculateur!AS91*VLOOKUP('Données projet'!$B$10,Paramètres!$A$1:$I$89,3,0)*0.475*44/12</f>
        <v>2.7156082458875619</v>
      </c>
      <c r="AW91" s="21">
        <f>EXP(-LN(2)/2)*AW90+(1-EXP(-LN(2)/2))/(LN(2)/2)*AQ91*AT91*VLOOKUP('Données projet'!$B$10,Paramètres!$A$1:$I$89,3,0)*0.475*44/12</f>
        <v>2.974909631693607E-8</v>
      </c>
      <c r="AX91" s="21">
        <f t="shared" si="60"/>
        <v>4.3961295404113567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6.2527760746888816E-13</v>
      </c>
      <c r="BE91" s="13">
        <f>BD91*VLOOKUP('Données projet'!$B$11,Paramètres!$A$1:$I$89,3,0)*VLOOKUP('Données projet'!$B$11,Paramètres!$A$1:$I$89,5,0)</f>
        <v>3.9017322706058616E-13</v>
      </c>
      <c r="BF91" s="13">
        <f t="shared" si="91"/>
        <v>5.0025007393608908E-12</v>
      </c>
      <c r="BG91" s="20">
        <f t="shared" si="61"/>
        <v>9.3922404915174053E-12</v>
      </c>
      <c r="BH91" s="59">
        <f t="shared" si="62"/>
        <v>293.33333333334269</v>
      </c>
      <c r="BI91" s="59">
        <f ca="1">AVERAGE(OFFSET($BH$3,0,0,'Données projet'!$E$11+1,1))-AVERAGE(OFFSET($H$3,0,0,'Données projet'!$E$11+1,1))</f>
        <v>209.93608079129638</v>
      </c>
      <c r="BJ91" s="59">
        <f t="shared" si="92"/>
        <v>240.15652428700969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2.2046645813905781</v>
      </c>
      <c r="BQ91" s="21">
        <f>EXP(-LN(2)/25)*BQ90+(1-EXP(-LN(2)/25))/(LN(2)/25)*Calculateur!BL91*Calculateur!BN91*VLOOKUP('Données projet'!$B$11,Paramètres!$A$1:$I$89,3,0)*0.475*44/12</f>
        <v>4.1631418209167181</v>
      </c>
      <c r="BR91" s="21">
        <f>EXP(-LN(2)/2)*BR90+(1-EXP(-LN(2)/2))/(LN(2)/2)*BL91*BO91*VLOOKUP('Données projet'!$B$11,Paramètres!$A$1:$I$89,3,0)*0.475*44/12</f>
        <v>3.7608324557012141E-8</v>
      </c>
      <c r="BS91" s="22">
        <f t="shared" si="63"/>
        <v>6.3678064399156211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17.5</v>
      </c>
      <c r="BY91" s="12">
        <f>IF('Données projet'!$A$114&gt;35,BY90+BX91-CG90,IF(A91&lt;'Données projet'!$A$114,$BV$205^A91,IF(A91='Données projet'!$A$114,'Données projet'!$B$114,BY90+BX91-CG90)))</f>
        <v>589.59999999999991</v>
      </c>
      <c r="BZ91" s="13">
        <f>BY91*VLOOKUP('Données projet'!$B$12,Paramètres!$A$1:$I$89,3,0)*VLOOKUP('Données projet'!$B$12,Paramètres!$A$1:$I$89,5,0)</f>
        <v>275.93279999999999</v>
      </c>
      <c r="CA91" s="13">
        <f t="shared" si="93"/>
        <v>66.106762012556132</v>
      </c>
      <c r="CB91" s="20">
        <f t="shared" si="64"/>
        <v>595.7189038385352</v>
      </c>
      <c r="CC91" s="59">
        <f t="shared" si="65"/>
        <v>889.05223717186846</v>
      </c>
      <c r="CD91" s="59">
        <f ca="1">AVERAGE(OFFSET($CC$3,0,0,'Données projet'!$E$12+1,1))-AVERAGE(OFFSET($H$3,0,0,'Données projet'!$E$12+1,1))</f>
        <v>215.23235148064941</v>
      </c>
      <c r="CE91" s="59">
        <f t="shared" si="94"/>
        <v>184.07239726900434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0.99387066709294991</v>
      </c>
      <c r="CL91" s="21">
        <f>EXP(-LN(2)/25)*CL90+(1-EXP(-LN(2)/25))/(LN(2)/25)*Calculateur!CG91*Calculateur!CI91*VLOOKUP('Données projet'!$B$12,Paramètres!$A$1:$I$89,3,0)*0.475*44/12</f>
        <v>1.5731939671157487</v>
      </c>
      <c r="CM91" s="21">
        <f>EXP(-LN(2)/2)*CM90+(1-EXP(-LN(2)/2))/(LN(2)/2)*CG91*CJ91*VLOOKUP('Données projet'!$B$12,Paramètres!$A$1:$I$89,3,0)*0.475*44/12</f>
        <v>1.8313855827406034E-8</v>
      </c>
      <c r="CN91" s="22">
        <f t="shared" si="66"/>
        <v>2.5670646525225544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5.6</v>
      </c>
      <c r="CT91" s="12">
        <f>IF('Données projet'!$A$140&gt;35,CT90+CS91-DB90,IF(A91&lt;'Données projet'!$A$140,$CQ$205^A91,IF(A91='Données projet'!$A$140,'Données projet'!$B$140,CT90+CS91-DB90)))</f>
        <v>284.80000000000041</v>
      </c>
      <c r="CU91" s="17">
        <f>CT91*VLOOKUP('Données projet'!$B$13,Paramètres!$A$1:$I$89,3,0)*VLOOKUP('Données projet'!$B$13,Paramètres!$A$1:$I$89,5,0)</f>
        <v>288.78720000000044</v>
      </c>
      <c r="CV91" s="13">
        <f t="shared" si="95"/>
        <v>68.82064405344255</v>
      </c>
      <c r="CW91" s="20">
        <f t="shared" si="67"/>
        <v>622.8336617264132</v>
      </c>
      <c r="CX91" s="59">
        <f t="shared" si="68"/>
        <v>916.16699505974657</v>
      </c>
      <c r="CY91" s="59">
        <f ca="1">AVERAGE(OFFSET($CX$3,0,0,'Données projet'!$E$13+1,1))-AVERAGE(OFFSET($H$3,0,0,'Données projet'!$E$13+1,1))</f>
        <v>279.20364724206644</v>
      </c>
      <c r="CZ91" s="59">
        <f t="shared" si="96"/>
        <v>173.99850582760712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0.69708956145014134</v>
      </c>
      <c r="DH91" s="21">
        <f>EXP(-LN(2)/2)*DH90+(1-EXP(-LN(2)/2))/(LN(2)/2)*DB91*DE91*VLOOKUP('Données projet'!$B$13,Paramètres!$A$1:$I$89,3,0)*0.475*44/12</f>
        <v>1.2919936539086536E-8</v>
      </c>
      <c r="DI91" s="22">
        <f t="shared" si="69"/>
        <v>0.6970895743700779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5.6</v>
      </c>
      <c r="DO91" s="12">
        <f>IF('Données projet'!$A$166&gt;35,DO90+DN91-DW90,IF(A91&lt;'Données projet'!$A$166,$DL$205^A91,IF(A91='Données projet'!$A$166,'Données projet'!$B$166,DO90+DN91-DW90)))</f>
        <v>284.80000000000041</v>
      </c>
      <c r="DP91" s="17">
        <f>DO91*VLOOKUP('Données projet'!$B$14,Paramètres!$A$1:$I$89,3,0)*VLOOKUP('Données projet'!$B$14,Paramètres!$A$1:$I$89,5,0)</f>
        <v>297.67296000000044</v>
      </c>
      <c r="DQ91" s="13">
        <f t="shared" si="97"/>
        <v>70.688405638830559</v>
      </c>
      <c r="DR91" s="20">
        <f t="shared" si="70"/>
        <v>641.56271182096395</v>
      </c>
      <c r="DS91" s="59">
        <f t="shared" si="71"/>
        <v>934.89604515429733</v>
      </c>
      <c r="DT91" s="59">
        <f ca="1">AVERAGE(OFFSET($DS$3,0,0,'Données projet'!$E$14+1,1))-AVERAGE(OFFSET($H$3,0,0,'Données projet'!$E$14+1,1))</f>
        <v>291.18074901939718</v>
      </c>
      <c r="DU91" s="59">
        <f t="shared" si="98"/>
        <v>181.05123751753774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0.71853847103322266</v>
      </c>
      <c r="EC91" s="21">
        <f>EXP(-LN(2)/2)*EC90+(1-EXP(-LN(2)/2))/(LN(2)/2)*DW91*DZ91*VLOOKUP('Données projet'!$B$14,Paramètres!$A$1:$I$89,3,0)*0.475*44/12</f>
        <v>1.3317473047981519E-8</v>
      </c>
      <c r="ED91" s="22">
        <f t="shared" si="72"/>
        <v>0.71853848435069567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168.08890945052406</v>
      </c>
      <c r="EP91" s="59">
        <f t="shared" si="100"/>
        <v>182.52462557642343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1.9697005712829614</v>
      </c>
      <c r="EW91" s="21">
        <f>EXP(-LN(2)/25)*EW90+(1-EXP(-LN(2)/25))/(LN(2)/25)*Calculateur!ER91*Calculateur!ET91*VLOOKUP('Données projet'!$B$15,Paramètres!$A$1:$I$89,3,0)*0.475*44/12</f>
        <v>2.4694745840365706</v>
      </c>
      <c r="EX91" s="21">
        <f>EXP(-LN(2)/2)*EX90+(1-EXP(-LN(2)/2))/(LN(2)/2)*ER91*EU91*VLOOKUP('Données projet'!$B$15,Paramètres!$A$1:$I$89,3,0)*0.475*44/12</f>
        <v>1.0143392484773269E-8</v>
      </c>
      <c r="EY91" s="22">
        <f t="shared" si="75"/>
        <v>4.4391751654629248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3.813056537183002E-14</v>
      </c>
      <c r="FG91" s="13">
        <f t="shared" si="101"/>
        <v>6.4086286045526829E-13</v>
      </c>
      <c r="FH91" s="20">
        <f t="shared" si="76"/>
        <v>1.1825802166488628E-12</v>
      </c>
      <c r="FI91" s="59">
        <f t="shared" si="77"/>
        <v>293.33333333333451</v>
      </c>
      <c r="FJ91" s="59">
        <f ca="1">AVERAGE(OFFSET($FI$3,0,0,'Données projet'!$E$16+1,1))-AVERAGE(OFFSET($H$3,0,0,'Données projet'!$E$16+1,1))</f>
        <v>156.63226020379989</v>
      </c>
      <c r="FK91" s="59">
        <f t="shared" si="102"/>
        <v>196.0481096619543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1.7363110596528137</v>
      </c>
      <c r="FS91" s="21">
        <f>EXP(-LN(2)/2)*FS90+(1-EXP(-LN(2)/2))/(LN(2)/2)*FM91*FP91*VLOOKUP('Données projet'!$B$16,Paramètres!$A$1:$I$89,3,0)*0.475*44/12</f>
        <v>1.6900656376270286E-8</v>
      </c>
      <c r="FT91" s="22">
        <f t="shared" si="78"/>
        <v>1.7363110765534702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-4.5474735088646412E-13</v>
      </c>
      <c r="GA91" s="17">
        <f>FZ91*VLOOKUP('Données projet'!$B$17,Paramètres!$A$1:$I$89,3,0)*VLOOKUP('Données projet'!$B$17,Paramètres!$A$1:$I$89,5,0)</f>
        <v>-2.7193891583010558E-13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216.94426559495264</v>
      </c>
      <c r="GF91" s="59">
        <f t="shared" si="104"/>
        <v>225.33715877618704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2.5732894951493681</v>
      </c>
      <c r="GN91" s="21">
        <f>EXP(-LN(2)/2)*GN90+(1-EXP(-LN(2)/2))/(LN(2)/2)*GH91*GK91*VLOOKUP('Données projet'!$B$17,Paramètres!$A$1:$I$89,3,0)*0.475*44/12</f>
        <v>4.4199377063324622E-8</v>
      </c>
      <c r="GO91" s="21">
        <f t="shared" si="81"/>
        <v>2.5732895393487452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5.6</v>
      </c>
      <c r="GU91" s="12">
        <f>IF('Données projet'!$A$270&gt;35,GU90+GT91-HC90,IF(A91&lt;'Données projet'!$A$270,$GR$205^A91,IF(A91='Données projet'!$A$270,'Données projet'!$B$270,GU90+GT91-HC90)))</f>
        <v>284.80000000000041</v>
      </c>
      <c r="GV91" s="17">
        <f>GU91*VLOOKUP('Données projet'!$B$18,Paramètres!$A$1:$I$89,3,0)*VLOOKUP('Données projet'!$B$18,Paramètres!$A$1:$I$89,5,0)</f>
        <v>275.45856000000038</v>
      </c>
      <c r="GW91" s="13">
        <f t="shared" si="105"/>
        <v>66.006360579066268</v>
      </c>
      <c r="GX91" s="20">
        <f t="shared" si="82"/>
        <v>594.71807000854108</v>
      </c>
      <c r="GY91" s="59">
        <f t="shared" si="83"/>
        <v>888.05140334187445</v>
      </c>
      <c r="GZ91" s="59">
        <f ca="1">AVERAGE(OFFSET($GY$3,0,0,'Données projet'!$E$18+1,1))-AVERAGE(OFFSET($H$3,0,0,'Données projet'!$E$18+1,1))</f>
        <v>261.22357949323879</v>
      </c>
      <c r="HA91" s="59">
        <f t="shared" si="106"/>
        <v>163.41029152029387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0.66491619707551952</v>
      </c>
      <c r="HI91" s="21">
        <f>EXP(-LN(2)/2)*HI90+(1-EXP(-LN(2)/2))/(LN(2)/2)*HC91*HF91*VLOOKUP('Données projet'!$B$18,Paramètres!$A$1:$I$89,3,0)*0.475*44/12</f>
        <v>1.232363177574408E-8</v>
      </c>
      <c r="HJ91" s="22">
        <f t="shared" si="84"/>
        <v>0.6649162093991513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237.22177246688199</v>
      </c>
      <c r="T92" s="59">
        <f t="shared" si="88"/>
        <v>149.27472147904302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3.1</v>
      </c>
      <c r="AI92" s="13">
        <f>IF('Données projet'!$A$62&gt;35,AI91+AH92-AQ91,IF(A92&lt;'Données projet'!$A$62,$AF$205^A92,IF(A92='Données projet'!$A$62,'Données projet'!$B$62,AI91+AH92-AQ91)))</f>
        <v>241.89999999999981</v>
      </c>
      <c r="AJ92" s="13">
        <f>AI92*VLOOKUP('Données projet'!$B$10,Paramètres!$A$1:$I$89,3,0)*VLOOKUP('Données projet'!$B$10,Paramètres!$A$1:$I$89,5,0)</f>
        <v>211.32383999999988</v>
      </c>
      <c r="AK92" s="13">
        <f t="shared" si="89"/>
        <v>52.224772154518632</v>
      </c>
      <c r="AL92" s="20">
        <f t="shared" si="58"/>
        <v>459.01383283578645</v>
      </c>
      <c r="AM92" s="59">
        <f t="shared" si="59"/>
        <v>752.34716616911976</v>
      </c>
      <c r="AN92" s="59">
        <f ca="1">AVERAGE(OFFSET($AM$3,0,0,'Données projet'!$E$10+1,1))-AVERAGE(OFFSET($H$3,0,0,'Données projet'!$E$10+1,1))</f>
        <v>210.07838338464626</v>
      </c>
      <c r="AO92" s="59">
        <f t="shared" si="90"/>
        <v>241.76003724236273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1.6475672677892261</v>
      </c>
      <c r="AV92" s="21">
        <f>EXP(-LN(2)/25)*AV91+(1-EXP(-LN(2)/25))/(LN(2)/25)*Calculateur!AQ92*Calculateur!AS92*VLOOKUP('Données projet'!$B$10,Paramètres!$A$1:$I$89,3,0)*0.475*44/12</f>
        <v>2.6413497955961356</v>
      </c>
      <c r="AW92" s="21">
        <f>EXP(-LN(2)/2)*AW91+(1-EXP(-LN(2)/2))/(LN(2)/2)*AQ92*AT92*VLOOKUP('Données projet'!$B$10,Paramètres!$A$1:$I$89,3,0)*0.475*44/12</f>
        <v>2.1035787739877243E-8</v>
      </c>
      <c r="AX92" s="21">
        <f t="shared" si="60"/>
        <v>4.2889170844211488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6.2527760746888816E-13</v>
      </c>
      <c r="BE92" s="13">
        <f>BD92*VLOOKUP('Données projet'!$B$11,Paramètres!$A$1:$I$89,3,0)*VLOOKUP('Données projet'!$B$11,Paramètres!$A$1:$I$89,5,0)</f>
        <v>3.9017322706058616E-13</v>
      </c>
      <c r="BF92" s="13">
        <f t="shared" si="91"/>
        <v>5.0025007393608908E-12</v>
      </c>
      <c r="BG92" s="20">
        <f t="shared" si="61"/>
        <v>9.3922404915174053E-12</v>
      </c>
      <c r="BH92" s="59">
        <f t="shared" si="62"/>
        <v>293.33333333334269</v>
      </c>
      <c r="BI92" s="59">
        <f ca="1">AVERAGE(OFFSET($BH$3,0,0,'Données projet'!$E$11+1,1))-AVERAGE(OFFSET($H$3,0,0,'Données projet'!$E$11+1,1))</f>
        <v>209.93608079129638</v>
      </c>
      <c r="BJ92" s="59">
        <f t="shared" si="92"/>
        <v>240.15652428700969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2.1614324536621243</v>
      </c>
      <c r="BQ92" s="21">
        <f>EXP(-LN(2)/25)*BQ91+(1-EXP(-LN(2)/25))/(LN(2)/25)*Calculateur!BL92*Calculateur!BN92*VLOOKUP('Données projet'!$B$11,Paramètres!$A$1:$I$89,3,0)*0.475*44/12</f>
        <v>4.0493004888936373</v>
      </c>
      <c r="BR92" s="21">
        <f>EXP(-LN(2)/2)*BR91+(1-EXP(-LN(2)/2))/(LN(2)/2)*BL92*BO92*VLOOKUP('Données projet'!$B$11,Paramètres!$A$1:$I$89,3,0)*0.475*44/12</f>
        <v>2.6593101323327846E-8</v>
      </c>
      <c r="BS92" s="22">
        <f t="shared" si="63"/>
        <v>6.2107329691488626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17.5</v>
      </c>
      <c r="BY92" s="12">
        <f>IF('Données projet'!$A$114&gt;35,BY91+BX92-CG91,IF(A92&lt;'Données projet'!$A$114,$BV$205^A92,IF(A92='Données projet'!$A$114,'Données projet'!$B$114,BY91+BX92-CG91)))</f>
        <v>607.09999999999991</v>
      </c>
      <c r="BZ92" s="13">
        <f>BY92*VLOOKUP('Données projet'!$B$12,Paramètres!$A$1:$I$89,3,0)*VLOOKUP('Données projet'!$B$12,Paramètres!$A$1:$I$89,5,0)</f>
        <v>284.12279999999993</v>
      </c>
      <c r="CA92" s="13">
        <f t="shared" si="93"/>
        <v>67.837532462585557</v>
      </c>
      <c r="CB92" s="20">
        <f t="shared" si="64"/>
        <v>612.99757903900297</v>
      </c>
      <c r="CC92" s="59">
        <f t="shared" si="65"/>
        <v>906.33091237233634</v>
      </c>
      <c r="CD92" s="59">
        <f ca="1">AVERAGE(OFFSET($CC$3,0,0,'Données projet'!$E$12+1,1))-AVERAGE(OFFSET($H$3,0,0,'Données projet'!$E$12+1,1))</f>
        <v>215.23235148064941</v>
      </c>
      <c r="CE92" s="59">
        <f t="shared" si="94"/>
        <v>184.07239726900434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0.9743814695125067</v>
      </c>
      <c r="CL92" s="21">
        <f>EXP(-LN(2)/25)*CL91+(1-EXP(-LN(2)/25))/(LN(2)/25)*Calculateur!CG92*Calculateur!CI92*VLOOKUP('Données projet'!$B$12,Paramètres!$A$1:$I$89,3,0)*0.475*44/12</f>
        <v>1.5301748953542933</v>
      </c>
      <c r="CM92" s="21">
        <f>EXP(-LN(2)/2)*CM91+(1-EXP(-LN(2)/2))/(LN(2)/2)*CG92*CJ92*VLOOKUP('Données projet'!$B$12,Paramètres!$A$1:$I$89,3,0)*0.475*44/12</f>
        <v>1.2949851645231577E-8</v>
      </c>
      <c r="CN92" s="22">
        <f t="shared" si="66"/>
        <v>2.5045563778166517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5.6</v>
      </c>
      <c r="CT92" s="12">
        <f>IF('Données projet'!$A$140&gt;35,CT91+CS92-DB91,IF(A92&lt;'Données projet'!$A$140,$CQ$205^A92,IF(A92='Données projet'!$A$140,'Données projet'!$B$140,CT91+CS92-DB91)))</f>
        <v>290.40000000000043</v>
      </c>
      <c r="CU92" s="17">
        <f>CT92*VLOOKUP('Données projet'!$B$13,Paramètres!$A$1:$I$89,3,0)*VLOOKUP('Données projet'!$B$13,Paramètres!$A$1:$I$89,5,0)</f>
        <v>294.46560000000045</v>
      </c>
      <c r="CV92" s="13">
        <f t="shared" si="95"/>
        <v>70.014986320104342</v>
      </c>
      <c r="CW92" s="20">
        <f t="shared" si="67"/>
        <v>634.80368784084919</v>
      </c>
      <c r="CX92" s="59">
        <f t="shared" si="68"/>
        <v>928.13702117418256</v>
      </c>
      <c r="CY92" s="59">
        <f ca="1">AVERAGE(OFFSET($CX$3,0,0,'Données projet'!$E$13+1,1))-AVERAGE(OFFSET($H$3,0,0,'Données projet'!$E$13+1,1))</f>
        <v>279.20364724206644</v>
      </c>
      <c r="CZ92" s="59">
        <f t="shared" si="96"/>
        <v>173.99850582760712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0.67802761073394036</v>
      </c>
      <c r="DH92" s="21">
        <f>EXP(-LN(2)/2)*DH91+(1-EXP(-LN(2)/2))/(LN(2)/2)*DB92*DE92*VLOOKUP('Données projet'!$B$13,Paramètres!$A$1:$I$89,3,0)*0.475*44/12</f>
        <v>9.1357747392879433E-9</v>
      </c>
      <c r="DI92" s="22">
        <f t="shared" si="69"/>
        <v>0.67802761986971505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5.6</v>
      </c>
      <c r="DO92" s="12">
        <f>IF('Données projet'!$A$166&gt;35,DO91+DN92-DW91,IF(A92&lt;'Données projet'!$A$166,$DL$205^A92,IF(A92='Données projet'!$A$166,'Données projet'!$B$166,DO91+DN92-DW91)))</f>
        <v>290.40000000000043</v>
      </c>
      <c r="DP92" s="17">
        <f>DO92*VLOOKUP('Données projet'!$B$14,Paramètres!$A$1:$I$89,3,0)*VLOOKUP('Données projet'!$B$14,Paramètres!$A$1:$I$89,5,0)</f>
        <v>303.52608000000049</v>
      </c>
      <c r="DQ92" s="13">
        <f t="shared" si="97"/>
        <v>71.915161821929175</v>
      </c>
      <c r="DR92" s="20">
        <f t="shared" si="70"/>
        <v>653.89349617319419</v>
      </c>
      <c r="DS92" s="59">
        <f t="shared" si="71"/>
        <v>947.22682950652757</v>
      </c>
      <c r="DT92" s="59">
        <f ca="1">AVERAGE(OFFSET($DS$3,0,0,'Données projet'!$E$14+1,1))-AVERAGE(OFFSET($H$3,0,0,'Données projet'!$E$14+1,1))</f>
        <v>291.18074901939718</v>
      </c>
      <c r="DU92" s="59">
        <f t="shared" si="98"/>
        <v>181.05123751753774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0.69888999875652325</v>
      </c>
      <c r="EC92" s="21">
        <f>EXP(-LN(2)/2)*EC91+(1-EXP(-LN(2)/2))/(LN(2)/2)*DW92*DZ92*VLOOKUP('Données projet'!$B$14,Paramètres!$A$1:$I$89,3,0)*0.475*44/12</f>
        <v>9.4168755004968122E-9</v>
      </c>
      <c r="ED92" s="22">
        <f t="shared" si="72"/>
        <v>0.69889000817339875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168.08890945052406</v>
      </c>
      <c r="EP92" s="59">
        <f t="shared" si="100"/>
        <v>182.52462557642343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1.9310759444788228</v>
      </c>
      <c r="EW92" s="21">
        <f>EXP(-LN(2)/25)*EW91+(1-EXP(-LN(2)/25))/(LN(2)/25)*Calculateur!ER92*Calculateur!ET92*VLOOKUP('Données projet'!$B$15,Paramètres!$A$1:$I$89,3,0)*0.475*44/12</f>
        <v>2.4019466716720661</v>
      </c>
      <c r="EX92" s="21">
        <f>EXP(-LN(2)/2)*EX91+(1-EXP(-LN(2)/2))/(LN(2)/2)*ER92*EU92*VLOOKUP('Données projet'!$B$15,Paramètres!$A$1:$I$89,3,0)*0.475*44/12</f>
        <v>7.1724616102198425E-9</v>
      </c>
      <c r="EY92" s="22">
        <f t="shared" si="75"/>
        <v>4.3330226233233509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3.813056537183002E-14</v>
      </c>
      <c r="FG92" s="13">
        <f t="shared" si="101"/>
        <v>6.4086286045526829E-13</v>
      </c>
      <c r="FH92" s="20">
        <f t="shared" si="76"/>
        <v>1.1825802166488628E-12</v>
      </c>
      <c r="FI92" s="59">
        <f t="shared" si="77"/>
        <v>293.33333333333451</v>
      </c>
      <c r="FJ92" s="59">
        <f ca="1">AVERAGE(OFFSET($FI$3,0,0,'Données projet'!$E$16+1,1))-AVERAGE(OFFSET($H$3,0,0,'Données projet'!$E$16+1,1))</f>
        <v>156.63226020379989</v>
      </c>
      <c r="FK92" s="59">
        <f t="shared" si="102"/>
        <v>196.0481096619543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1.6888315424179774</v>
      </c>
      <c r="FS92" s="21">
        <f>EXP(-LN(2)/2)*FS91+(1-EXP(-LN(2)/2))/(LN(2)/2)*FM92*FP92*VLOOKUP('Données projet'!$B$16,Paramètres!$A$1:$I$89,3,0)*0.475*44/12</f>
        <v>1.1950568730164382E-8</v>
      </c>
      <c r="FT92" s="22">
        <f t="shared" si="78"/>
        <v>1.6888315543685462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-4.5474735088646412E-13</v>
      </c>
      <c r="GA92" s="17">
        <f>FZ92*VLOOKUP('Données projet'!$B$17,Paramètres!$A$1:$I$89,3,0)*VLOOKUP('Données projet'!$B$17,Paramètres!$A$1:$I$89,5,0)</f>
        <v>-2.7193891583010558E-13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216.94426559495264</v>
      </c>
      <c r="GF92" s="59">
        <f t="shared" si="104"/>
        <v>225.33715877618704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2.5029227585810956</v>
      </c>
      <c r="GN92" s="21">
        <f>EXP(-LN(2)/2)*GN91+(1-EXP(-LN(2)/2))/(LN(2)/2)*GH92*GK92*VLOOKUP('Données projet'!$B$17,Paramètres!$A$1:$I$89,3,0)*0.475*44/12</f>
        <v>3.125367924569799E-8</v>
      </c>
      <c r="GO92" s="21">
        <f t="shared" si="81"/>
        <v>2.5029227898347748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5.6</v>
      </c>
      <c r="GU92" s="12">
        <f>IF('Données projet'!$A$270&gt;35,GU91+GT92-HC91,IF(A92&lt;'Données projet'!$A$270,$GR$205^A92,IF(A92='Données projet'!$A$270,'Données projet'!$B$270,GU91+GT92-HC91)))</f>
        <v>290.40000000000043</v>
      </c>
      <c r="GV92" s="17">
        <f>GU92*VLOOKUP('Données projet'!$B$18,Paramètres!$A$1:$I$89,3,0)*VLOOKUP('Données projet'!$B$18,Paramètres!$A$1:$I$89,5,0)</f>
        <v>280.87488000000042</v>
      </c>
      <c r="GW92" s="13">
        <f t="shared" si="105"/>
        <v>67.151862592195968</v>
      </c>
      <c r="GX92" s="20">
        <f t="shared" si="82"/>
        <v>606.14657668140865</v>
      </c>
      <c r="GY92" s="59">
        <f t="shared" si="83"/>
        <v>899.47991001474202</v>
      </c>
      <c r="GZ92" s="59">
        <f ca="1">AVERAGE(OFFSET($GY$3,0,0,'Données projet'!$E$18+1,1))-AVERAGE(OFFSET($H$3,0,0,'Données projet'!$E$18+1,1))</f>
        <v>261.22357949323879</v>
      </c>
      <c r="HA92" s="59">
        <f t="shared" si="106"/>
        <v>163.41029152029387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0.64673402870006635</v>
      </c>
      <c r="HI92" s="21">
        <f>EXP(-LN(2)/2)*HI91+(1-EXP(-LN(2)/2))/(LN(2)/2)*HC92*HF92*VLOOKUP('Données projet'!$B$18,Paramètres!$A$1:$I$89,3,0)*0.475*44/12</f>
        <v>8.7141235974746532E-9</v>
      </c>
      <c r="HJ92" s="22">
        <f t="shared" si="84"/>
        <v>0.64673403741419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237.22177246688199</v>
      </c>
      <c r="T93" s="59">
        <f t="shared" si="88"/>
        <v>149.27472147904302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245</v>
      </c>
      <c r="AG93" s="12">
        <f>VLOOKUP(A93,'Données projet'!$A$61:$I$81,9,0)</f>
        <v>3.1</v>
      </c>
      <c r="AH93" s="12">
        <f t="array" ref="AH93">INDEX(AG:AG,MIN(IF(ISNUMBER(AG93:AG289),ROW(AG93:AG289),"")))</f>
        <v>3.1</v>
      </c>
      <c r="AI93" s="13">
        <f>IF('Données projet'!$A$62&gt;35,AI92+AH93-AQ92,IF(A93&lt;'Données projet'!$A$62,$AF$205^A93,IF(A93='Données projet'!$A$62,'Données projet'!$B$62,AI92+AH93-AQ92)))</f>
        <v>244.9999999999998</v>
      </c>
      <c r="AJ93" s="13">
        <f>AI93*VLOOKUP('Données projet'!$B$10,Paramètres!$A$1:$I$89,3,0)*VLOOKUP('Données projet'!$B$10,Paramètres!$A$1:$I$89,5,0)</f>
        <v>214.03199999999987</v>
      </c>
      <c r="AK93" s="13">
        <f t="shared" si="89"/>
        <v>52.815701536972192</v>
      </c>
      <c r="AL93" s="20">
        <f t="shared" si="58"/>
        <v>464.7597468435597</v>
      </c>
      <c r="AM93" s="59">
        <f t="shared" si="59"/>
        <v>758.09308017689295</v>
      </c>
      <c r="AN93" s="59">
        <f ca="1">AVERAGE(OFFSET($AM$3,0,0,'Données projet'!$E$10+1,1))-AVERAGE(OFFSET($H$3,0,0,'Données projet'!$E$10+1,1))</f>
        <v>210.07838338464626</v>
      </c>
      <c r="AO93" s="59">
        <f t="shared" si="90"/>
        <v>241.76003724236273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1.6152594785846854</v>
      </c>
      <c r="AV93" s="21">
        <f>EXP(-LN(2)/25)*AV92+(1-EXP(-LN(2)/25))/(LN(2)/25)*Calculateur!AQ93*Calculateur!AS93*VLOOKUP('Données projet'!$B$10,Paramètres!$A$1:$I$89,3,0)*0.475*44/12</f>
        <v>2.5691219465330102</v>
      </c>
      <c r="AW93" s="21">
        <f>EXP(-LN(2)/2)*AW92+(1-EXP(-LN(2)/2))/(LN(2)/2)*AQ93*AT93*VLOOKUP('Données projet'!$B$10,Paramètres!$A$1:$I$89,3,0)*0.475*44/12</f>
        <v>1.4874548158468038E-8</v>
      </c>
      <c r="AX93" s="21">
        <f t="shared" si="60"/>
        <v>4.1843814399922437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6.2527760746888816E-13</v>
      </c>
      <c r="BE93" s="13">
        <f>BD93*VLOOKUP('Données projet'!$B$11,Paramètres!$A$1:$I$89,3,0)*VLOOKUP('Données projet'!$B$11,Paramètres!$A$1:$I$89,5,0)</f>
        <v>3.9017322706058616E-13</v>
      </c>
      <c r="BF93" s="13">
        <f t="shared" si="91"/>
        <v>5.0025007393608908E-12</v>
      </c>
      <c r="BG93" s="20">
        <f t="shared" si="61"/>
        <v>9.3922404915174053E-12</v>
      </c>
      <c r="BH93" s="59">
        <f t="shared" si="62"/>
        <v>293.33333333334269</v>
      </c>
      <c r="BI93" s="59">
        <f ca="1">AVERAGE(OFFSET($BH$3,0,0,'Données projet'!$E$11+1,1))-AVERAGE(OFFSET($H$3,0,0,'Données projet'!$E$11+1,1))</f>
        <v>209.93608079129638</v>
      </c>
      <c r="BJ93" s="59">
        <f t="shared" si="92"/>
        <v>240.15652428700969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2.119048081589431</v>
      </c>
      <c r="BQ93" s="21">
        <f>EXP(-LN(2)/25)*BQ92+(1-EXP(-LN(2)/25))/(LN(2)/25)*Calculateur!BL93*Calculateur!BN93*VLOOKUP('Données projet'!$B$11,Paramètres!$A$1:$I$89,3,0)*0.475*44/12</f>
        <v>3.9385721540813829</v>
      </c>
      <c r="BR93" s="21">
        <f>EXP(-LN(2)/2)*BR92+(1-EXP(-LN(2)/2))/(LN(2)/2)*BL93*BO93*VLOOKUP('Données projet'!$B$11,Paramètres!$A$1:$I$89,3,0)*0.475*44/12</f>
        <v>1.880416227850607E-8</v>
      </c>
      <c r="BS93" s="22">
        <f t="shared" si="63"/>
        <v>6.0576202544749771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624.6</v>
      </c>
      <c r="BW93" s="12">
        <f>VLOOKUP(A93,'Données projet'!$A$113:$I$133,9,0)</f>
        <v>17.5</v>
      </c>
      <c r="BX93" s="12">
        <f t="array" ref="BX93">INDEX(BW:BW,MIN(IF(ISNUMBER(BW93:BW289),ROW(BW93:BW289),"")))</f>
        <v>17.5</v>
      </c>
      <c r="BY93" s="12">
        <f>IF('Données projet'!$A$114&gt;35,BY92+BX93-CG92,IF(A93&lt;'Données projet'!$A$114,$BV$205^A93,IF(A93='Données projet'!$A$114,'Données projet'!$B$114,BY92+BX93-CG92)))</f>
        <v>624.59999999999991</v>
      </c>
      <c r="BZ93" s="13">
        <f>BY93*VLOOKUP('Données projet'!$B$12,Paramètres!$A$1:$I$89,3,0)*VLOOKUP('Données projet'!$B$12,Paramètres!$A$1:$I$89,5,0)</f>
        <v>292.31279999999998</v>
      </c>
      <c r="CA93" s="13">
        <f t="shared" si="93"/>
        <v>69.562504549179678</v>
      </c>
      <c r="CB93" s="20">
        <f t="shared" si="64"/>
        <v>630.26615542315449</v>
      </c>
      <c r="CC93" s="59">
        <f t="shared" si="65"/>
        <v>923.59948875648774</v>
      </c>
      <c r="CD93" s="59">
        <f ca="1">AVERAGE(OFFSET($CC$3,0,0,'Données projet'!$E$12+1,1))-AVERAGE(OFFSET($H$3,0,0,'Données projet'!$E$12+1,1))</f>
        <v>215.23235148064941</v>
      </c>
      <c r="CE93" s="59">
        <f t="shared" si="94"/>
        <v>184.07239726900434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83.4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0.95527444320937926</v>
      </c>
      <c r="CL93" s="21">
        <f>EXP(-LN(2)/25)*CL92+(1-EXP(-LN(2)/25))/(LN(2)/25)*Calculateur!CG93*Calculateur!CI93*VLOOKUP('Données projet'!$B$12,Paramètres!$A$1:$I$89,3,0)*0.475*44/12</f>
        <v>1.4883321823724296</v>
      </c>
      <c r="CM93" s="21">
        <f>EXP(-LN(2)/2)*CM92+(1-EXP(-LN(2)/2))/(LN(2)/2)*CG93*CJ93*VLOOKUP('Données projet'!$B$12,Paramètres!$A$1:$I$89,3,0)*0.475*44/12</f>
        <v>9.1569279137030168E-9</v>
      </c>
      <c r="CN93" s="22">
        <f t="shared" si="66"/>
        <v>2.4436066347387371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296</v>
      </c>
      <c r="CR93" s="12">
        <f>VLOOKUP(A93,'Données projet'!$A$139:$I$159,9,0)</f>
        <v>5.6</v>
      </c>
      <c r="CS93" s="12">
        <f t="array" ref="CS93">INDEX(CR:CR,MIN(IF(ISNUMBER(CR93:CR289),ROW(CR93:CR289),"")))</f>
        <v>5.6</v>
      </c>
      <c r="CT93" s="12">
        <f>IF('Données projet'!$A$140&gt;35,CT92+CS93-DB92,IF(A93&lt;'Données projet'!$A$140,$CQ$205^A93,IF(A93='Données projet'!$A$140,'Données projet'!$B$140,CT92+CS93-DB92)))</f>
        <v>296.00000000000045</v>
      </c>
      <c r="CU93" s="17">
        <f>CT93*VLOOKUP('Données projet'!$B$13,Paramètres!$A$1:$I$89,3,0)*VLOOKUP('Données projet'!$B$13,Paramètres!$A$1:$I$89,5,0)</f>
        <v>300.14400000000046</v>
      </c>
      <c r="CV93" s="13">
        <f t="shared" si="95"/>
        <v>71.206650563609927</v>
      </c>
      <c r="CW93" s="20">
        <f t="shared" si="67"/>
        <v>646.76904973162129</v>
      </c>
      <c r="CX93" s="59">
        <f t="shared" si="68"/>
        <v>940.10238306495467</v>
      </c>
      <c r="CY93" s="59">
        <f ca="1">AVERAGE(OFFSET($CX$3,0,0,'Données projet'!$E$13+1,1))-AVERAGE(OFFSET($H$3,0,0,'Données projet'!$E$13+1,1))</f>
        <v>279.20364724206644</v>
      </c>
      <c r="CZ93" s="59">
        <f t="shared" si="96"/>
        <v>173.99850582760712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42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0.65948691006249838</v>
      </c>
      <c r="DH93" s="21">
        <f>EXP(-LN(2)/2)*DH92+(1-EXP(-LN(2)/2))/(LN(2)/2)*DB93*DE93*VLOOKUP('Données projet'!$B$13,Paramètres!$A$1:$I$89,3,0)*0.475*44/12</f>
        <v>6.459968269543268E-9</v>
      </c>
      <c r="DI93" s="22">
        <f t="shared" si="69"/>
        <v>0.6594869165224666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296</v>
      </c>
      <c r="DM93" s="12">
        <f>VLOOKUP(A93,'Données projet'!$A$165:$I$185,9,0)</f>
        <v>5.6</v>
      </c>
      <c r="DN93" s="12">
        <f t="array" ref="DN93">INDEX(DM:DM,MIN(IF(ISNUMBER(DM93:DM289),ROW(DM93:DM289),"")))</f>
        <v>5.6</v>
      </c>
      <c r="DO93" s="12">
        <f>IF('Données projet'!$A$166&gt;35,DO92+DN93-DW92,IF(A93&lt;'Données projet'!$A$166,$DL$205^A93,IF(A93='Données projet'!$A$166,'Données projet'!$B$166,DO92+DN93-DW92)))</f>
        <v>296.00000000000045</v>
      </c>
      <c r="DP93" s="17">
        <f>DO93*VLOOKUP('Données projet'!$B$14,Paramètres!$A$1:$I$89,3,0)*VLOOKUP('Données projet'!$B$14,Paramètres!$A$1:$I$89,5,0)</f>
        <v>309.37920000000048</v>
      </c>
      <c r="DQ93" s="13">
        <f t="shared" si="97"/>
        <v>73.139167301517574</v>
      </c>
      <c r="DR93" s="20">
        <f t="shared" si="70"/>
        <v>666.2194897168107</v>
      </c>
      <c r="DS93" s="59">
        <f t="shared" si="71"/>
        <v>959.55282305014407</v>
      </c>
      <c r="DT93" s="59">
        <f ca="1">AVERAGE(OFFSET($DS$3,0,0,'Données projet'!$E$14+1,1))-AVERAGE(OFFSET($H$3,0,0,'Données projet'!$E$14+1,1))</f>
        <v>291.18074901939718</v>
      </c>
      <c r="DU93" s="59">
        <f t="shared" si="98"/>
        <v>181.05123751753774</v>
      </c>
      <c r="DV93" s="15">
        <f>IF(ISNA(VLOOKUP(A93,'Données projet'!$A$165:$I$185,3,0)),0,VLOOKUP(A93,'Données projet'!$A$165:$I$185,3,0))</f>
        <v>7</v>
      </c>
      <c r="DW93" s="15">
        <f>IF(ISNA(VLOOKUP(A93,'Données projet'!$A$165:$I$185,4,0)),0,VLOOKUP(A93,'Données projet'!$A$165:$I$185,4,0))</f>
        <v>42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0.67977881498749837</v>
      </c>
      <c r="EC93" s="21">
        <f>EXP(-LN(2)/2)*EC92+(1-EXP(-LN(2)/2))/(LN(2)/2)*DW93*DZ93*VLOOKUP('Données projet'!$B$14,Paramètres!$A$1:$I$89,3,0)*0.475*44/12</f>
        <v>6.6587365239907597E-9</v>
      </c>
      <c r="ED93" s="22">
        <f t="shared" si="72"/>
        <v>0.67977882164623493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168.08890945052406</v>
      </c>
      <c r="EP93" s="59">
        <f t="shared" si="100"/>
        <v>182.52462557642343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1.8932087230476171</v>
      </c>
      <c r="EW93" s="21">
        <f>EXP(-LN(2)/25)*EW92+(1-EXP(-LN(2)/25))/(LN(2)/25)*Calculateur!ER93*Calculateur!ET93*VLOOKUP('Données projet'!$B$15,Paramètres!$A$1:$I$89,3,0)*0.475*44/12</f>
        <v>2.3362653136223077</v>
      </c>
      <c r="EX93" s="21">
        <f>EXP(-LN(2)/2)*EX92+(1-EXP(-LN(2)/2))/(LN(2)/2)*ER93*EU93*VLOOKUP('Données projet'!$B$15,Paramètres!$A$1:$I$89,3,0)*0.475*44/12</f>
        <v>5.0716962423866344E-9</v>
      </c>
      <c r="EY93" s="22">
        <f t="shared" si="75"/>
        <v>4.2294740417416206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3.813056537183002E-14</v>
      </c>
      <c r="FG93" s="13">
        <f t="shared" si="101"/>
        <v>6.4086286045526829E-13</v>
      </c>
      <c r="FH93" s="20">
        <f t="shared" si="76"/>
        <v>1.1825802166488628E-12</v>
      </c>
      <c r="FI93" s="59">
        <f t="shared" si="77"/>
        <v>293.33333333333451</v>
      </c>
      <c r="FJ93" s="59">
        <f ca="1">AVERAGE(OFFSET($FI$3,0,0,'Données projet'!$E$16+1,1))-AVERAGE(OFFSET($H$3,0,0,'Données projet'!$E$16+1,1))</f>
        <v>156.63226020379989</v>
      </c>
      <c r="FK93" s="59">
        <f t="shared" si="102"/>
        <v>196.0481096619543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1.6426503550787668</v>
      </c>
      <c r="FS93" s="21">
        <f>EXP(-LN(2)/2)*FS92+(1-EXP(-LN(2)/2))/(LN(2)/2)*FM93*FP93*VLOOKUP('Données projet'!$B$16,Paramètres!$A$1:$I$89,3,0)*0.475*44/12</f>
        <v>8.4503281881351429E-9</v>
      </c>
      <c r="FT93" s="22">
        <f t="shared" si="78"/>
        <v>1.642650363529095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-4.5474735088646412E-13</v>
      </c>
      <c r="GA93" s="17">
        <f>FZ93*VLOOKUP('Données projet'!$B$17,Paramètres!$A$1:$I$89,3,0)*VLOOKUP('Données projet'!$B$17,Paramètres!$A$1:$I$89,5,0)</f>
        <v>-2.7193891583010558E-13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216.94426559495264</v>
      </c>
      <c r="GF93" s="59">
        <f t="shared" si="104"/>
        <v>225.33715877618704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2.434480204124708</v>
      </c>
      <c r="GN93" s="21">
        <f>EXP(-LN(2)/2)*GN92+(1-EXP(-LN(2)/2))/(LN(2)/2)*GH93*GK93*VLOOKUP('Données projet'!$B$17,Paramètres!$A$1:$I$89,3,0)*0.475*44/12</f>
        <v>2.2099688531662311E-8</v>
      </c>
      <c r="GO93" s="21">
        <f t="shared" si="81"/>
        <v>2.4344802262243967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296</v>
      </c>
      <c r="GS93" s="12">
        <f>VLOOKUP(A93,'Données projet'!$A$269:$I$289,9,0)</f>
        <v>5.6</v>
      </c>
      <c r="GT93" s="12">
        <f t="array" ref="GT93">INDEX(GS:GS,MIN(IF(ISNUMBER(GS93:GS289),ROW(GS93:GS289),"")))</f>
        <v>5.6</v>
      </c>
      <c r="GU93" s="12">
        <f>IF('Données projet'!$A$270&gt;35,GU92+GT93-HC92,IF(A93&lt;'Données projet'!$A$270,$GR$205^A93,IF(A93='Données projet'!$A$270,'Données projet'!$B$270,GU92+GT93-HC92)))</f>
        <v>296.00000000000045</v>
      </c>
      <c r="GV93" s="17">
        <f>GU93*VLOOKUP('Données projet'!$B$18,Paramètres!$A$1:$I$89,3,0)*VLOOKUP('Données projet'!$B$18,Paramètres!$A$1:$I$89,5,0)</f>
        <v>286.29120000000046</v>
      </c>
      <c r="GW93" s="13">
        <f t="shared" si="105"/>
        <v>68.294796094604521</v>
      </c>
      <c r="GX93" s="20">
        <f t="shared" si="82"/>
        <v>617.57060986477029</v>
      </c>
      <c r="GY93" s="59">
        <f t="shared" si="83"/>
        <v>910.90394319810366</v>
      </c>
      <c r="GZ93" s="59">
        <f ca="1">AVERAGE(OFFSET($GY$3,0,0,'Données projet'!$E$18+1,1))-AVERAGE(OFFSET($H$3,0,0,'Données projet'!$E$18+1,1))</f>
        <v>261.22357949323879</v>
      </c>
      <c r="HA93" s="59">
        <f t="shared" si="106"/>
        <v>163.41029152029387</v>
      </c>
      <c r="HB93" s="15">
        <f>IF(ISNA(VLOOKUP(A93,'Données projet'!$A$269:$I$289,3,0)),0,VLOOKUP(A93,'Données projet'!$A$269:$I$289,3,0))</f>
        <v>7</v>
      </c>
      <c r="HC93" s="15">
        <f>IF(ISNA(VLOOKUP(A93,'Données projet'!$A$269:$I$289,4,0)),0,VLOOKUP(A93,'Données projet'!$A$269:$I$289,4,0))</f>
        <v>42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0.62904905267499855</v>
      </c>
      <c r="HI93" s="21">
        <f>EXP(-LN(2)/2)*HI92+(1-EXP(-LN(2)/2))/(LN(2)/2)*HC93*HF93*VLOOKUP('Données projet'!$B$18,Paramètres!$A$1:$I$89,3,0)*0.475*44/12</f>
        <v>6.1618158878720401E-9</v>
      </c>
      <c r="HJ93" s="22">
        <f t="shared" si="84"/>
        <v>0.62904905883681439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237.22177246688199</v>
      </c>
      <c r="T94" s="59">
        <f t="shared" si="88"/>
        <v>149.27472147904302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2.9</v>
      </c>
      <c r="AI94" s="13">
        <f>IF('Données projet'!$A$62&gt;35,AI93+AH94-AQ93,IF(A94&lt;'Données projet'!$A$62,$AF$205^A94,IF(A94='Données projet'!$A$62,'Données projet'!$B$62,AI93+AH94-AQ93)))</f>
        <v>224.89999999999981</v>
      </c>
      <c r="AJ94" s="13">
        <f>AI94*VLOOKUP('Données projet'!$B$10,Paramètres!$A$1:$I$89,3,0)*VLOOKUP('Données projet'!$B$10,Paramètres!$A$1:$I$89,5,0)</f>
        <v>196.47263999999984</v>
      </c>
      <c r="AK94" s="13">
        <f t="shared" si="89"/>
        <v>48.96815976786322</v>
      </c>
      <c r="AL94" s="20">
        <f t="shared" si="58"/>
        <v>427.47605959569478</v>
      </c>
      <c r="AM94" s="59">
        <f t="shared" si="59"/>
        <v>720.80939292902804</v>
      </c>
      <c r="AN94" s="59">
        <f ca="1">AVERAGE(OFFSET($AM$3,0,0,'Données projet'!$E$10+1,1))-AVERAGE(OFFSET($H$3,0,0,'Données projet'!$E$10+1,1))</f>
        <v>210.07838338464626</v>
      </c>
      <c r="AO94" s="59">
        <f t="shared" si="90"/>
        <v>241.76003724236273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1.5835852254206402</v>
      </c>
      <c r="AV94" s="21">
        <f>EXP(-LN(2)/25)*AV93+(1-EXP(-LN(2)/25))/(LN(2)/25)*Calculateur!AQ94*Calculateur!AS94*VLOOKUP('Données projet'!$B$10,Paramètres!$A$1:$I$89,3,0)*0.475*44/12</f>
        <v>2.4988691718008136</v>
      </c>
      <c r="AW94" s="21">
        <f>EXP(-LN(2)/2)*AW93+(1-EXP(-LN(2)/2))/(LN(2)/2)*AQ94*AT94*VLOOKUP('Données projet'!$B$10,Paramètres!$A$1:$I$89,3,0)*0.475*44/12</f>
        <v>1.0517893869938623E-8</v>
      </c>
      <c r="AX94" s="21">
        <f t="shared" si="60"/>
        <v>4.0824544077393483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6.2527760746888816E-13</v>
      </c>
      <c r="BE94" s="13">
        <f>BD94*VLOOKUP('Données projet'!$B$11,Paramètres!$A$1:$I$89,3,0)*VLOOKUP('Données projet'!$B$11,Paramètres!$A$1:$I$89,5,0)</f>
        <v>3.9017322706058616E-13</v>
      </c>
      <c r="BF94" s="13">
        <f t="shared" si="91"/>
        <v>5.0025007393608908E-12</v>
      </c>
      <c r="BG94" s="20">
        <f t="shared" si="61"/>
        <v>9.3922404915174053E-12</v>
      </c>
      <c r="BH94" s="59">
        <f t="shared" si="62"/>
        <v>293.33333333334269</v>
      </c>
      <c r="BI94" s="59">
        <f ca="1">AVERAGE(OFFSET($BH$3,0,0,'Données projet'!$E$11+1,1))-AVERAGE(OFFSET($H$3,0,0,'Données projet'!$E$11+1,1))</f>
        <v>209.93608079129638</v>
      </c>
      <c r="BJ94" s="59">
        <f t="shared" si="92"/>
        <v>240.15652428700969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2.0774948412011689</v>
      </c>
      <c r="BQ94" s="21">
        <f>EXP(-LN(2)/25)*BQ93+(1-EXP(-LN(2)/25))/(LN(2)/25)*Calculateur!BL94*Calculateur!BN94*VLOOKUP('Données projet'!$B$11,Paramètres!$A$1:$I$89,3,0)*0.475*44/12</f>
        <v>3.8308716914075198</v>
      </c>
      <c r="BR94" s="21">
        <f>EXP(-LN(2)/2)*BR93+(1-EXP(-LN(2)/2))/(LN(2)/2)*BL94*BO94*VLOOKUP('Données projet'!$B$11,Paramètres!$A$1:$I$89,3,0)*0.475*44/12</f>
        <v>1.3296550661663923E-8</v>
      </c>
      <c r="BS94" s="22">
        <f t="shared" si="63"/>
        <v>5.9083665459052392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559.69999999999993</v>
      </c>
      <c r="BZ94" s="13">
        <f>BY94*VLOOKUP('Données projet'!$B$12,Paramètres!$A$1:$I$89,3,0)*VLOOKUP('Données projet'!$B$12,Paramètres!$A$1:$I$89,5,0)</f>
        <v>261.93959999999998</v>
      </c>
      <c r="CA94" s="13">
        <f t="shared" si="93"/>
        <v>63.135643285567426</v>
      </c>
      <c r="CB94" s="20">
        <f t="shared" si="64"/>
        <v>566.1727153890298</v>
      </c>
      <c r="CC94" s="59">
        <f t="shared" si="65"/>
        <v>859.50604872236318</v>
      </c>
      <c r="CD94" s="59">
        <f ca="1">AVERAGE(OFFSET($CC$3,0,0,'Données projet'!$E$12+1,1))-AVERAGE(OFFSET($H$3,0,0,'Données projet'!$E$12+1,1))</f>
        <v>215.23235148064941</v>
      </c>
      <c r="CE94" s="59">
        <f t="shared" si="94"/>
        <v>184.07239726900434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0.93654209403792077</v>
      </c>
      <c r="CL94" s="21">
        <f>EXP(-LN(2)/25)*CL93+(1-EXP(-LN(2)/25))/(LN(2)/25)*Calculateur!CG94*Calculateur!CI94*VLOOKUP('Données projet'!$B$12,Paramètres!$A$1:$I$89,3,0)*0.475*44/12</f>
        <v>1.4476336605774676</v>
      </c>
      <c r="CM94" s="21">
        <f>EXP(-LN(2)/2)*CM93+(1-EXP(-LN(2)/2))/(LN(2)/2)*CG94*CJ94*VLOOKUP('Données projet'!$B$12,Paramètres!$A$1:$I$89,3,0)*0.475*44/12</f>
        <v>6.4749258226157884E-9</v>
      </c>
      <c r="CN94" s="22">
        <f t="shared" si="66"/>
        <v>2.3841757610903143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4.9000000000000004</v>
      </c>
      <c r="CT94" s="12">
        <f>IF('Données projet'!$A$140&gt;35,CT93+CS94-DB93,IF(A94&lt;'Données projet'!$A$140,$CQ$205^A94,IF(A94='Données projet'!$A$140,'Données projet'!$B$140,CT93+CS94-DB93)))</f>
        <v>258.90000000000043</v>
      </c>
      <c r="CU94" s="17">
        <f>CT94*VLOOKUP('Données projet'!$B$13,Paramètres!$A$1:$I$89,3,0)*VLOOKUP('Données projet'!$B$13,Paramètres!$A$1:$I$89,5,0)</f>
        <v>262.52460000000042</v>
      </c>
      <c r="CV94" s="13">
        <f t="shared" si="95"/>
        <v>63.2602176317748</v>
      </c>
      <c r="CW94" s="20">
        <f t="shared" si="67"/>
        <v>567.40855737534184</v>
      </c>
      <c r="CX94" s="59">
        <f t="shared" si="68"/>
        <v>860.7418907086751</v>
      </c>
      <c r="CY94" s="59">
        <f ca="1">AVERAGE(OFFSET($CX$3,0,0,'Données projet'!$E$13+1,1))-AVERAGE(OFFSET($H$3,0,0,'Données projet'!$E$13+1,1))</f>
        <v>279.20364724206644</v>
      </c>
      <c r="CZ94" s="59">
        <f t="shared" si="96"/>
        <v>173.99850582760712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0.64145320582593002</v>
      </c>
      <c r="DH94" s="21">
        <f>EXP(-LN(2)/2)*DH93+(1-EXP(-LN(2)/2))/(LN(2)/2)*DB94*DE94*VLOOKUP('Données projet'!$B$13,Paramètres!$A$1:$I$89,3,0)*0.475*44/12</f>
        <v>4.5678873696439716E-9</v>
      </c>
      <c r="DI94" s="22">
        <f t="shared" si="69"/>
        <v>0.64145321039381742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4.9000000000000004</v>
      </c>
      <c r="DO94" s="12">
        <f>IF('Données projet'!$A$166&gt;35,DO93+DN94-DW93,IF(A94&lt;'Données projet'!$A$166,$DL$205^A94,IF(A94='Données projet'!$A$166,'Données projet'!$B$166,DO93+DN94-DW93)))</f>
        <v>258.90000000000043</v>
      </c>
      <c r="DP94" s="17">
        <f>DO94*VLOOKUP('Données projet'!$B$14,Paramètres!$A$1:$I$89,3,0)*VLOOKUP('Données projet'!$B$14,Paramètres!$A$1:$I$89,5,0)</f>
        <v>270.60228000000046</v>
      </c>
      <c r="DQ94" s="13">
        <f t="shared" si="97"/>
        <v>64.977071724046311</v>
      </c>
      <c r="DR94" s="20">
        <f t="shared" si="70"/>
        <v>584.46737091938155</v>
      </c>
      <c r="DS94" s="59">
        <f t="shared" si="71"/>
        <v>877.80070425271492</v>
      </c>
      <c r="DT94" s="59">
        <f ca="1">AVERAGE(OFFSET($DS$3,0,0,'Données projet'!$E$14+1,1))-AVERAGE(OFFSET($H$3,0,0,'Données projet'!$E$14+1,1))</f>
        <v>291.18074901939718</v>
      </c>
      <c r="DU94" s="59">
        <f t="shared" si="98"/>
        <v>181.05123751753774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0.66119022754365098</v>
      </c>
      <c r="EC94" s="21">
        <f>EXP(-LN(2)/2)*EC93+(1-EXP(-LN(2)/2))/(LN(2)/2)*DW94*DZ94*VLOOKUP('Données projet'!$B$14,Paramètres!$A$1:$I$89,3,0)*0.475*44/12</f>
        <v>4.7084377502484061E-9</v>
      </c>
      <c r="ED94" s="22">
        <f t="shared" si="72"/>
        <v>0.66119023225208873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168.08890945052406</v>
      </c>
      <c r="EP94" s="59">
        <f t="shared" si="100"/>
        <v>182.52462557642343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1.856084054731953</v>
      </c>
      <c r="EW94" s="21">
        <f>EXP(-LN(2)/25)*EW93+(1-EXP(-LN(2)/25))/(LN(2)/25)*Calculateur!ER94*Calculateur!ET94*VLOOKUP('Données projet'!$B$15,Paramètres!$A$1:$I$89,3,0)*0.475*44/12</f>
        <v>2.2723800157624523</v>
      </c>
      <c r="EX94" s="21">
        <f>EXP(-LN(2)/2)*EX93+(1-EXP(-LN(2)/2))/(LN(2)/2)*ER94*EU94*VLOOKUP('Données projet'!$B$15,Paramètres!$A$1:$I$89,3,0)*0.475*44/12</f>
        <v>3.5862308051099212E-9</v>
      </c>
      <c r="EY94" s="22">
        <f t="shared" si="75"/>
        <v>4.128464074080636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3.813056537183002E-14</v>
      </c>
      <c r="FG94" s="13">
        <f t="shared" si="101"/>
        <v>6.4086286045526829E-13</v>
      </c>
      <c r="FH94" s="20">
        <f t="shared" si="76"/>
        <v>1.1825802166488628E-12</v>
      </c>
      <c r="FI94" s="59">
        <f t="shared" si="77"/>
        <v>293.33333333333451</v>
      </c>
      <c r="FJ94" s="59">
        <f ca="1">AVERAGE(OFFSET($FI$3,0,0,'Données projet'!$E$16+1,1))-AVERAGE(OFFSET($H$3,0,0,'Données projet'!$E$16+1,1))</f>
        <v>156.63226020379989</v>
      </c>
      <c r="FK94" s="59">
        <f t="shared" si="102"/>
        <v>196.0481096619543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1.5977319947359101</v>
      </c>
      <c r="FS94" s="21">
        <f>EXP(-LN(2)/2)*FS93+(1-EXP(-LN(2)/2))/(LN(2)/2)*FM94*FP94*VLOOKUP('Données projet'!$B$16,Paramètres!$A$1:$I$89,3,0)*0.475*44/12</f>
        <v>5.9752843650821911E-9</v>
      </c>
      <c r="FT94" s="22">
        <f t="shared" si="78"/>
        <v>1.5977320007111944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-4.5474735088646412E-13</v>
      </c>
      <c r="GA94" s="17">
        <f>FZ94*VLOOKUP('Données projet'!$B$17,Paramètres!$A$1:$I$89,3,0)*VLOOKUP('Données projet'!$B$17,Paramètres!$A$1:$I$89,5,0)</f>
        <v>-2.7193891583010558E-13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216.94426559495264</v>
      </c>
      <c r="GF94" s="59">
        <f t="shared" si="104"/>
        <v>225.33715877618704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2.3679092149191678</v>
      </c>
      <c r="GN94" s="21">
        <f>EXP(-LN(2)/2)*GN93+(1-EXP(-LN(2)/2))/(LN(2)/2)*GH94*GK94*VLOOKUP('Données projet'!$B$17,Paramètres!$A$1:$I$89,3,0)*0.475*44/12</f>
        <v>1.5626839622848995E-8</v>
      </c>
      <c r="GO94" s="21">
        <f t="shared" si="81"/>
        <v>2.3679092305460077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4.9000000000000004</v>
      </c>
      <c r="GU94" s="12">
        <f>IF('Données projet'!$A$270&gt;35,GU93+GT94-HC93,IF(A94&lt;'Données projet'!$A$270,$GR$205^A94,IF(A94='Données projet'!$A$270,'Données projet'!$B$270,GU93+GT94-HC93)))</f>
        <v>258.90000000000043</v>
      </c>
      <c r="GV94" s="17">
        <f>GU94*VLOOKUP('Données projet'!$B$18,Paramètres!$A$1:$I$89,3,0)*VLOOKUP('Données projet'!$B$18,Paramètres!$A$1:$I$89,5,0)</f>
        <v>250.40808000000041</v>
      </c>
      <c r="GW94" s="13">
        <f t="shared" si="105"/>
        <v>60.673316745925817</v>
      </c>
      <c r="GX94" s="20">
        <f t="shared" si="82"/>
        <v>541.80009933248812</v>
      </c>
      <c r="GY94" s="59">
        <f t="shared" si="83"/>
        <v>835.13343266582137</v>
      </c>
      <c r="GZ94" s="59">
        <f ca="1">AVERAGE(OFFSET($GY$3,0,0,'Données projet'!$E$18+1,1))-AVERAGE(OFFSET($H$3,0,0,'Données projet'!$E$18+1,1))</f>
        <v>261.22357949323879</v>
      </c>
      <c r="HA94" s="59">
        <f t="shared" si="106"/>
        <v>163.41029152029387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0.61184767324934874</v>
      </c>
      <c r="HI94" s="21">
        <f>EXP(-LN(2)/2)*HI93+(1-EXP(-LN(2)/2))/(LN(2)/2)*HC94*HF94*VLOOKUP('Données projet'!$B$18,Paramètres!$A$1:$I$89,3,0)*0.475*44/12</f>
        <v>4.3570617987373266E-9</v>
      </c>
      <c r="HJ94" s="22">
        <f t="shared" si="84"/>
        <v>0.61184767760641057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237.22177246688199</v>
      </c>
      <c r="T95" s="59">
        <f t="shared" si="88"/>
        <v>149.27472147904302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2.9</v>
      </c>
      <c r="AI95" s="13">
        <f>IF('Données projet'!$A$62&gt;35,AI94+AH95-AQ94,IF(A95&lt;'Données projet'!$A$62,$AF$205^A95,IF(A95='Données projet'!$A$62,'Données projet'!$B$62,AI94+AH95-AQ94)))</f>
        <v>227.79999999999981</v>
      </c>
      <c r="AJ95" s="13">
        <f>AI95*VLOOKUP('Données projet'!$B$10,Paramètres!$A$1:$I$89,3,0)*VLOOKUP('Données projet'!$B$10,Paramètres!$A$1:$I$89,5,0)</f>
        <v>199.00607999999988</v>
      </c>
      <c r="AK95" s="13">
        <f t="shared" si="89"/>
        <v>49.525670897514985</v>
      </c>
      <c r="AL95" s="20">
        <f t="shared" si="58"/>
        <v>432.8594661465051</v>
      </c>
      <c r="AM95" s="59">
        <f t="shared" si="59"/>
        <v>726.19279947983841</v>
      </c>
      <c r="AN95" s="59">
        <f ca="1">AVERAGE(OFFSET($AM$3,0,0,'Données projet'!$E$10+1,1))-AVERAGE(OFFSET($H$3,0,0,'Données projet'!$E$10+1,1))</f>
        <v>210.07838338464626</v>
      </c>
      <c r="AO95" s="59">
        <f t="shared" si="90"/>
        <v>241.76003724236273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1.552532085041755</v>
      </c>
      <c r="AV95" s="21">
        <f>EXP(-LN(2)/25)*AV94+(1-EXP(-LN(2)/25))/(LN(2)/25)*Calculateur!AQ95*Calculateur!AS95*VLOOKUP('Données projet'!$B$10,Paramètres!$A$1:$I$89,3,0)*0.475*44/12</f>
        <v>2.4305374628881018</v>
      </c>
      <c r="AW95" s="21">
        <f>EXP(-LN(2)/2)*AW94+(1-EXP(-LN(2)/2))/(LN(2)/2)*AQ95*AT95*VLOOKUP('Données projet'!$B$10,Paramètres!$A$1:$I$89,3,0)*0.475*44/12</f>
        <v>7.4372740792340199E-9</v>
      </c>
      <c r="AX95" s="21">
        <f t="shared" si="60"/>
        <v>3.9830695553671305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6.2527760746888816E-13</v>
      </c>
      <c r="BE95" s="13">
        <f>BD95*VLOOKUP('Données projet'!$B$11,Paramètres!$A$1:$I$89,3,0)*VLOOKUP('Données projet'!$B$11,Paramètres!$A$1:$I$89,5,0)</f>
        <v>3.9017322706058616E-13</v>
      </c>
      <c r="BF95" s="13">
        <f t="shared" si="91"/>
        <v>5.0025007393608908E-12</v>
      </c>
      <c r="BG95" s="20">
        <f t="shared" si="61"/>
        <v>9.3922404915174053E-12</v>
      </c>
      <c r="BH95" s="59">
        <f t="shared" si="62"/>
        <v>293.33333333334269</v>
      </c>
      <c r="BI95" s="59">
        <f ca="1">AVERAGE(OFFSET($BH$3,0,0,'Données projet'!$E$11+1,1))-AVERAGE(OFFSET($H$3,0,0,'Données projet'!$E$11+1,1))</f>
        <v>209.93608079129638</v>
      </c>
      <c r="BJ95" s="59">
        <f t="shared" si="92"/>
        <v>240.15652428700969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2.0367564345119469</v>
      </c>
      <c r="BQ95" s="21">
        <f>EXP(-LN(2)/25)*BQ94+(1-EXP(-LN(2)/25))/(LN(2)/25)*Calculateur!BL95*Calculateur!BN95*VLOOKUP('Données projet'!$B$11,Paramètres!$A$1:$I$89,3,0)*0.475*44/12</f>
        <v>3.7261163035491944</v>
      </c>
      <c r="BR95" s="21">
        <f>EXP(-LN(2)/2)*BR94+(1-EXP(-LN(2)/2))/(LN(2)/2)*BL95*BO95*VLOOKUP('Données projet'!$B$11,Paramètres!$A$1:$I$89,3,0)*0.475*44/12</f>
        <v>9.4020811392530352E-9</v>
      </c>
      <c r="BS95" s="22">
        <f t="shared" si="63"/>
        <v>5.7628727474632218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578.19999999999993</v>
      </c>
      <c r="BZ95" s="13">
        <f>BY95*VLOOKUP('Données projet'!$B$12,Paramètres!$A$1:$I$89,3,0)*VLOOKUP('Données projet'!$B$12,Paramètres!$A$1:$I$89,5,0)</f>
        <v>270.59759999999994</v>
      </c>
      <c r="CA95" s="13">
        <f t="shared" si="93"/>
        <v>64.976078766498532</v>
      </c>
      <c r="CB95" s="20">
        <f t="shared" si="64"/>
        <v>584.45749051831808</v>
      </c>
      <c r="CC95" s="59">
        <f t="shared" si="65"/>
        <v>877.79082385165134</v>
      </c>
      <c r="CD95" s="59">
        <f ca="1">AVERAGE(OFFSET($CC$3,0,0,'Données projet'!$E$12+1,1))-AVERAGE(OFFSET($H$3,0,0,'Données projet'!$E$12+1,1))</f>
        <v>215.23235148064941</v>
      </c>
      <c r="CE95" s="59">
        <f t="shared" si="94"/>
        <v>184.07239726900434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0.91817707480810984</v>
      </c>
      <c r="CL95" s="21">
        <f>EXP(-LN(2)/25)*CL94+(1-EXP(-LN(2)/25))/(LN(2)/25)*Calculateur!CG95*Calculateur!CI95*VLOOKUP('Données projet'!$B$12,Paramètres!$A$1:$I$89,3,0)*0.475*44/12</f>
        <v>1.4080480420012311</v>
      </c>
      <c r="CM95" s="21">
        <f>EXP(-LN(2)/2)*CM94+(1-EXP(-LN(2)/2))/(LN(2)/2)*CG95*CJ95*VLOOKUP('Données projet'!$B$12,Paramètres!$A$1:$I$89,3,0)*0.475*44/12</f>
        <v>4.5784639568515084E-9</v>
      </c>
      <c r="CN95" s="22">
        <f t="shared" si="66"/>
        <v>2.3262251213878047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4.9000000000000004</v>
      </c>
      <c r="CT95" s="12">
        <f>IF('Données projet'!$A$140&gt;35,CT94+CS95-DB94,IF(A95&lt;'Données projet'!$A$140,$CQ$205^A95,IF(A95='Données projet'!$A$140,'Données projet'!$B$140,CT94+CS95-DB94)))</f>
        <v>263.80000000000041</v>
      </c>
      <c r="CU95" s="17">
        <f>CT95*VLOOKUP('Données projet'!$B$13,Paramètres!$A$1:$I$89,3,0)*VLOOKUP('Données projet'!$B$13,Paramètres!$A$1:$I$89,5,0)</f>
        <v>267.49320000000046</v>
      </c>
      <c r="CV95" s="13">
        <f t="shared" si="95"/>
        <v>64.316974590266341</v>
      </c>
      <c r="CW95" s="20">
        <f t="shared" si="67"/>
        <v>577.90272074471466</v>
      </c>
      <c r="CX95" s="59">
        <f t="shared" si="68"/>
        <v>871.23605407804803</v>
      </c>
      <c r="CY95" s="59">
        <f ca="1">AVERAGE(OFFSET($CX$3,0,0,'Données projet'!$E$13+1,1))-AVERAGE(OFFSET($H$3,0,0,'Données projet'!$E$13+1,1))</f>
        <v>279.20364724206644</v>
      </c>
      <c r="CZ95" s="59">
        <f t="shared" si="96"/>
        <v>173.99850582760712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0.62391263418006193</v>
      </c>
      <c r="DH95" s="21">
        <f>EXP(-LN(2)/2)*DH94+(1-EXP(-LN(2)/2))/(LN(2)/2)*DB95*DE95*VLOOKUP('Données projet'!$B$13,Paramètres!$A$1:$I$89,3,0)*0.475*44/12</f>
        <v>3.229984134771634E-9</v>
      </c>
      <c r="DI95" s="22">
        <f t="shared" si="69"/>
        <v>0.6239126374100461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4.9000000000000004</v>
      </c>
      <c r="DO95" s="12">
        <f>IF('Données projet'!$A$166&gt;35,DO94+DN95-DW94,IF(A95&lt;'Données projet'!$A$166,$DL$205^A95,IF(A95='Données projet'!$A$166,'Données projet'!$B$166,DO94+DN95-DW94)))</f>
        <v>263.80000000000041</v>
      </c>
      <c r="DP95" s="17">
        <f>DO95*VLOOKUP('Données projet'!$B$14,Paramètres!$A$1:$I$89,3,0)*VLOOKUP('Données projet'!$B$14,Paramètres!$A$1:$I$89,5,0)</f>
        <v>275.72376000000048</v>
      </c>
      <c r="DQ95" s="13">
        <f t="shared" si="97"/>
        <v>66.062508595074462</v>
      </c>
      <c r="DR95" s="20">
        <f t="shared" si="70"/>
        <v>595.27775113642213</v>
      </c>
      <c r="DS95" s="59">
        <f t="shared" si="71"/>
        <v>888.6110844697555</v>
      </c>
      <c r="DT95" s="59">
        <f ca="1">AVERAGE(OFFSET($DS$3,0,0,'Données projet'!$E$14+1,1))-AVERAGE(OFFSET($H$3,0,0,'Données projet'!$E$14+1,1))</f>
        <v>291.18074901939718</v>
      </c>
      <c r="DU95" s="59">
        <f t="shared" si="98"/>
        <v>181.05123751753774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0.64310994600098692</v>
      </c>
      <c r="EC95" s="21">
        <f>EXP(-LN(2)/2)*EC94+(1-EXP(-LN(2)/2))/(LN(2)/2)*DW95*DZ95*VLOOKUP('Données projet'!$B$14,Paramètres!$A$1:$I$89,3,0)*0.475*44/12</f>
        <v>3.3293682619953798E-9</v>
      </c>
      <c r="ED95" s="22">
        <f t="shared" si="72"/>
        <v>0.64310994933035515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168.08890945052406</v>
      </c>
      <c r="EP95" s="59">
        <f t="shared" si="100"/>
        <v>182.52462557642343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1.8196873785181473</v>
      </c>
      <c r="EW95" s="21">
        <f>EXP(-LN(2)/25)*EW94+(1-EXP(-LN(2)/25))/(LN(2)/25)*Calculateur!ER95*Calculateur!ET95*VLOOKUP('Données projet'!$B$15,Paramètres!$A$1:$I$89,3,0)*0.475*44/12</f>
        <v>2.2102416647321568</v>
      </c>
      <c r="EX95" s="21">
        <f>EXP(-LN(2)/2)*EX94+(1-EXP(-LN(2)/2))/(LN(2)/2)*ER95*EU95*VLOOKUP('Données projet'!$B$15,Paramètres!$A$1:$I$89,3,0)*0.475*44/12</f>
        <v>2.5358481211933172E-9</v>
      </c>
      <c r="EY95" s="22">
        <f t="shared" si="75"/>
        <v>4.0299290457861519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3.813056537183002E-14</v>
      </c>
      <c r="FG95" s="13">
        <f t="shared" si="101"/>
        <v>6.4086286045526829E-13</v>
      </c>
      <c r="FH95" s="20">
        <f t="shared" si="76"/>
        <v>1.1825802166488628E-12</v>
      </c>
      <c r="FI95" s="59">
        <f t="shared" si="77"/>
        <v>293.33333333333451</v>
      </c>
      <c r="FJ95" s="59">
        <f ca="1">AVERAGE(OFFSET($FI$3,0,0,'Données projet'!$E$16+1,1))-AVERAGE(OFFSET($H$3,0,0,'Données projet'!$E$16+1,1))</f>
        <v>156.63226020379989</v>
      </c>
      <c r="FK95" s="59">
        <f t="shared" si="102"/>
        <v>196.0481096619543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1.5540419293187826</v>
      </c>
      <c r="FS95" s="21">
        <f>EXP(-LN(2)/2)*FS94+(1-EXP(-LN(2)/2))/(LN(2)/2)*FM95*FP95*VLOOKUP('Données projet'!$B$16,Paramètres!$A$1:$I$89,3,0)*0.475*44/12</f>
        <v>4.2251640940675715E-9</v>
      </c>
      <c r="FT95" s="22">
        <f t="shared" si="78"/>
        <v>1.5540419335439466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-4.5474735088646412E-13</v>
      </c>
      <c r="GA95" s="17">
        <f>FZ95*VLOOKUP('Données projet'!$B$17,Paramètres!$A$1:$I$89,3,0)*VLOOKUP('Données projet'!$B$17,Paramètres!$A$1:$I$89,5,0)</f>
        <v>-2.7193891583010558E-13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216.94426559495264</v>
      </c>
      <c r="GF95" s="59">
        <f t="shared" si="104"/>
        <v>225.33715877618704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2.3031586129142694</v>
      </c>
      <c r="GN95" s="21">
        <f>EXP(-LN(2)/2)*GN94+(1-EXP(-LN(2)/2))/(LN(2)/2)*GH95*GK95*VLOOKUP('Données projet'!$B$17,Paramètres!$A$1:$I$89,3,0)*0.475*44/12</f>
        <v>1.1049844265831155E-8</v>
      </c>
      <c r="GO95" s="21">
        <f t="shared" si="81"/>
        <v>2.3031586239641135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4.9000000000000004</v>
      </c>
      <c r="GU95" s="12">
        <f>IF('Données projet'!$A$270&gt;35,GU94+GT95-HC94,IF(A95&lt;'Données projet'!$A$270,$GR$205^A95,IF(A95='Données projet'!$A$270,'Données projet'!$B$270,GU94+GT95-HC94)))</f>
        <v>263.80000000000041</v>
      </c>
      <c r="GV95" s="17">
        <f>GU95*VLOOKUP('Données projet'!$B$18,Paramètres!$A$1:$I$89,3,0)*VLOOKUP('Données projet'!$B$18,Paramètres!$A$1:$I$89,5,0)</f>
        <v>255.14736000000039</v>
      </c>
      <c r="GW95" s="13">
        <f t="shared" si="105"/>
        <v>61.686859728645757</v>
      </c>
      <c r="GX95" s="20">
        <f t="shared" si="82"/>
        <v>551.81959936072542</v>
      </c>
      <c r="GY95" s="59">
        <f t="shared" si="83"/>
        <v>845.15293269405879</v>
      </c>
      <c r="GZ95" s="59">
        <f ca="1">AVERAGE(OFFSET($GY$3,0,0,'Données projet'!$E$18+1,1))-AVERAGE(OFFSET($H$3,0,0,'Données projet'!$E$18+1,1))</f>
        <v>261.22357949323879</v>
      </c>
      <c r="HA95" s="59">
        <f t="shared" si="106"/>
        <v>163.41029152029387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0.59511666644867456</v>
      </c>
      <c r="HI95" s="21">
        <f>EXP(-LN(2)/2)*HI94+(1-EXP(-LN(2)/2))/(LN(2)/2)*HC95*HF95*VLOOKUP('Données projet'!$B$18,Paramètres!$A$1:$I$89,3,0)*0.475*44/12</f>
        <v>3.08090794393602E-9</v>
      </c>
      <c r="HJ95" s="22">
        <f t="shared" si="84"/>
        <v>0.59511666952958253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237.22177246688199</v>
      </c>
      <c r="T96" s="59">
        <f t="shared" si="88"/>
        <v>149.27472147904302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2.9</v>
      </c>
      <c r="AI96" s="13">
        <f>IF('Données projet'!$A$62&gt;35,AI95+AH96-AQ95,IF(A96&lt;'Données projet'!$A$62,$AF$205^A96,IF(A96='Données projet'!$A$62,'Données projet'!$B$62,AI95+AH96-AQ95)))</f>
        <v>230.69999999999982</v>
      </c>
      <c r="AJ96" s="13">
        <f>AI96*VLOOKUP('Données projet'!$B$10,Paramètres!$A$1:$I$89,3,0)*VLOOKUP('Données projet'!$B$10,Paramètres!$A$1:$I$89,5,0)</f>
        <v>201.5395199999999</v>
      </c>
      <c r="AK96" s="13">
        <f t="shared" si="89"/>
        <v>50.082356480800321</v>
      </c>
      <c r="AL96" s="20">
        <f t="shared" si="58"/>
        <v>438.24143487072706</v>
      </c>
      <c r="AM96" s="59">
        <f t="shared" si="59"/>
        <v>731.57476820406032</v>
      </c>
      <c r="AN96" s="59">
        <f ca="1">AVERAGE(OFFSET($AM$3,0,0,'Données projet'!$E$10+1,1))-AVERAGE(OFFSET($H$3,0,0,'Données projet'!$E$10+1,1))</f>
        <v>210.07838338464626</v>
      </c>
      <c r="AO96" s="59">
        <f t="shared" si="90"/>
        <v>241.76003724236273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1.5220878778051543</v>
      </c>
      <c r="AV96" s="21">
        <f>EXP(-LN(2)/25)*AV95+(1-EXP(-LN(2)/25))/(LN(2)/25)*Calculateur!AQ96*Calculateur!AS96*VLOOKUP('Données projet'!$B$10,Paramètres!$A$1:$I$89,3,0)*0.475*44/12</f>
        <v>2.3640742881490167</v>
      </c>
      <c r="AW96" s="21">
        <f>EXP(-LN(2)/2)*AW95+(1-EXP(-LN(2)/2))/(LN(2)/2)*AQ96*AT96*VLOOKUP('Données projet'!$B$10,Paramètres!$A$1:$I$89,3,0)*0.475*44/12</f>
        <v>5.2589469349693124E-9</v>
      </c>
      <c r="AX96" s="21">
        <f t="shared" si="60"/>
        <v>3.886162171213118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6.2527760746888816E-13</v>
      </c>
      <c r="BE96" s="13">
        <f>BD96*VLOOKUP('Données projet'!$B$11,Paramètres!$A$1:$I$89,3,0)*VLOOKUP('Données projet'!$B$11,Paramètres!$A$1:$I$89,5,0)</f>
        <v>3.9017322706058616E-13</v>
      </c>
      <c r="BF96" s="13">
        <f t="shared" si="91"/>
        <v>5.0025007393608908E-12</v>
      </c>
      <c r="BG96" s="20">
        <f t="shared" si="61"/>
        <v>9.3922404915174053E-12</v>
      </c>
      <c r="BH96" s="59">
        <f t="shared" si="62"/>
        <v>293.33333333334269</v>
      </c>
      <c r="BI96" s="59">
        <f ca="1">AVERAGE(OFFSET($BH$3,0,0,'Données projet'!$E$11+1,1))-AVERAGE(OFFSET($H$3,0,0,'Données projet'!$E$11+1,1))</f>
        <v>209.93608079129638</v>
      </c>
      <c r="BJ96" s="59">
        <f t="shared" si="92"/>
        <v>240.15652428700969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1.9968168831299258</v>
      </c>
      <c r="BQ96" s="21">
        <f>EXP(-LN(2)/25)*BQ95+(1-EXP(-LN(2)/25))/(LN(2)/25)*Calculateur!BL96*Calculateur!BN96*VLOOKUP('Données projet'!$B$11,Paramètres!$A$1:$I$89,3,0)*0.475*44/12</f>
        <v>3.6242254572807013</v>
      </c>
      <c r="BR96" s="21">
        <f>EXP(-LN(2)/2)*BR95+(1-EXP(-LN(2)/2))/(LN(2)/2)*BL96*BO96*VLOOKUP('Données projet'!$B$11,Paramètres!$A$1:$I$89,3,0)*0.475*44/12</f>
        <v>6.6482753308319615E-9</v>
      </c>
      <c r="BS96" s="22">
        <f t="shared" si="63"/>
        <v>5.6210423470589026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596.69999999999993</v>
      </c>
      <c r="BZ96" s="13">
        <f>BY96*VLOOKUP('Données projet'!$B$12,Paramètres!$A$1:$I$89,3,0)*VLOOKUP('Données projet'!$B$12,Paramètres!$A$1:$I$89,5,0)</f>
        <v>279.25559999999996</v>
      </c>
      <c r="CA96" s="13">
        <f t="shared" si="93"/>
        <v>66.809671397146161</v>
      </c>
      <c r="CB96" s="20">
        <f t="shared" si="64"/>
        <v>602.73034768336277</v>
      </c>
      <c r="CC96" s="59">
        <f t="shared" si="65"/>
        <v>896.06368101669614</v>
      </c>
      <c r="CD96" s="59">
        <f ca="1">AVERAGE(OFFSET($CC$3,0,0,'Données projet'!$E$12+1,1))-AVERAGE(OFFSET($H$3,0,0,'Données projet'!$E$12+1,1))</f>
        <v>215.23235148064941</v>
      </c>
      <c r="CE96" s="59">
        <f t="shared" si="94"/>
        <v>184.07239726900434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0.90017218240383978</v>
      </c>
      <c r="CL96" s="21">
        <f>EXP(-LN(2)/25)*CL95+(1-EXP(-LN(2)/25))/(LN(2)/25)*Calculateur!CG96*Calculateur!CI96*VLOOKUP('Données projet'!$B$12,Paramètres!$A$1:$I$89,3,0)*0.475*44/12</f>
        <v>1.369544894246679</v>
      </c>
      <c r="CM96" s="21">
        <f>EXP(-LN(2)/2)*CM95+(1-EXP(-LN(2)/2))/(LN(2)/2)*CG96*CJ96*VLOOKUP('Données projet'!$B$12,Paramètres!$A$1:$I$89,3,0)*0.475*44/12</f>
        <v>3.2374629113078942E-9</v>
      </c>
      <c r="CN96" s="22">
        <f t="shared" si="66"/>
        <v>2.2697170798879815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4.9000000000000004</v>
      </c>
      <c r="CT96" s="12">
        <f>IF('Données projet'!$A$140&gt;35,CT95+CS96-DB95,IF(A96&lt;'Données projet'!$A$140,$CQ$205^A96,IF(A96='Données projet'!$A$140,'Données projet'!$B$140,CT95+CS96-DB95)))</f>
        <v>268.70000000000039</v>
      </c>
      <c r="CU96" s="17">
        <f>CT96*VLOOKUP('Données projet'!$B$13,Paramètres!$A$1:$I$89,3,0)*VLOOKUP('Données projet'!$B$13,Paramètres!$A$1:$I$89,5,0)</f>
        <v>272.46180000000044</v>
      </c>
      <c r="CV96" s="13">
        <f t="shared" si="95"/>
        <v>65.371449071922058</v>
      </c>
      <c r="CW96" s="20">
        <f t="shared" si="67"/>
        <v>588.39290880026499</v>
      </c>
      <c r="CX96" s="59">
        <f t="shared" si="68"/>
        <v>881.72624213359836</v>
      </c>
      <c r="CY96" s="59">
        <f ca="1">AVERAGE(OFFSET($CX$3,0,0,'Données projet'!$E$13+1,1))-AVERAGE(OFFSET($H$3,0,0,'Données projet'!$E$13+1,1))</f>
        <v>279.20364724206644</v>
      </c>
      <c r="CZ96" s="59">
        <f t="shared" si="96"/>
        <v>173.99850582760712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0.60685171038826868</v>
      </c>
      <c r="DH96" s="21">
        <f>EXP(-LN(2)/2)*DH95+(1-EXP(-LN(2)/2))/(LN(2)/2)*DB96*DE96*VLOOKUP('Données projet'!$B$13,Paramètres!$A$1:$I$89,3,0)*0.475*44/12</f>
        <v>2.2839436848219858E-9</v>
      </c>
      <c r="DI96" s="22">
        <f t="shared" si="69"/>
        <v>0.60685171267221238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4.9000000000000004</v>
      </c>
      <c r="DO96" s="12">
        <f>IF('Données projet'!$A$166&gt;35,DO95+DN96-DW95,IF(A96&lt;'Données projet'!$A$166,$DL$205^A96,IF(A96='Données projet'!$A$166,'Données projet'!$B$166,DO95+DN96-DW95)))</f>
        <v>268.70000000000039</v>
      </c>
      <c r="DP96" s="17">
        <f>DO96*VLOOKUP('Données projet'!$B$14,Paramètres!$A$1:$I$89,3,0)*VLOOKUP('Données projet'!$B$14,Paramètres!$A$1:$I$89,5,0)</f>
        <v>280.84524000000044</v>
      </c>
      <c r="DQ96" s="13">
        <f t="shared" si="97"/>
        <v>67.145601043863351</v>
      </c>
      <c r="DR96" s="20">
        <f t="shared" si="70"/>
        <v>606.08404815139602</v>
      </c>
      <c r="DS96" s="59">
        <f t="shared" si="71"/>
        <v>899.41738148472928</v>
      </c>
      <c r="DT96" s="59">
        <f ca="1">AVERAGE(OFFSET($DS$3,0,0,'Données projet'!$E$14+1,1))-AVERAGE(OFFSET($H$3,0,0,'Données projet'!$E$14+1,1))</f>
        <v>291.18074901939718</v>
      </c>
      <c r="DU96" s="59">
        <f t="shared" si="98"/>
        <v>181.05123751753774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0.62552407070790772</v>
      </c>
      <c r="EC96" s="21">
        <f>EXP(-LN(2)/2)*EC95+(1-EXP(-LN(2)/2))/(LN(2)/2)*DW96*DZ96*VLOOKUP('Données projet'!$B$14,Paramètres!$A$1:$I$89,3,0)*0.475*44/12</f>
        <v>2.354218875124203E-9</v>
      </c>
      <c r="ED96" s="22">
        <f t="shared" si="72"/>
        <v>0.62552407306212654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168.08890945052406</v>
      </c>
      <c r="EP96" s="59">
        <f t="shared" si="100"/>
        <v>182.52462557642343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1.7840044189251139</v>
      </c>
      <c r="EW96" s="21">
        <f>EXP(-LN(2)/25)*EW95+(1-EXP(-LN(2)/25))/(LN(2)/25)*Calculateur!ER96*Calculateur!ET96*VLOOKUP('Données projet'!$B$15,Paramètres!$A$1:$I$89,3,0)*0.475*44/12</f>
        <v>2.1498024901784984</v>
      </c>
      <c r="EX96" s="21">
        <f>EXP(-LN(2)/2)*EX95+(1-EXP(-LN(2)/2))/(LN(2)/2)*ER96*EU96*VLOOKUP('Données projet'!$B$15,Paramètres!$A$1:$I$89,3,0)*0.475*44/12</f>
        <v>1.7931154025549606E-9</v>
      </c>
      <c r="EY96" s="22">
        <f t="shared" si="75"/>
        <v>3.933806910896728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3.813056537183002E-14</v>
      </c>
      <c r="FG96" s="13">
        <f t="shared" si="101"/>
        <v>6.4086286045526829E-13</v>
      </c>
      <c r="FH96" s="20">
        <f t="shared" si="76"/>
        <v>1.1825802166488628E-12</v>
      </c>
      <c r="FI96" s="59">
        <f t="shared" si="77"/>
        <v>293.33333333333451</v>
      </c>
      <c r="FJ96" s="59">
        <f ca="1">AVERAGE(OFFSET($FI$3,0,0,'Données projet'!$E$16+1,1))-AVERAGE(OFFSET($H$3,0,0,'Données projet'!$E$16+1,1))</f>
        <v>156.63226020379989</v>
      </c>
      <c r="FK96" s="59">
        <f t="shared" si="102"/>
        <v>196.0481096619543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1.5115465710380473</v>
      </c>
      <c r="FS96" s="21">
        <f>EXP(-LN(2)/2)*FS95+(1-EXP(-LN(2)/2))/(LN(2)/2)*FM96*FP96*VLOOKUP('Données projet'!$B$16,Paramètres!$A$1:$I$89,3,0)*0.475*44/12</f>
        <v>2.9876421825410956E-9</v>
      </c>
      <c r="FT96" s="22">
        <f t="shared" si="78"/>
        <v>1.5115465740256895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-4.5474735088646412E-13</v>
      </c>
      <c r="GA96" s="17">
        <f>FZ96*VLOOKUP('Données projet'!$B$17,Paramètres!$A$1:$I$89,3,0)*VLOOKUP('Données projet'!$B$17,Paramètres!$A$1:$I$89,5,0)</f>
        <v>-2.7193891583010558E-13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216.94426559495264</v>
      </c>
      <c r="GF96" s="59">
        <f t="shared" si="104"/>
        <v>225.33715877618704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2.2401786195262812</v>
      </c>
      <c r="GN96" s="21">
        <f>EXP(-LN(2)/2)*GN95+(1-EXP(-LN(2)/2))/(LN(2)/2)*GH96*GK96*VLOOKUP('Données projet'!$B$17,Paramètres!$A$1:$I$89,3,0)*0.475*44/12</f>
        <v>7.8134198114244975E-9</v>
      </c>
      <c r="GO96" s="21">
        <f t="shared" si="81"/>
        <v>2.2401786273397009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4.9000000000000004</v>
      </c>
      <c r="GU96" s="12">
        <f>IF('Données projet'!$A$270&gt;35,GU95+GT96-HC95,IF(A96&lt;'Données projet'!$A$270,$GR$205^A96,IF(A96='Données projet'!$A$270,'Données projet'!$B$270,GU95+GT96-HC95)))</f>
        <v>268.70000000000039</v>
      </c>
      <c r="GV96" s="17">
        <f>GU96*VLOOKUP('Données projet'!$B$18,Paramètres!$A$1:$I$89,3,0)*VLOOKUP('Données projet'!$B$18,Paramètres!$A$1:$I$89,5,0)</f>
        <v>259.8866400000004</v>
      </c>
      <c r="GW96" s="13">
        <f t="shared" si="105"/>
        <v>62.698213571884054</v>
      </c>
      <c r="GX96" s="20">
        <f t="shared" si="82"/>
        <v>561.83528663769869</v>
      </c>
      <c r="GY96" s="59">
        <f t="shared" si="83"/>
        <v>855.16861997103206</v>
      </c>
      <c r="GZ96" s="59">
        <f ca="1">AVERAGE(OFFSET($GY$3,0,0,'Données projet'!$E$18+1,1))-AVERAGE(OFFSET($H$3,0,0,'Données projet'!$E$18+1,1))</f>
        <v>261.22357949323879</v>
      </c>
      <c r="HA96" s="59">
        <f t="shared" si="106"/>
        <v>163.41029152029387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0.57884316990881024</v>
      </c>
      <c r="HI96" s="21">
        <f>EXP(-LN(2)/2)*HI95+(1-EXP(-LN(2)/2))/(LN(2)/2)*HC96*HF96*VLOOKUP('Données projet'!$B$18,Paramètres!$A$1:$I$89,3,0)*0.475*44/12</f>
        <v>2.1785308993686633E-9</v>
      </c>
      <c r="HJ96" s="22">
        <f t="shared" si="84"/>
        <v>0.57884317208734115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237.22177246688199</v>
      </c>
      <c r="T97" s="59">
        <f t="shared" si="88"/>
        <v>149.27472147904302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2.9</v>
      </c>
      <c r="AI97" s="13">
        <f>IF('Données projet'!$A$62&gt;35,AI96+AH97-AQ96,IF(A97&lt;'Données projet'!$A$62,$AF$205^A97,IF(A97='Données projet'!$A$62,'Données projet'!$B$62,AI96+AH97-AQ96)))</f>
        <v>233.59999999999982</v>
      </c>
      <c r="AJ97" s="13">
        <f>AI97*VLOOKUP('Données projet'!$B$10,Paramètres!$A$1:$I$89,3,0)*VLOOKUP('Données projet'!$B$10,Paramètres!$A$1:$I$89,5,0)</f>
        <v>204.07295999999988</v>
      </c>
      <c r="AK97" s="13">
        <f t="shared" si="89"/>
        <v>50.638228095278592</v>
      </c>
      <c r="AL97" s="20">
        <f t="shared" si="58"/>
        <v>443.62198593261002</v>
      </c>
      <c r="AM97" s="59">
        <f t="shared" si="59"/>
        <v>736.95531926594333</v>
      </c>
      <c r="AN97" s="59">
        <f ca="1">AVERAGE(OFFSET($AM$3,0,0,'Données projet'!$E$10+1,1))-AVERAGE(OFFSET($H$3,0,0,'Données projet'!$E$10+1,1))</f>
        <v>210.07838338464626</v>
      </c>
      <c r="AO97" s="59">
        <f t="shared" si="90"/>
        <v>241.76003724236273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1.4922406629033307</v>
      </c>
      <c r="AV97" s="21">
        <f>EXP(-LN(2)/25)*AV96+(1-EXP(-LN(2)/25))/(LN(2)/25)*Calculateur!AQ97*Calculateur!AS97*VLOOKUP('Données projet'!$B$10,Paramètres!$A$1:$I$89,3,0)*0.475*44/12</f>
        <v>2.299428552418318</v>
      </c>
      <c r="AW97" s="21">
        <f>EXP(-LN(2)/2)*AW96+(1-EXP(-LN(2)/2))/(LN(2)/2)*AQ97*AT97*VLOOKUP('Données projet'!$B$10,Paramètres!$A$1:$I$89,3,0)*0.475*44/12</f>
        <v>3.7186370396170108E-9</v>
      </c>
      <c r="AX97" s="21">
        <f t="shared" si="60"/>
        <v>3.7916692190402856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6.2527760746888816E-13</v>
      </c>
      <c r="BE97" s="13">
        <f>BD97*VLOOKUP('Données projet'!$B$11,Paramètres!$A$1:$I$89,3,0)*VLOOKUP('Données projet'!$B$11,Paramètres!$A$1:$I$89,5,0)</f>
        <v>3.9017322706058616E-13</v>
      </c>
      <c r="BF97" s="13">
        <f t="shared" si="91"/>
        <v>5.0025007393608908E-12</v>
      </c>
      <c r="BG97" s="20">
        <f t="shared" si="61"/>
        <v>9.3922404915174053E-12</v>
      </c>
      <c r="BH97" s="59">
        <f t="shared" si="62"/>
        <v>293.33333333334269</v>
      </c>
      <c r="BI97" s="59">
        <f ca="1">AVERAGE(OFFSET($BH$3,0,0,'Données projet'!$E$11+1,1))-AVERAGE(OFFSET($H$3,0,0,'Données projet'!$E$11+1,1))</f>
        <v>209.93608079129638</v>
      </c>
      <c r="BJ97" s="59">
        <f t="shared" si="92"/>
        <v>240.15652428700969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1.9576605219897854</v>
      </c>
      <c r="BQ97" s="21">
        <f>EXP(-LN(2)/25)*BQ96+(1-EXP(-LN(2)/25))/(LN(2)/25)*Calculateur!BL97*Calculateur!BN97*VLOOKUP('Données projet'!$B$11,Paramètres!$A$1:$I$89,3,0)*0.475*44/12</f>
        <v>3.525120821561627</v>
      </c>
      <c r="BR97" s="21">
        <f>EXP(-LN(2)/2)*BR96+(1-EXP(-LN(2)/2))/(LN(2)/2)*BL97*BO97*VLOOKUP('Données projet'!$B$11,Paramètres!$A$1:$I$89,3,0)*0.475*44/12</f>
        <v>4.7010405696265176E-9</v>
      </c>
      <c r="BS97" s="22">
        <f t="shared" si="63"/>
        <v>5.4827813482524528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615.19999999999993</v>
      </c>
      <c r="BZ97" s="13">
        <f>BY97*VLOOKUP('Données projet'!$B$12,Paramètres!$A$1:$I$89,3,0)*VLOOKUP('Données projet'!$B$12,Paramètres!$A$1:$I$89,5,0)</f>
        <v>287.91359999999997</v>
      </c>
      <c r="CA97" s="13">
        <f t="shared" si="93"/>
        <v>68.636657677063752</v>
      </c>
      <c r="CB97" s="20">
        <f t="shared" si="64"/>
        <v>620.99169878755254</v>
      </c>
      <c r="CC97" s="59">
        <f t="shared" si="65"/>
        <v>914.32503212088591</v>
      </c>
      <c r="CD97" s="59">
        <f ca="1">AVERAGE(OFFSET($CC$3,0,0,'Données projet'!$E$12+1,1))-AVERAGE(OFFSET($H$3,0,0,'Données projet'!$E$12+1,1))</f>
        <v>215.23235148064941</v>
      </c>
      <c r="CE97" s="59">
        <f t="shared" si="94"/>
        <v>184.07239726900434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0.88252035495771752</v>
      </c>
      <c r="CL97" s="21">
        <f>EXP(-LN(2)/25)*CL96+(1-EXP(-LN(2)/25))/(LN(2)/25)*Calculateur!CG97*Calculateur!CI97*VLOOKUP('Données projet'!$B$12,Paramètres!$A$1:$I$89,3,0)*0.475*44/12</f>
        <v>1.3320946170922678</v>
      </c>
      <c r="CM97" s="21">
        <f>EXP(-LN(2)/2)*CM96+(1-EXP(-LN(2)/2))/(LN(2)/2)*CG97*CJ97*VLOOKUP('Données projet'!$B$12,Paramètres!$A$1:$I$89,3,0)*0.475*44/12</f>
        <v>2.2892319784257542E-9</v>
      </c>
      <c r="CN97" s="22">
        <f t="shared" si="66"/>
        <v>2.2146149743392174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4.9000000000000004</v>
      </c>
      <c r="CT97" s="12">
        <f>IF('Données projet'!$A$140&gt;35,CT96+CS97-DB96,IF(A97&lt;'Données projet'!$A$140,$CQ$205^A97,IF(A97='Données projet'!$A$140,'Données projet'!$B$140,CT96+CS97-DB96)))</f>
        <v>273.60000000000036</v>
      </c>
      <c r="CU97" s="17">
        <f>CT97*VLOOKUP('Données projet'!$B$13,Paramètres!$A$1:$I$89,3,0)*VLOOKUP('Données projet'!$B$13,Paramètres!$A$1:$I$89,5,0)</f>
        <v>277.43040000000036</v>
      </c>
      <c r="CV97" s="13">
        <f t="shared" si="95"/>
        <v>66.423687500715801</v>
      </c>
      <c r="CW97" s="20">
        <f t="shared" si="67"/>
        <v>598.87920239708058</v>
      </c>
      <c r="CX97" s="59">
        <f t="shared" si="68"/>
        <v>892.21253573041395</v>
      </c>
      <c r="CY97" s="59">
        <f ca="1">AVERAGE(OFFSET($CX$3,0,0,'Données projet'!$E$13+1,1))-AVERAGE(OFFSET($H$3,0,0,'Données projet'!$E$13+1,1))</f>
        <v>279.20364724206644</v>
      </c>
      <c r="CZ97" s="59">
        <f t="shared" si="96"/>
        <v>173.99850582760712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0.59025731845475704</v>
      </c>
      <c r="DH97" s="21">
        <f>EXP(-LN(2)/2)*DH96+(1-EXP(-LN(2)/2))/(LN(2)/2)*DB97*DE97*VLOOKUP('Données projet'!$B$13,Paramètres!$A$1:$I$89,3,0)*0.475*44/12</f>
        <v>1.614992067385817E-9</v>
      </c>
      <c r="DI97" s="22">
        <f t="shared" si="69"/>
        <v>0.59025732006974907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4.9000000000000004</v>
      </c>
      <c r="DO97" s="12">
        <f>IF('Données projet'!$A$166&gt;35,DO96+DN97-DW96,IF(A97&lt;'Données projet'!$A$166,$DL$205^A97,IF(A97='Données projet'!$A$166,'Données projet'!$B$166,DO96+DN97-DW96)))</f>
        <v>273.60000000000036</v>
      </c>
      <c r="DP97" s="17">
        <f>DO97*VLOOKUP('Données projet'!$B$14,Paramètres!$A$1:$I$89,3,0)*VLOOKUP('Données projet'!$B$14,Paramètres!$A$1:$I$89,5,0)</f>
        <v>285.96672000000041</v>
      </c>
      <c r="DQ97" s="13">
        <f t="shared" si="97"/>
        <v>68.226396754312916</v>
      </c>
      <c r="DR97" s="20">
        <f t="shared" si="70"/>
        <v>616.88634501376237</v>
      </c>
      <c r="DS97" s="59">
        <f t="shared" si="71"/>
        <v>910.21967834709562</v>
      </c>
      <c r="DT97" s="59">
        <f ca="1">AVERAGE(OFFSET($DS$3,0,0,'Données projet'!$E$14+1,1))-AVERAGE(OFFSET($H$3,0,0,'Données projet'!$E$14+1,1))</f>
        <v>291.18074901939718</v>
      </c>
      <c r="DU97" s="59">
        <f t="shared" si="98"/>
        <v>181.05123751753774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0.60841908209951878</v>
      </c>
      <c r="EC97" s="21">
        <f>EXP(-LN(2)/2)*EC96+(1-EXP(-LN(2)/2))/(LN(2)/2)*DW97*DZ97*VLOOKUP('Données projet'!$B$14,Paramètres!$A$1:$I$89,3,0)*0.475*44/12</f>
        <v>1.6646841309976899E-9</v>
      </c>
      <c r="ED97" s="22">
        <f t="shared" si="72"/>
        <v>0.60841908376420295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168.08890945052406</v>
      </c>
      <c r="EP97" s="59">
        <f t="shared" si="100"/>
        <v>182.52462557642343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1.7490211804052436</v>
      </c>
      <c r="EW97" s="21">
        <f>EXP(-LN(2)/25)*EW96+(1-EXP(-LN(2)/25))/(LN(2)/25)*Calculateur!ER97*Calculateur!ET97*VLOOKUP('Données projet'!$B$15,Paramètres!$A$1:$I$89,3,0)*0.475*44/12</f>
        <v>2.0910160280313681</v>
      </c>
      <c r="EX97" s="21">
        <f>EXP(-LN(2)/2)*EX96+(1-EXP(-LN(2)/2))/(LN(2)/2)*ER97*EU97*VLOOKUP('Données projet'!$B$15,Paramètres!$A$1:$I$89,3,0)*0.475*44/12</f>
        <v>1.2679240605966586E-9</v>
      </c>
      <c r="EY97" s="22">
        <f t="shared" si="75"/>
        <v>3.8400372097045357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3.813056537183002E-14</v>
      </c>
      <c r="FG97" s="13">
        <f t="shared" si="101"/>
        <v>6.4086286045526829E-13</v>
      </c>
      <c r="FH97" s="20">
        <f t="shared" si="76"/>
        <v>1.1825802166488628E-12</v>
      </c>
      <c r="FI97" s="59">
        <f t="shared" si="77"/>
        <v>293.33333333333451</v>
      </c>
      <c r="FJ97" s="59">
        <f ca="1">AVERAGE(OFFSET($FI$3,0,0,'Données projet'!$E$16+1,1))-AVERAGE(OFFSET($H$3,0,0,'Données projet'!$E$16+1,1))</f>
        <v>156.63226020379989</v>
      </c>
      <c r="FK97" s="59">
        <f t="shared" si="102"/>
        <v>196.0481096619543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1.4702132505642325</v>
      </c>
      <c r="FS97" s="21">
        <f>EXP(-LN(2)/2)*FS96+(1-EXP(-LN(2)/2))/(LN(2)/2)*FM97*FP97*VLOOKUP('Données projet'!$B$16,Paramètres!$A$1:$I$89,3,0)*0.475*44/12</f>
        <v>2.1125820470337857E-9</v>
      </c>
      <c r="FT97" s="22">
        <f t="shared" si="78"/>
        <v>1.4702132526768146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-4.5474735088646412E-13</v>
      </c>
      <c r="GA97" s="17">
        <f>FZ97*VLOOKUP('Données projet'!$B$17,Paramètres!$A$1:$I$89,3,0)*VLOOKUP('Données projet'!$B$17,Paramètres!$A$1:$I$89,5,0)</f>
        <v>-2.7193891583010558E-13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216.94426559495264</v>
      </c>
      <c r="GF97" s="59">
        <f t="shared" si="104"/>
        <v>225.33715877618704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2.1789208173694612</v>
      </c>
      <c r="GN97" s="21">
        <f>EXP(-LN(2)/2)*GN96+(1-EXP(-LN(2)/2))/(LN(2)/2)*GH97*GK97*VLOOKUP('Données projet'!$B$17,Paramètres!$A$1:$I$89,3,0)*0.475*44/12</f>
        <v>5.5249221329155777E-9</v>
      </c>
      <c r="GO97" s="21">
        <f t="shared" si="81"/>
        <v>2.1789208228943835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4.9000000000000004</v>
      </c>
      <c r="GU97" s="12">
        <f>IF('Données projet'!$A$270&gt;35,GU96+GT97-HC96,IF(A97&lt;'Données projet'!$A$270,$GR$205^A97,IF(A97='Données projet'!$A$270,'Données projet'!$B$270,GU96+GT97-HC96)))</f>
        <v>273.60000000000036</v>
      </c>
      <c r="GV97" s="17">
        <f>GU97*VLOOKUP('Données projet'!$B$18,Paramètres!$A$1:$I$89,3,0)*VLOOKUP('Données projet'!$B$18,Paramètres!$A$1:$I$89,5,0)</f>
        <v>264.62592000000035</v>
      </c>
      <c r="GW97" s="13">
        <f t="shared" si="105"/>
        <v>63.707422801198717</v>
      </c>
      <c r="GX97" s="20">
        <f t="shared" si="82"/>
        <v>571.84723871208837</v>
      </c>
      <c r="GY97" s="59">
        <f t="shared" si="83"/>
        <v>865.18057204542174</v>
      </c>
      <c r="GZ97" s="59">
        <f ca="1">AVERAGE(OFFSET($GY$3,0,0,'Données projet'!$E$18+1,1))-AVERAGE(OFFSET($H$3,0,0,'Données projet'!$E$18+1,1))</f>
        <v>261.22357949323879</v>
      </c>
      <c r="HA97" s="59">
        <f t="shared" si="106"/>
        <v>163.41029152029387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0.56301467298761443</v>
      </c>
      <c r="HI97" s="21">
        <f>EXP(-LN(2)/2)*HI96+(1-EXP(-LN(2)/2))/(LN(2)/2)*HC97*HF97*VLOOKUP('Données projet'!$B$18,Paramètres!$A$1:$I$89,3,0)*0.475*44/12</f>
        <v>1.54045397196801E-9</v>
      </c>
      <c r="HJ97" s="22">
        <f t="shared" si="84"/>
        <v>0.56301467452806842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237.22177246688199</v>
      </c>
      <c r="T98" s="59">
        <f t="shared" si="88"/>
        <v>149.27472147904302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2.9</v>
      </c>
      <c r="AI98" s="13">
        <f>IF('Données projet'!$A$62&gt;35,AI97+AH98-AQ97,IF(A98&lt;'Données projet'!$A$62,$AF$205^A98,IF(A98='Données projet'!$A$62,'Données projet'!$B$62,AI97+AH98-AQ97)))</f>
        <v>236.49999999999983</v>
      </c>
      <c r="AJ98" s="13">
        <f>AI98*VLOOKUP('Données projet'!$B$10,Paramètres!$A$1:$I$89,3,0)*VLOOKUP('Données projet'!$B$10,Paramètres!$A$1:$I$89,5,0)</f>
        <v>206.60639999999987</v>
      </c>
      <c r="AK98" s="13">
        <f t="shared" si="89"/>
        <v>51.193297014518976</v>
      </c>
      <c r="AL98" s="20">
        <f t="shared" si="58"/>
        <v>449.00113896695365</v>
      </c>
      <c r="AM98" s="59">
        <f t="shared" si="59"/>
        <v>742.33447230028696</v>
      </c>
      <c r="AN98" s="59">
        <f ca="1">AVERAGE(OFFSET($AM$3,0,0,'Données projet'!$E$10+1,1))-AVERAGE(OFFSET($H$3,0,0,'Données projet'!$E$10+1,1))</f>
        <v>210.07838338464626</v>
      </c>
      <c r="AO98" s="59">
        <f t="shared" si="90"/>
        <v>241.76003724236273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1.4629787336807283</v>
      </c>
      <c r="AV98" s="21">
        <f>EXP(-LN(2)/25)*AV97+(1-EXP(-LN(2)/25))/(LN(2)/25)*Calculateur!AQ98*Calculateur!AS98*VLOOKUP('Données projet'!$B$10,Paramètres!$A$1:$I$89,3,0)*0.475*44/12</f>
        <v>2.2365505577307467</v>
      </c>
      <c r="AW98" s="21">
        <f>EXP(-LN(2)/2)*AW97+(1-EXP(-LN(2)/2))/(LN(2)/2)*AQ98*AT98*VLOOKUP('Données projet'!$B$10,Paramètres!$A$1:$I$89,3,0)*0.475*44/12</f>
        <v>2.6294734674846566E-9</v>
      </c>
      <c r="AX98" s="21">
        <f t="shared" si="60"/>
        <v>3.6995292940409485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6.2527760746888816E-13</v>
      </c>
      <c r="BE98" s="13">
        <f>BD98*VLOOKUP('Données projet'!$B$11,Paramètres!$A$1:$I$89,3,0)*VLOOKUP('Données projet'!$B$11,Paramètres!$A$1:$I$89,5,0)</f>
        <v>3.9017322706058616E-13</v>
      </c>
      <c r="BF98" s="13">
        <f t="shared" si="91"/>
        <v>5.0025007393608908E-12</v>
      </c>
      <c r="BG98" s="20">
        <f t="shared" si="61"/>
        <v>9.3922404915174053E-12</v>
      </c>
      <c r="BH98" s="59">
        <f t="shared" si="62"/>
        <v>293.33333333334269</v>
      </c>
      <c r="BI98" s="59">
        <f ca="1">AVERAGE(OFFSET($BH$3,0,0,'Données projet'!$E$11+1,1))-AVERAGE(OFFSET($H$3,0,0,'Données projet'!$E$11+1,1))</f>
        <v>209.93608079129638</v>
      </c>
      <c r="BJ98" s="59">
        <f t="shared" si="92"/>
        <v>240.15652428700969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1.9192719932085809</v>
      </c>
      <c r="BQ98" s="21">
        <f>EXP(-LN(2)/25)*BQ97+(1-EXP(-LN(2)/25))/(LN(2)/25)*Calculateur!BL98*Calculateur!BN98*VLOOKUP('Données projet'!$B$11,Paramètres!$A$1:$I$89,3,0)*0.475*44/12</f>
        <v>3.4287262073179772</v>
      </c>
      <c r="BR98" s="21">
        <f>EXP(-LN(2)/2)*BR97+(1-EXP(-LN(2)/2))/(LN(2)/2)*BL98*BO98*VLOOKUP('Données projet'!$B$11,Paramètres!$A$1:$I$89,3,0)*0.475*44/12</f>
        <v>3.3241376654159808E-9</v>
      </c>
      <c r="BS98" s="22">
        <f t="shared" si="63"/>
        <v>5.347998203850695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633.69999999999993</v>
      </c>
      <c r="BZ98" s="13">
        <f>BY98*VLOOKUP('Données projet'!$B$12,Paramètres!$A$1:$I$89,3,0)*VLOOKUP('Données projet'!$B$12,Paramètres!$A$1:$I$89,5,0)</f>
        <v>296.57159999999999</v>
      </c>
      <c r="CA98" s="13">
        <f t="shared" si="93"/>
        <v>70.457259073622822</v>
      </c>
      <c r="CB98" s="20">
        <f t="shared" si="64"/>
        <v>639.24192955322633</v>
      </c>
      <c r="CC98" s="59">
        <f t="shared" si="65"/>
        <v>932.57526288655959</v>
      </c>
      <c r="CD98" s="59">
        <f ca="1">AVERAGE(OFFSET($CC$3,0,0,'Données projet'!$E$12+1,1))-AVERAGE(OFFSET($H$3,0,0,'Données projet'!$E$12+1,1))</f>
        <v>215.23235148064941</v>
      </c>
      <c r="CE98" s="59">
        <f t="shared" si="94"/>
        <v>184.07239726900434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0.8652146690812621</v>
      </c>
      <c r="CL98" s="21">
        <f>EXP(-LN(2)/25)*CL97+(1-EXP(-LN(2)/25))/(LN(2)/25)*Calculateur!CG98*Calculateur!CI98*VLOOKUP('Données projet'!$B$12,Paramètres!$A$1:$I$89,3,0)*0.475*44/12</f>
        <v>1.2956684197360684</v>
      </c>
      <c r="CM98" s="21">
        <f>EXP(-LN(2)/2)*CM97+(1-EXP(-LN(2)/2))/(LN(2)/2)*CG98*CJ98*VLOOKUP('Données projet'!$B$12,Paramètres!$A$1:$I$89,3,0)*0.475*44/12</f>
        <v>1.6187314556539471E-9</v>
      </c>
      <c r="CN98" s="22">
        <f t="shared" si="66"/>
        <v>2.1608830904360619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4.9000000000000004</v>
      </c>
      <c r="CT98" s="12">
        <f>IF('Données projet'!$A$140&gt;35,CT97+CS98-DB97,IF(A98&lt;'Données projet'!$A$140,$CQ$205^A98,IF(A98='Données projet'!$A$140,'Données projet'!$B$140,CT97+CS98-DB97)))</f>
        <v>278.50000000000034</v>
      </c>
      <c r="CU98" s="17">
        <f>CT98*VLOOKUP('Données projet'!$B$13,Paramètres!$A$1:$I$89,3,0)*VLOOKUP('Données projet'!$B$13,Paramètres!$A$1:$I$89,5,0)</f>
        <v>282.3990000000004</v>
      </c>
      <c r="CV98" s="13">
        <f t="shared" si="95"/>
        <v>67.473734542548499</v>
      </c>
      <c r="CW98" s="20">
        <f t="shared" si="67"/>
        <v>609.36167932827254</v>
      </c>
      <c r="CX98" s="59">
        <f t="shared" si="68"/>
        <v>902.69501266160592</v>
      </c>
      <c r="CY98" s="59">
        <f ca="1">AVERAGE(OFFSET($CX$3,0,0,'Données projet'!$E$13+1,1))-AVERAGE(OFFSET($H$3,0,0,'Données projet'!$E$13+1,1))</f>
        <v>279.20364724206644</v>
      </c>
      <c r="CZ98" s="59">
        <f t="shared" si="96"/>
        <v>173.99850582760712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0.57411670104132839</v>
      </c>
      <c r="DH98" s="21">
        <f>EXP(-LN(2)/2)*DH97+(1-EXP(-LN(2)/2))/(LN(2)/2)*DB98*DE98*VLOOKUP('Données projet'!$B$13,Paramètres!$A$1:$I$89,3,0)*0.475*44/12</f>
        <v>1.1419718424109929E-9</v>
      </c>
      <c r="DI98" s="22">
        <f t="shared" si="69"/>
        <v>0.57411670218330024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4.9000000000000004</v>
      </c>
      <c r="DO98" s="12">
        <f>IF('Données projet'!$A$166&gt;35,DO97+DN98-DW97,IF(A98&lt;'Données projet'!$A$166,$DL$205^A98,IF(A98='Données projet'!$A$166,'Données projet'!$B$166,DO97+DN98-DW97)))</f>
        <v>278.50000000000034</v>
      </c>
      <c r="DP98" s="17">
        <f>DO98*VLOOKUP('Données projet'!$B$14,Paramètres!$A$1:$I$89,3,0)*VLOOKUP('Données projet'!$B$14,Paramètres!$A$1:$I$89,5,0)</f>
        <v>291.08820000000037</v>
      </c>
      <c r="DQ98" s="13">
        <f t="shared" si="97"/>
        <v>69.304941604536694</v>
      </c>
      <c r="DR98" s="20">
        <f t="shared" si="70"/>
        <v>627.68472162790204</v>
      </c>
      <c r="DS98" s="59">
        <f t="shared" si="71"/>
        <v>921.01805496123529</v>
      </c>
      <c r="DT98" s="59">
        <f ca="1">AVERAGE(OFFSET($DS$3,0,0,'Données projet'!$E$14+1,1))-AVERAGE(OFFSET($H$3,0,0,'Données projet'!$E$14+1,1))</f>
        <v>291.18074901939718</v>
      </c>
      <c r="DU98" s="59">
        <f t="shared" si="98"/>
        <v>181.05123751753774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0.59178183030413845</v>
      </c>
      <c r="EC98" s="21">
        <f>EXP(-LN(2)/2)*EC97+(1-EXP(-LN(2)/2))/(LN(2)/2)*DW98*DZ98*VLOOKUP('Données projet'!$B$14,Paramètres!$A$1:$I$89,3,0)*0.475*44/12</f>
        <v>1.1771094375621015E-9</v>
      </c>
      <c r="ED98" s="22">
        <f t="shared" si="72"/>
        <v>0.59178183148124786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168.08890945052406</v>
      </c>
      <c r="EP98" s="59">
        <f t="shared" si="100"/>
        <v>182.52462557642343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1.7147239418550793</v>
      </c>
      <c r="EW98" s="21">
        <f>EXP(-LN(2)/25)*EW97+(1-EXP(-LN(2)/25))/(LN(2)/25)*Calculateur!ER98*Calculateur!ET98*VLOOKUP('Données projet'!$B$15,Paramètres!$A$1:$I$89,3,0)*0.475*44/12</f>
        <v>2.0338370847830967</v>
      </c>
      <c r="EX98" s="21">
        <f>EXP(-LN(2)/2)*EX97+(1-EXP(-LN(2)/2))/(LN(2)/2)*ER98*EU98*VLOOKUP('Données projet'!$B$15,Paramètres!$A$1:$I$89,3,0)*0.475*44/12</f>
        <v>8.9655770127748031E-10</v>
      </c>
      <c r="EY98" s="22">
        <f t="shared" si="75"/>
        <v>3.7485610275347332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3.813056537183002E-14</v>
      </c>
      <c r="FG98" s="13">
        <f t="shared" si="101"/>
        <v>6.4086286045526829E-13</v>
      </c>
      <c r="FH98" s="20">
        <f t="shared" si="76"/>
        <v>1.1825802166488628E-12</v>
      </c>
      <c r="FI98" s="59">
        <f t="shared" si="77"/>
        <v>293.33333333333451</v>
      </c>
      <c r="FJ98" s="59">
        <f ca="1">AVERAGE(OFFSET($FI$3,0,0,'Données projet'!$E$16+1,1))-AVERAGE(OFFSET($H$3,0,0,'Données projet'!$E$16+1,1))</f>
        <v>156.63226020379989</v>
      </c>
      <c r="FK98" s="59">
        <f t="shared" si="102"/>
        <v>196.0481096619543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1.4300101919123989</v>
      </c>
      <c r="FS98" s="21">
        <f>EXP(-LN(2)/2)*FS97+(1-EXP(-LN(2)/2))/(LN(2)/2)*FM98*FP98*VLOOKUP('Données projet'!$B$16,Paramètres!$A$1:$I$89,3,0)*0.475*44/12</f>
        <v>1.4938210912705478E-9</v>
      </c>
      <c r="FT98" s="22">
        <f t="shared" si="78"/>
        <v>1.4300101934062199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-4.5474735088646412E-13</v>
      </c>
      <c r="GA98" s="17">
        <f>FZ98*VLOOKUP('Données projet'!$B$17,Paramètres!$A$1:$I$89,3,0)*VLOOKUP('Données projet'!$B$17,Paramètres!$A$1:$I$89,5,0)</f>
        <v>-2.7193891583010558E-13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216.94426559495264</v>
      </c>
      <c r="GF98" s="59">
        <f t="shared" si="104"/>
        <v>225.33715877618704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2.1193381130340274</v>
      </c>
      <c r="GN98" s="21">
        <f>EXP(-LN(2)/2)*GN97+(1-EXP(-LN(2)/2))/(LN(2)/2)*GH98*GK98*VLOOKUP('Données projet'!$B$17,Paramètres!$A$1:$I$89,3,0)*0.475*44/12</f>
        <v>3.9067099057122488E-9</v>
      </c>
      <c r="GO98" s="21">
        <f t="shared" si="81"/>
        <v>2.1193381169407375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4.9000000000000004</v>
      </c>
      <c r="GU98" s="12">
        <f>IF('Données projet'!$A$270&gt;35,GU97+GT98-HC97,IF(A98&lt;'Données projet'!$A$270,$GR$205^A98,IF(A98='Données projet'!$A$270,'Données projet'!$B$270,GU97+GT98-HC97)))</f>
        <v>278.50000000000034</v>
      </c>
      <c r="GV98" s="17">
        <f>GU98*VLOOKUP('Données projet'!$B$18,Paramètres!$A$1:$I$89,3,0)*VLOOKUP('Données projet'!$B$18,Paramètres!$A$1:$I$89,5,0)</f>
        <v>269.36520000000036</v>
      </c>
      <c r="GW98" s="13">
        <f t="shared" si="105"/>
        <v>64.714530255967148</v>
      </c>
      <c r="GX98" s="20">
        <f t="shared" si="82"/>
        <v>581.85553019581005</v>
      </c>
      <c r="GY98" s="59">
        <f t="shared" si="83"/>
        <v>875.18886352914342</v>
      </c>
      <c r="GZ98" s="59">
        <f ca="1">AVERAGE(OFFSET($GY$3,0,0,'Données projet'!$E$18+1,1))-AVERAGE(OFFSET($H$3,0,0,'Données projet'!$E$18+1,1))</f>
        <v>261.22357949323879</v>
      </c>
      <c r="HA98" s="59">
        <f t="shared" si="106"/>
        <v>163.41029152029387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0.5476190071471132</v>
      </c>
      <c r="HI98" s="21">
        <f>EXP(-LN(2)/2)*HI97+(1-EXP(-LN(2)/2))/(LN(2)/2)*HC98*HF98*VLOOKUP('Données projet'!$B$18,Paramètres!$A$1:$I$89,3,0)*0.475*44/12</f>
        <v>1.0892654496843316E-9</v>
      </c>
      <c r="HJ98" s="22">
        <f t="shared" si="84"/>
        <v>0.54761900823637866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237.22177246688199</v>
      </c>
      <c r="T99" s="59">
        <f t="shared" si="88"/>
        <v>149.27472147904302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2.9</v>
      </c>
      <c r="AI99" s="13">
        <f>IF('Données projet'!$A$62&gt;35,AI98+AH99-AQ98,IF(A99&lt;'Données projet'!$A$62,$AF$205^A99,IF(A99='Données projet'!$A$62,'Données projet'!$B$62,AI98+AH99-AQ98)))</f>
        <v>239.39999999999984</v>
      </c>
      <c r="AJ99" s="13">
        <f>AI99*VLOOKUP('Données projet'!$B$10,Paramètres!$A$1:$I$89,3,0)*VLOOKUP('Données projet'!$B$10,Paramètres!$A$1:$I$89,5,0)</f>
        <v>209.13983999999985</v>
      </c>
      <c r="AK99" s="13">
        <f t="shared" si="89"/>
        <v>51.747574219710216</v>
      </c>
      <c r="AL99" s="20">
        <f t="shared" si="58"/>
        <v>454.37891309932837</v>
      </c>
      <c r="AM99" s="59">
        <f t="shared" si="59"/>
        <v>747.71224643266169</v>
      </c>
      <c r="AN99" s="59">
        <f ca="1">AVERAGE(OFFSET($AM$3,0,0,'Données projet'!$E$10+1,1))-AVERAGE(OFFSET($H$3,0,0,'Données projet'!$E$10+1,1))</f>
        <v>210.07838338464626</v>
      </c>
      <c r="AO99" s="59">
        <f t="shared" si="90"/>
        <v>241.76003724236273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1.4342906130421667</v>
      </c>
      <c r="AV99" s="21">
        <f>EXP(-LN(2)/25)*AV98+(1-EXP(-LN(2)/25))/(LN(2)/25)*Calculateur!AQ99*Calculateur!AS99*VLOOKUP('Données projet'!$B$10,Paramètres!$A$1:$I$89,3,0)*0.475*44/12</f>
        <v>2.1753919651145175</v>
      </c>
      <c r="AW99" s="21">
        <f>EXP(-LN(2)/2)*AW98+(1-EXP(-LN(2)/2))/(LN(2)/2)*AQ99*AT99*VLOOKUP('Données projet'!$B$10,Paramètres!$A$1:$I$89,3,0)*0.475*44/12</f>
        <v>1.8593185198085056E-9</v>
      </c>
      <c r="AX99" s="21">
        <f t="shared" si="60"/>
        <v>3.6096825800160026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6.2527760746888816E-13</v>
      </c>
      <c r="BE99" s="13">
        <f>BD99*VLOOKUP('Données projet'!$B$11,Paramètres!$A$1:$I$89,3,0)*VLOOKUP('Données projet'!$B$11,Paramètres!$A$1:$I$89,5,0)</f>
        <v>3.9017322706058616E-13</v>
      </c>
      <c r="BF99" s="13">
        <f t="shared" si="91"/>
        <v>5.0025007393608908E-12</v>
      </c>
      <c r="BG99" s="20">
        <f t="shared" si="61"/>
        <v>9.3922404915174053E-12</v>
      </c>
      <c r="BH99" s="59">
        <f t="shared" si="62"/>
        <v>293.33333333334269</v>
      </c>
      <c r="BI99" s="59">
        <f ca="1">AVERAGE(OFFSET($BH$3,0,0,'Données projet'!$E$11+1,1))-AVERAGE(OFFSET($H$3,0,0,'Données projet'!$E$11+1,1))</f>
        <v>209.93608079129638</v>
      </c>
      <c r="BJ99" s="59">
        <f t="shared" si="92"/>
        <v>240.15652428700969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1.8816362400620854</v>
      </c>
      <c r="BQ99" s="21">
        <f>EXP(-LN(2)/25)*BQ98+(1-EXP(-LN(2)/25))/(LN(2)/25)*Calculateur!BL99*Calculateur!BN99*VLOOKUP('Données projet'!$B$11,Paramètres!$A$1:$I$89,3,0)*0.475*44/12</f>
        <v>3.3349675088699922</v>
      </c>
      <c r="BR99" s="21">
        <f>EXP(-LN(2)/2)*BR98+(1-EXP(-LN(2)/2))/(LN(2)/2)*BL99*BO99*VLOOKUP('Données projet'!$B$11,Paramètres!$A$1:$I$89,3,0)*0.475*44/12</f>
        <v>2.3505202848132588E-9</v>
      </c>
      <c r="BS99" s="22">
        <f t="shared" si="63"/>
        <v>5.216603751282598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652.19999999999993</v>
      </c>
      <c r="BZ99" s="13">
        <f>BY99*VLOOKUP('Données projet'!$B$12,Paramètres!$A$1:$I$89,3,0)*VLOOKUP('Données projet'!$B$12,Paramètres!$A$1:$I$89,5,0)</f>
        <v>305.22959999999995</v>
      </c>
      <c r="CA99" s="13">
        <f t="shared" si="93"/>
        <v>72.271683388093081</v>
      </c>
      <c r="CB99" s="20">
        <f t="shared" si="64"/>
        <v>657.48140190092874</v>
      </c>
      <c r="CC99" s="59">
        <f t="shared" si="65"/>
        <v>950.81473523426212</v>
      </c>
      <c r="CD99" s="59">
        <f ca="1">AVERAGE(OFFSET($CC$3,0,0,'Données projet'!$E$12+1,1))-AVERAGE(OFFSET($H$3,0,0,'Données projet'!$E$12+1,1))</f>
        <v>215.23235148064941</v>
      </c>
      <c r="CE99" s="59">
        <f t="shared" si="94"/>
        <v>184.07239726900434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0.84824833714941783</v>
      </c>
      <c r="CL99" s="21">
        <f>EXP(-LN(2)/25)*CL98+(1-EXP(-LN(2)/25))/(LN(2)/25)*Calculateur!CG99*Calculateur!CI99*VLOOKUP('Données projet'!$B$12,Paramètres!$A$1:$I$89,3,0)*0.475*44/12</f>
        <v>1.2602382986621448</v>
      </c>
      <c r="CM99" s="21">
        <f>EXP(-LN(2)/2)*CM98+(1-EXP(-LN(2)/2))/(LN(2)/2)*CG99*CJ99*VLOOKUP('Données projet'!$B$12,Paramètres!$A$1:$I$89,3,0)*0.475*44/12</f>
        <v>1.1446159892128771E-9</v>
      </c>
      <c r="CN99" s="22">
        <f t="shared" si="66"/>
        <v>2.1084866369561786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4.9000000000000004</v>
      </c>
      <c r="CT99" s="12">
        <f>IF('Données projet'!$A$140&gt;35,CT98+CS99-DB98,IF(A99&lt;'Données projet'!$A$140,$CQ$205^A99,IF(A99='Données projet'!$A$140,'Données projet'!$B$140,CT98+CS99-DB98)))</f>
        <v>283.40000000000032</v>
      </c>
      <c r="CU99" s="17">
        <f>CT99*VLOOKUP('Données projet'!$B$13,Paramètres!$A$1:$I$89,3,0)*VLOOKUP('Données projet'!$B$13,Paramètres!$A$1:$I$89,5,0)</f>
        <v>287.36760000000032</v>
      </c>
      <c r="CV99" s="13">
        <f t="shared" si="95"/>
        <v>68.52163320156518</v>
      </c>
      <c r="CW99" s="20">
        <f t="shared" si="67"/>
        <v>619.84041449272661</v>
      </c>
      <c r="CX99" s="59">
        <f t="shared" si="68"/>
        <v>913.17374782605998</v>
      </c>
      <c r="CY99" s="59">
        <f ca="1">AVERAGE(OFFSET($CX$3,0,0,'Données projet'!$E$13+1,1))-AVERAGE(OFFSET($H$3,0,0,'Données projet'!$E$13+1,1))</f>
        <v>279.20364724206644</v>
      </c>
      <c r="CZ99" s="59">
        <f t="shared" si="96"/>
        <v>173.99850582760712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0.55841744965986817</v>
      </c>
      <c r="DH99" s="21">
        <f>EXP(-LN(2)/2)*DH98+(1-EXP(-LN(2)/2))/(LN(2)/2)*DB99*DE99*VLOOKUP('Données projet'!$B$13,Paramètres!$A$1:$I$89,3,0)*0.475*44/12</f>
        <v>8.074960336929085E-10</v>
      </c>
      <c r="DI99" s="22">
        <f t="shared" si="69"/>
        <v>0.55841745046736424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4.9000000000000004</v>
      </c>
      <c r="DO99" s="12">
        <f>IF('Données projet'!$A$166&gt;35,DO98+DN99-DW98,IF(A99&lt;'Données projet'!$A$166,$DL$205^A99,IF(A99='Données projet'!$A$166,'Données projet'!$B$166,DO98+DN99-DW98)))</f>
        <v>283.40000000000032</v>
      </c>
      <c r="DP99" s="17">
        <f>DO99*VLOOKUP('Données projet'!$B$14,Paramètres!$A$1:$I$89,3,0)*VLOOKUP('Données projet'!$B$14,Paramètres!$A$1:$I$89,5,0)</f>
        <v>296.20968000000033</v>
      </c>
      <c r="DQ99" s="13">
        <f t="shared" si="97"/>
        <v>70.38127976579301</v>
      </c>
      <c r="DR99" s="20">
        <f t="shared" si="70"/>
        <v>638.47925492542333</v>
      </c>
      <c r="DS99" s="59">
        <f t="shared" si="71"/>
        <v>931.8125882587567</v>
      </c>
      <c r="DT99" s="59">
        <f ca="1">AVERAGE(OFFSET($DS$3,0,0,'Données projet'!$E$14+1,1))-AVERAGE(OFFSET($H$3,0,0,'Données projet'!$E$14+1,1))</f>
        <v>291.18074901939718</v>
      </c>
      <c r="DU99" s="59">
        <f t="shared" si="98"/>
        <v>181.05123751753774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0.5755995250340179</v>
      </c>
      <c r="EC99" s="21">
        <f>EXP(-LN(2)/2)*EC98+(1-EXP(-LN(2)/2))/(LN(2)/2)*DW99*DZ99*VLOOKUP('Données projet'!$B$14,Paramètres!$A$1:$I$89,3,0)*0.475*44/12</f>
        <v>8.3234206549884496E-10</v>
      </c>
      <c r="ED99" s="22">
        <f t="shared" si="72"/>
        <v>0.57559952586635998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168.08890945052406</v>
      </c>
      <c r="EP99" s="59">
        <f t="shared" si="100"/>
        <v>182.52462557642343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1.6810992512336338</v>
      </c>
      <c r="EW99" s="21">
        <f>EXP(-LN(2)/25)*EW98+(1-EXP(-LN(2)/25))/(LN(2)/25)*Calculateur!ER99*Calculateur!ET99*VLOOKUP('Données projet'!$B$15,Paramètres!$A$1:$I$89,3,0)*0.475*44/12</f>
        <v>1.978221702744859</v>
      </c>
      <c r="EX99" s="21">
        <f>EXP(-LN(2)/2)*EX98+(1-EXP(-LN(2)/2))/(LN(2)/2)*ER99*EU99*VLOOKUP('Données projet'!$B$15,Paramètres!$A$1:$I$89,3,0)*0.475*44/12</f>
        <v>6.339620302983293E-10</v>
      </c>
      <c r="EY99" s="22">
        <f t="shared" si="75"/>
        <v>3.659320954612455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3.813056537183002E-14</v>
      </c>
      <c r="FG99" s="13">
        <f t="shared" si="101"/>
        <v>6.4086286045526829E-13</v>
      </c>
      <c r="FH99" s="20">
        <f t="shared" si="76"/>
        <v>1.1825802166488628E-12</v>
      </c>
      <c r="FI99" s="59">
        <f t="shared" si="77"/>
        <v>293.33333333333451</v>
      </c>
      <c r="FJ99" s="59">
        <f ca="1">AVERAGE(OFFSET($FI$3,0,0,'Données projet'!$E$16+1,1))-AVERAGE(OFFSET($H$3,0,0,'Données projet'!$E$16+1,1))</f>
        <v>156.63226020379989</v>
      </c>
      <c r="FK99" s="59">
        <f t="shared" si="102"/>
        <v>196.0481096619543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1.3909064880135866</v>
      </c>
      <c r="FS99" s="21">
        <f>EXP(-LN(2)/2)*FS98+(1-EXP(-LN(2)/2))/(LN(2)/2)*FM99*FP99*VLOOKUP('Données projet'!$B$16,Paramètres!$A$1:$I$89,3,0)*0.475*44/12</f>
        <v>1.0562910235168929E-9</v>
      </c>
      <c r="FT99" s="22">
        <f t="shared" si="78"/>
        <v>1.3909064890698777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-4.5474735088646412E-13</v>
      </c>
      <c r="GA99" s="17">
        <f>FZ99*VLOOKUP('Données projet'!$B$17,Paramètres!$A$1:$I$89,3,0)*VLOOKUP('Données projet'!$B$17,Paramètres!$A$1:$I$89,5,0)</f>
        <v>-2.7193891583010558E-13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216.94426559495264</v>
      </c>
      <c r="GF99" s="59">
        <f t="shared" si="104"/>
        <v>225.33715877618704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2.0613847008819643</v>
      </c>
      <c r="GN99" s="21">
        <f>EXP(-LN(2)/2)*GN98+(1-EXP(-LN(2)/2))/(LN(2)/2)*GH99*GK99*VLOOKUP('Données projet'!$B$17,Paramètres!$A$1:$I$89,3,0)*0.475*44/12</f>
        <v>2.7624610664577889E-9</v>
      </c>
      <c r="GO99" s="21">
        <f t="shared" si="81"/>
        <v>2.0613847036444253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4.9000000000000004</v>
      </c>
      <c r="GU99" s="12">
        <f>IF('Données projet'!$A$270&gt;35,GU98+GT99-HC98,IF(A99&lt;'Données projet'!$A$270,$GR$205^A99,IF(A99='Données projet'!$A$270,'Données projet'!$B$270,GU98+GT99-HC98)))</f>
        <v>283.40000000000032</v>
      </c>
      <c r="GV99" s="17">
        <f>GU99*VLOOKUP('Données projet'!$B$18,Paramètres!$A$1:$I$89,3,0)*VLOOKUP('Données projet'!$B$18,Paramètres!$A$1:$I$89,5,0)</f>
        <v>274.10448000000031</v>
      </c>
      <c r="GW99" s="13">
        <f t="shared" si="105"/>
        <v>65.719577181765573</v>
      </c>
      <c r="GX99" s="20">
        <f t="shared" si="82"/>
        <v>591.86023292490881</v>
      </c>
      <c r="GY99" s="59">
        <f t="shared" si="83"/>
        <v>885.19356625824207</v>
      </c>
      <c r="GZ99" s="59">
        <f ca="1">AVERAGE(OFFSET($GY$3,0,0,'Données projet'!$E$18+1,1))-AVERAGE(OFFSET($H$3,0,0,'Données projet'!$E$18+1,1))</f>
        <v>261.22357949323879</v>
      </c>
      <c r="HA99" s="59">
        <f t="shared" si="106"/>
        <v>163.41029152029387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0.53264433659864341</v>
      </c>
      <c r="HI99" s="21">
        <f>EXP(-LN(2)/2)*HI98+(1-EXP(-LN(2)/2))/(LN(2)/2)*HC99*HF99*VLOOKUP('Données projet'!$B$18,Paramètres!$A$1:$I$89,3,0)*0.475*44/12</f>
        <v>7.7022698598400501E-10</v>
      </c>
      <c r="HJ99" s="22">
        <f t="shared" si="84"/>
        <v>0.5326443373688704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237.22177246688199</v>
      </c>
      <c r="T100" s="59">
        <f t="shared" si="88"/>
        <v>149.27472147904302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2.9</v>
      </c>
      <c r="AI100" s="13">
        <f>IF('Données projet'!$A$62&gt;35,AI99+AH100-AQ99,IF(A100&lt;'Données projet'!$A$62,$AF$205^A100,IF(A100='Données projet'!$A$62,'Données projet'!$B$62,AI99+AH100-AQ99)))</f>
        <v>242.29999999999984</v>
      </c>
      <c r="AJ100" s="13">
        <f>AI100*VLOOKUP('Données projet'!$B$10,Paramètres!$A$1:$I$89,3,0)*VLOOKUP('Données projet'!$B$10,Paramètres!$A$1:$I$89,5,0)</f>
        <v>211.67327999999989</v>
      </c>
      <c r="AK100" s="13">
        <f t="shared" si="89"/>
        <v>52.301070410691352</v>
      </c>
      <c r="AL100" s="20">
        <f t="shared" si="58"/>
        <v>459.75532696528722</v>
      </c>
      <c r="AM100" s="59">
        <f t="shared" si="59"/>
        <v>753.08866029862054</v>
      </c>
      <c r="AN100" s="59">
        <f ca="1">AVERAGE(OFFSET($AM$3,0,0,'Données projet'!$E$10+1,1))-AVERAGE(OFFSET($H$3,0,0,'Données projet'!$E$10+1,1))</f>
        <v>210.07838338464626</v>
      </c>
      <c r="AO100" s="59">
        <f t="shared" si="90"/>
        <v>241.76003724236273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1.4061650489513013</v>
      </c>
      <c r="AV100" s="21">
        <f>EXP(-LN(2)/25)*AV99+(1-EXP(-LN(2)/25))/(LN(2)/25)*Calculateur!AQ100*Calculateur!AS100*VLOOKUP('Données projet'!$B$10,Paramètres!$A$1:$I$89,3,0)*0.475*44/12</f>
        <v>2.1159057574295694</v>
      </c>
      <c r="AW100" s="21">
        <f>EXP(-LN(2)/2)*AW99+(1-EXP(-LN(2)/2))/(LN(2)/2)*AQ100*AT100*VLOOKUP('Données projet'!$B$10,Paramètres!$A$1:$I$89,3,0)*0.475*44/12</f>
        <v>1.3147367337423285E-9</v>
      </c>
      <c r="AX100" s="21">
        <f t="shared" si="60"/>
        <v>3.5220708076956075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6.2527760746888816E-13</v>
      </c>
      <c r="BE100" s="13">
        <f>BD100*VLOOKUP('Données projet'!$B$11,Paramètres!$A$1:$I$89,3,0)*VLOOKUP('Données projet'!$B$11,Paramètres!$A$1:$I$89,5,0)</f>
        <v>3.9017322706058616E-13</v>
      </c>
      <c r="BF100" s="13">
        <f t="shared" si="91"/>
        <v>5.0025007393608908E-12</v>
      </c>
      <c r="BG100" s="20">
        <f t="shared" si="61"/>
        <v>9.3922404915174053E-12</v>
      </c>
      <c r="BH100" s="59">
        <f t="shared" si="62"/>
        <v>293.33333333334269</v>
      </c>
      <c r="BI100" s="59">
        <f ca="1">AVERAGE(OFFSET($BH$3,0,0,'Données projet'!$E$11+1,1))-AVERAGE(OFFSET($H$3,0,0,'Données projet'!$E$11+1,1))</f>
        <v>209.93608079129638</v>
      </c>
      <c r="BJ100" s="59">
        <f t="shared" si="92"/>
        <v>240.15652428700969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1.8447385010792499</v>
      </c>
      <c r="BQ100" s="21">
        <f>EXP(-LN(2)/25)*BQ99+(1-EXP(-LN(2)/25))/(LN(2)/25)*Calculateur!BL100*Calculateur!BN100*VLOOKUP('Données projet'!$B$11,Paramètres!$A$1:$I$89,3,0)*0.475*44/12</f>
        <v>3.2437726469616233</v>
      </c>
      <c r="BR100" s="21">
        <f>EXP(-LN(2)/2)*BR99+(1-EXP(-LN(2)/2))/(LN(2)/2)*BL100*BO100*VLOOKUP('Données projet'!$B$11,Paramètres!$A$1:$I$89,3,0)*0.475*44/12</f>
        <v>1.6620688327079904E-9</v>
      </c>
      <c r="BS100" s="22">
        <f t="shared" si="63"/>
        <v>5.088511149702942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670.69999999999993</v>
      </c>
      <c r="BZ100" s="13">
        <f>BY100*VLOOKUP('Données projet'!$B$12,Paramètres!$A$1:$I$89,3,0)*VLOOKUP('Données projet'!$B$12,Paramètres!$A$1:$I$89,5,0)</f>
        <v>313.88759999999996</v>
      </c>
      <c r="CA100" s="13">
        <f t="shared" si="93"/>
        <v>74.080125962367049</v>
      </c>
      <c r="CB100" s="20">
        <f t="shared" si="64"/>
        <v>675.71045605112249</v>
      </c>
      <c r="CC100" s="59">
        <f t="shared" si="65"/>
        <v>969.04378938445575</v>
      </c>
      <c r="CD100" s="59">
        <f ca="1">AVERAGE(OFFSET($CC$3,0,0,'Données projet'!$E$12+1,1))-AVERAGE(OFFSET($H$3,0,0,'Données projet'!$E$12+1,1))</f>
        <v>215.23235148064941</v>
      </c>
      <c r="CE100" s="59">
        <f t="shared" si="94"/>
        <v>184.07239726900434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0.83161470463831633</v>
      </c>
      <c r="CL100" s="21">
        <f>EXP(-LN(2)/25)*CL99+(1-EXP(-LN(2)/25))/(LN(2)/25)*Calculateur!CG100*Calculateur!CI100*VLOOKUP('Données projet'!$B$12,Paramètres!$A$1:$I$89,3,0)*0.475*44/12</f>
        <v>1.2257770161121766</v>
      </c>
      <c r="CM100" s="21">
        <f>EXP(-LN(2)/2)*CM99+(1-EXP(-LN(2)/2))/(LN(2)/2)*CG100*CJ100*VLOOKUP('Données projet'!$B$12,Paramètres!$A$1:$I$89,3,0)*0.475*44/12</f>
        <v>8.0936572782697355E-10</v>
      </c>
      <c r="CN100" s="22">
        <f t="shared" si="66"/>
        <v>2.0573917215598589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4.9000000000000004</v>
      </c>
      <c r="CT100" s="12">
        <f>IF('Données projet'!$A$140&gt;35,CT99+CS100-DB99,IF(A100&lt;'Données projet'!$A$140,$CQ$205^A100,IF(A100='Données projet'!$A$140,'Données projet'!$B$140,CT99+CS100-DB99)))</f>
        <v>288.3000000000003</v>
      </c>
      <c r="CU100" s="17">
        <f>CT100*VLOOKUP('Données projet'!$B$13,Paramètres!$A$1:$I$89,3,0)*VLOOKUP('Données projet'!$B$13,Paramètres!$A$1:$I$89,5,0)</f>
        <v>292.33620000000036</v>
      </c>
      <c r="CV100" s="13">
        <f t="shared" si="95"/>
        <v>69.567424909623327</v>
      </c>
      <c r="CW100" s="20">
        <f t="shared" si="67"/>
        <v>630.31548005092793</v>
      </c>
      <c r="CX100" s="59">
        <f t="shared" si="68"/>
        <v>923.6488133842613</v>
      </c>
      <c r="CY100" s="59">
        <f ca="1">AVERAGE(OFFSET($CX$3,0,0,'Données projet'!$E$13+1,1))-AVERAGE(OFFSET($H$3,0,0,'Données projet'!$E$13+1,1))</f>
        <v>279.20364724206644</v>
      </c>
      <c r="CZ100" s="59">
        <f t="shared" si="96"/>
        <v>173.99850582760712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0.54314749513302163</v>
      </c>
      <c r="DH100" s="21">
        <f>EXP(-LN(2)/2)*DH99+(1-EXP(-LN(2)/2))/(LN(2)/2)*DB100*DE100*VLOOKUP('Données projet'!$B$13,Paramètres!$A$1:$I$89,3,0)*0.475*44/12</f>
        <v>5.7098592120549646E-10</v>
      </c>
      <c r="DI100" s="22">
        <f t="shared" si="69"/>
        <v>0.54314749570400755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4.9000000000000004</v>
      </c>
      <c r="DO100" s="12">
        <f>IF('Données projet'!$A$166&gt;35,DO99+DN100-DW99,IF(A100&lt;'Données projet'!$A$166,$DL$205^A100,IF(A100='Données projet'!$A$166,'Données projet'!$B$166,DO99+DN100-DW99)))</f>
        <v>288.3000000000003</v>
      </c>
      <c r="DP100" s="17">
        <f>DO100*VLOOKUP('Données projet'!$B$14,Paramètres!$A$1:$I$89,3,0)*VLOOKUP('Données projet'!$B$14,Paramètres!$A$1:$I$89,5,0)</f>
        <v>301.3311600000003</v>
      </c>
      <c r="DQ100" s="13">
        <f t="shared" si="97"/>
        <v>71.455453794381484</v>
      </c>
      <c r="DR100" s="20">
        <f t="shared" si="70"/>
        <v>649.27001902521488</v>
      </c>
      <c r="DS100" s="59">
        <f t="shared" si="71"/>
        <v>942.60335235854814</v>
      </c>
      <c r="DT100" s="59">
        <f ca="1">AVERAGE(OFFSET($DS$3,0,0,'Données projet'!$E$14+1,1))-AVERAGE(OFFSET($H$3,0,0,'Données projet'!$E$14+1,1))</f>
        <v>291.18074901939718</v>
      </c>
      <c r="DU100" s="59">
        <f t="shared" si="98"/>
        <v>181.05123751753774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0.5598597257524992</v>
      </c>
      <c r="EC100" s="21">
        <f>EXP(-LN(2)/2)*EC99+(1-EXP(-LN(2)/2))/(LN(2)/2)*DW100*DZ100*VLOOKUP('Données projet'!$B$14,Paramètres!$A$1:$I$89,3,0)*0.475*44/12</f>
        <v>5.8855471878105076E-10</v>
      </c>
      <c r="ED100" s="22">
        <f t="shared" si="72"/>
        <v>0.55985972634105396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168.08890945052406</v>
      </c>
      <c r="EP100" s="59">
        <f t="shared" si="100"/>
        <v>182.52462557642343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1.6481339202862386</v>
      </c>
      <c r="EW100" s="21">
        <f>EXP(-LN(2)/25)*EW99+(1-EXP(-LN(2)/25))/(LN(2)/25)*Calculateur!ER100*Calculateur!ET100*VLOOKUP('Données projet'!$B$15,Paramètres!$A$1:$I$89,3,0)*0.475*44/12</f>
        <v>1.9241271262531427</v>
      </c>
      <c r="EX100" s="21">
        <f>EXP(-LN(2)/2)*EX99+(1-EXP(-LN(2)/2))/(LN(2)/2)*ER100*EU100*VLOOKUP('Données projet'!$B$15,Paramètres!$A$1:$I$89,3,0)*0.475*44/12</f>
        <v>4.4827885063874015E-10</v>
      </c>
      <c r="EY100" s="22">
        <f t="shared" si="75"/>
        <v>3.5722610469876601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3.813056537183002E-14</v>
      </c>
      <c r="FG100" s="13">
        <f t="shared" si="101"/>
        <v>6.4086286045526829E-13</v>
      </c>
      <c r="FH100" s="20">
        <f t="shared" si="76"/>
        <v>1.1825802166488628E-12</v>
      </c>
      <c r="FI100" s="59">
        <f t="shared" si="77"/>
        <v>293.33333333333451</v>
      </c>
      <c r="FJ100" s="59">
        <f ca="1">AVERAGE(OFFSET($FI$3,0,0,'Données projet'!$E$16+1,1))-AVERAGE(OFFSET($H$3,0,0,'Données projet'!$E$16+1,1))</f>
        <v>156.63226020379989</v>
      </c>
      <c r="FK100" s="59">
        <f t="shared" si="102"/>
        <v>196.0481096619543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1.3528720769542619</v>
      </c>
      <c r="FS100" s="21">
        <f>EXP(-LN(2)/2)*FS99+(1-EXP(-LN(2)/2))/(LN(2)/2)*FM100*FP100*VLOOKUP('Données projet'!$B$16,Paramètres!$A$1:$I$89,3,0)*0.475*44/12</f>
        <v>7.4691054563527389E-10</v>
      </c>
      <c r="FT100" s="22">
        <f t="shared" si="78"/>
        <v>1.3528720777011725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-4.5474735088646412E-13</v>
      </c>
      <c r="GA100" s="17">
        <f>FZ100*VLOOKUP('Données projet'!$B$17,Paramètres!$A$1:$I$89,3,0)*VLOOKUP('Données projet'!$B$17,Paramètres!$A$1:$I$89,5,0)</f>
        <v>-2.7193891583010558E-13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216.94426559495264</v>
      </c>
      <c r="GF100" s="59">
        <f t="shared" si="104"/>
        <v>225.33715877618704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2.0050160278328368</v>
      </c>
      <c r="GN100" s="21">
        <f>EXP(-LN(2)/2)*GN99+(1-EXP(-LN(2)/2))/(LN(2)/2)*GH100*GK100*VLOOKUP('Données projet'!$B$17,Paramètres!$A$1:$I$89,3,0)*0.475*44/12</f>
        <v>1.9533549528561244E-9</v>
      </c>
      <c r="GO100" s="21">
        <f t="shared" si="81"/>
        <v>2.0050160297861916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4.9000000000000004</v>
      </c>
      <c r="GU100" s="12">
        <f>IF('Données projet'!$A$270&gt;35,GU99+GT100-HC99,IF(A100&lt;'Données projet'!$A$270,$GR$205^A100,IF(A100='Données projet'!$A$270,'Données projet'!$B$270,GU99+GT100-HC99)))</f>
        <v>288.3000000000003</v>
      </c>
      <c r="GV100" s="17">
        <f>GU100*VLOOKUP('Données projet'!$B$18,Paramètres!$A$1:$I$89,3,0)*VLOOKUP('Données projet'!$B$18,Paramètres!$A$1:$I$89,5,0)</f>
        <v>278.84376000000032</v>
      </c>
      <c r="GW100" s="13">
        <f t="shared" si="105"/>
        <v>66.722603316177853</v>
      </c>
      <c r="GX100" s="20">
        <f t="shared" si="82"/>
        <v>601.86141610901029</v>
      </c>
      <c r="GY100" s="59">
        <f t="shared" si="83"/>
        <v>895.19474944234366</v>
      </c>
      <c r="GZ100" s="59">
        <f ca="1">AVERAGE(OFFSET($GY$3,0,0,'Données projet'!$E$18+1,1))-AVERAGE(OFFSET($H$3,0,0,'Données projet'!$E$18+1,1))</f>
        <v>261.22357949323879</v>
      </c>
      <c r="HA100" s="59">
        <f t="shared" si="106"/>
        <v>163.41029152029387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0.51807914920380527</v>
      </c>
      <c r="HI100" s="21">
        <f>EXP(-LN(2)/2)*HI99+(1-EXP(-LN(2)/2))/(LN(2)/2)*HC100*HF100*VLOOKUP('Données projet'!$B$18,Paramètres!$A$1:$I$89,3,0)*0.475*44/12</f>
        <v>5.4463272484216582E-10</v>
      </c>
      <c r="HJ100" s="22">
        <f t="shared" si="84"/>
        <v>0.51807914974843794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237.22177246688199</v>
      </c>
      <c r="T101" s="59">
        <f t="shared" si="88"/>
        <v>149.27472147904302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2.9</v>
      </c>
      <c r="AI101" s="13">
        <f>IF('Données projet'!$A$62&gt;35,AI100+AH101-AQ100,IF(A101&lt;'Données projet'!$A$62,$AF$205^A101,IF(A101='Données projet'!$A$62,'Données projet'!$B$62,AI100+AH101-AQ100)))</f>
        <v>245.19999999999985</v>
      </c>
      <c r="AJ101" s="13">
        <f>AI101*VLOOKUP('Données projet'!$B$10,Paramètres!$A$1:$I$89,3,0)*VLOOKUP('Données projet'!$B$10,Paramètres!$A$1:$I$89,5,0)</f>
        <v>214.2067199999999</v>
      </c>
      <c r="AK101" s="13">
        <f t="shared" si="89"/>
        <v>52.853796016439418</v>
      </c>
      <c r="AL101" s="20">
        <f t="shared" si="58"/>
        <v>465.13039872863186</v>
      </c>
      <c r="AM101" s="59">
        <f t="shared" si="59"/>
        <v>758.46373206196517</v>
      </c>
      <c r="AN101" s="59">
        <f ca="1">AVERAGE(OFFSET($AM$3,0,0,'Données projet'!$E$10+1,1))-AVERAGE(OFFSET($H$3,0,0,'Données projet'!$E$10+1,1))</f>
        <v>210.07838338464626</v>
      </c>
      <c r="AO101" s="59">
        <f t="shared" si="90"/>
        <v>241.76003724236273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1.3785910100173577</v>
      </c>
      <c r="AV101" s="21">
        <f>EXP(-LN(2)/25)*AV100+(1-EXP(-LN(2)/25))/(LN(2)/25)*Calculateur!AQ101*Calculateur!AS101*VLOOKUP('Données projet'!$B$10,Paramètres!$A$1:$I$89,3,0)*0.475*44/12</f>
        <v>2.0580462032220099</v>
      </c>
      <c r="AW101" s="21">
        <f>EXP(-LN(2)/2)*AW100+(1-EXP(-LN(2)/2))/(LN(2)/2)*AQ101*AT101*VLOOKUP('Données projet'!$B$10,Paramètres!$A$1:$I$89,3,0)*0.475*44/12</f>
        <v>9.29659259904253E-10</v>
      </c>
      <c r="AX101" s="21">
        <f t="shared" si="60"/>
        <v>3.4366372141690271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6.2527760746888816E-13</v>
      </c>
      <c r="BE101" s="13">
        <f>BD101*VLOOKUP('Données projet'!$B$11,Paramètres!$A$1:$I$89,3,0)*VLOOKUP('Données projet'!$B$11,Paramètres!$A$1:$I$89,5,0)</f>
        <v>3.9017322706058616E-13</v>
      </c>
      <c r="BF101" s="13">
        <f t="shared" si="91"/>
        <v>5.0025007393608908E-12</v>
      </c>
      <c r="BG101" s="20">
        <f t="shared" si="61"/>
        <v>9.3922404915174053E-12</v>
      </c>
      <c r="BH101" s="59">
        <f t="shared" si="62"/>
        <v>293.33333333334269</v>
      </c>
      <c r="BI101" s="59">
        <f ca="1">AVERAGE(OFFSET($BH$3,0,0,'Données projet'!$E$11+1,1))-AVERAGE(OFFSET($H$3,0,0,'Données projet'!$E$11+1,1))</f>
        <v>209.93608079129638</v>
      </c>
      <c r="BJ101" s="59">
        <f t="shared" si="92"/>
        <v>240.15652428700969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1.8085643042524693</v>
      </c>
      <c r="BQ101" s="21">
        <f>EXP(-LN(2)/25)*BQ100+(1-EXP(-LN(2)/25))/(LN(2)/25)*Calculateur!BL101*Calculateur!BN101*VLOOKUP('Données projet'!$B$11,Paramètres!$A$1:$I$89,3,0)*0.475*44/12</f>
        <v>3.1550715133478677</v>
      </c>
      <c r="BR101" s="21">
        <f>EXP(-LN(2)/2)*BR100+(1-EXP(-LN(2)/2))/(LN(2)/2)*BL101*BO101*VLOOKUP('Données projet'!$B$11,Paramètres!$A$1:$I$89,3,0)*0.475*44/12</f>
        <v>1.1752601424066294E-9</v>
      </c>
      <c r="BS101" s="22">
        <f t="shared" si="63"/>
        <v>4.9636358187755967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689.19999999999993</v>
      </c>
      <c r="BZ101" s="13">
        <f>BY101*VLOOKUP('Données projet'!$B$12,Paramètres!$A$1:$I$89,3,0)*VLOOKUP('Données projet'!$B$12,Paramètres!$A$1:$I$89,5,0)</f>
        <v>322.54559999999998</v>
      </c>
      <c r="CA101" s="13">
        <f t="shared" si="93"/>
        <v>75.882770748800752</v>
      </c>
      <c r="CB101" s="20">
        <f t="shared" si="64"/>
        <v>693.92941238749461</v>
      </c>
      <c r="CC101" s="59">
        <f t="shared" si="65"/>
        <v>987.26274572082798</v>
      </c>
      <c r="CD101" s="59">
        <f ca="1">AVERAGE(OFFSET($CC$3,0,0,'Données projet'!$E$12+1,1))-AVERAGE(OFFSET($H$3,0,0,'Données projet'!$E$12+1,1))</f>
        <v>215.23235148064941</v>
      </c>
      <c r="CE101" s="59">
        <f t="shared" si="94"/>
        <v>184.07239726900434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0.81530724751524353</v>
      </c>
      <c r="CL101" s="21">
        <f>EXP(-LN(2)/25)*CL100+(1-EXP(-LN(2)/25))/(LN(2)/25)*Calculateur!CG101*Calculateur!CI101*VLOOKUP('Données projet'!$B$12,Paramètres!$A$1:$I$89,3,0)*0.475*44/12</f>
        <v>1.1922580791457773</v>
      </c>
      <c r="CM101" s="21">
        <f>EXP(-LN(2)/2)*CM100+(1-EXP(-LN(2)/2))/(LN(2)/2)*CG101*CJ101*VLOOKUP('Données projet'!$B$12,Paramètres!$A$1:$I$89,3,0)*0.475*44/12</f>
        <v>5.7230799460643855E-10</v>
      </c>
      <c r="CN101" s="22">
        <f t="shared" si="66"/>
        <v>2.0075653272333289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4.9000000000000004</v>
      </c>
      <c r="CT101" s="12">
        <f>IF('Données projet'!$A$140&gt;35,CT100+CS101-DB100,IF(A101&lt;'Données projet'!$A$140,$CQ$205^A101,IF(A101='Données projet'!$A$140,'Données projet'!$B$140,CT100+CS101-DB100)))</f>
        <v>293.20000000000027</v>
      </c>
      <c r="CU101" s="17">
        <f>CT101*VLOOKUP('Données projet'!$B$13,Paramètres!$A$1:$I$89,3,0)*VLOOKUP('Données projet'!$B$13,Paramètres!$A$1:$I$89,5,0)</f>
        <v>297.30480000000028</v>
      </c>
      <c r="CV101" s="13">
        <f t="shared" si="95"/>
        <v>70.611149609505034</v>
      </c>
      <c r="CW101" s="20">
        <f t="shared" si="67"/>
        <v>640.78694556988842</v>
      </c>
      <c r="CX101" s="59">
        <f t="shared" si="68"/>
        <v>934.12027890322179</v>
      </c>
      <c r="CY101" s="59">
        <f ca="1">AVERAGE(OFFSET($CX$3,0,0,'Données projet'!$E$13+1,1))-AVERAGE(OFFSET($H$3,0,0,'Données projet'!$E$13+1,1))</f>
        <v>279.20364724206644</v>
      </c>
      <c r="CZ101" s="59">
        <f t="shared" si="96"/>
        <v>173.99850582760712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0.52829509831572374</v>
      </c>
      <c r="DH101" s="21">
        <f>EXP(-LN(2)/2)*DH100+(1-EXP(-LN(2)/2))/(LN(2)/2)*DB101*DE101*VLOOKUP('Données projet'!$B$13,Paramètres!$A$1:$I$89,3,0)*0.475*44/12</f>
        <v>4.0374801684645425E-10</v>
      </c>
      <c r="DI101" s="22">
        <f t="shared" si="69"/>
        <v>0.52829509871947178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4.9000000000000004</v>
      </c>
      <c r="DO101" s="12">
        <f>IF('Données projet'!$A$166&gt;35,DO100+DN101-DW100,IF(A101&lt;'Données projet'!$A$166,$DL$205^A101,IF(A101='Données projet'!$A$166,'Données projet'!$B$166,DO100+DN101-DW100)))</f>
        <v>293.20000000000027</v>
      </c>
      <c r="DP101" s="17">
        <f>DO101*VLOOKUP('Données projet'!$B$14,Paramètres!$A$1:$I$89,3,0)*VLOOKUP('Données projet'!$B$14,Paramètres!$A$1:$I$89,5,0)</f>
        <v>306.45264000000032</v>
      </c>
      <c r="DQ101" s="13">
        <f t="shared" si="97"/>
        <v>72.527504717113501</v>
      </c>
      <c r="DR101" s="20">
        <f t="shared" si="70"/>
        <v>660.05708538230658</v>
      </c>
      <c r="DS101" s="59">
        <f t="shared" si="71"/>
        <v>953.39041871563995</v>
      </c>
      <c r="DT101" s="59">
        <f ca="1">AVERAGE(OFFSET($DS$3,0,0,'Données projet'!$E$14+1,1))-AVERAGE(OFFSET($H$3,0,0,'Données projet'!$E$14+1,1))</f>
        <v>291.18074901939718</v>
      </c>
      <c r="DU101" s="59">
        <f t="shared" si="98"/>
        <v>181.05123751753774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0.54455033211005366</v>
      </c>
      <c r="EC101" s="21">
        <f>EXP(-LN(2)/2)*EC100+(1-EXP(-LN(2)/2))/(LN(2)/2)*DW101*DZ101*VLOOKUP('Données projet'!$B$14,Paramètres!$A$1:$I$89,3,0)*0.475*44/12</f>
        <v>4.1617103274942248E-10</v>
      </c>
      <c r="ED101" s="22">
        <f t="shared" si="72"/>
        <v>0.54455033252622465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168.08890945052406</v>
      </c>
      <c r="EP101" s="59">
        <f t="shared" si="100"/>
        <v>182.52462557642343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1.6158150193718555</v>
      </c>
      <c r="EW101" s="21">
        <f>EXP(-LN(2)/25)*EW100+(1-EXP(-LN(2)/25))/(LN(2)/25)*Calculateur!ER101*Calculateur!ET101*VLOOKUP('Données projet'!$B$15,Paramètres!$A$1:$I$89,3,0)*0.475*44/12</f>
        <v>1.8715117688003027</v>
      </c>
      <c r="EX101" s="21">
        <f>EXP(-LN(2)/2)*EX100+(1-EXP(-LN(2)/2))/(LN(2)/2)*ER101*EU101*VLOOKUP('Données projet'!$B$15,Paramètres!$A$1:$I$89,3,0)*0.475*44/12</f>
        <v>3.1698101514916465E-10</v>
      </c>
      <c r="EY101" s="22">
        <f t="shared" si="75"/>
        <v>3.4873267884891392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3.813056537183002E-14</v>
      </c>
      <c r="FG101" s="13">
        <f t="shared" si="101"/>
        <v>6.4086286045526829E-13</v>
      </c>
      <c r="FH101" s="20">
        <f t="shared" si="76"/>
        <v>1.1825802166488628E-12</v>
      </c>
      <c r="FI101" s="59">
        <f t="shared" si="77"/>
        <v>293.33333333333451</v>
      </c>
      <c r="FJ101" s="59">
        <f ca="1">AVERAGE(OFFSET($FI$3,0,0,'Données projet'!$E$16+1,1))-AVERAGE(OFFSET($H$3,0,0,'Données projet'!$E$16+1,1))</f>
        <v>156.63226020379989</v>
      </c>
      <c r="FK101" s="59">
        <f t="shared" si="102"/>
        <v>196.0481096619543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1.3158777188654971</v>
      </c>
      <c r="FS101" s="21">
        <f>EXP(-LN(2)/2)*FS100+(1-EXP(-LN(2)/2))/(LN(2)/2)*FM101*FP101*VLOOKUP('Données projet'!$B$16,Paramètres!$A$1:$I$89,3,0)*0.475*44/12</f>
        <v>5.2814551175844643E-10</v>
      </c>
      <c r="FT101" s="22">
        <f t="shared" si="78"/>
        <v>1.3158777193936426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-4.5474735088646412E-13</v>
      </c>
      <c r="GA101" s="17">
        <f>FZ101*VLOOKUP('Données projet'!$B$17,Paramètres!$A$1:$I$89,3,0)*VLOOKUP('Données projet'!$B$17,Paramètres!$A$1:$I$89,5,0)</f>
        <v>-2.7193891583010558E-13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216.94426559495264</v>
      </c>
      <c r="GF101" s="59">
        <f t="shared" si="104"/>
        <v>225.33715877618704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1.9501887591125375</v>
      </c>
      <c r="GN101" s="21">
        <f>EXP(-LN(2)/2)*GN100+(1-EXP(-LN(2)/2))/(LN(2)/2)*GH101*GK101*VLOOKUP('Données projet'!$B$17,Paramètres!$A$1:$I$89,3,0)*0.475*44/12</f>
        <v>1.3812305332288944E-9</v>
      </c>
      <c r="GO101" s="21">
        <f t="shared" si="81"/>
        <v>1.950188760493768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4.9000000000000004</v>
      </c>
      <c r="GU101" s="12">
        <f>IF('Données projet'!$A$270&gt;35,GU100+GT101-HC100,IF(A101&lt;'Données projet'!$A$270,$GR$205^A101,IF(A101='Données projet'!$A$270,'Données projet'!$B$270,GU100+GT101-HC100)))</f>
        <v>293.20000000000027</v>
      </c>
      <c r="GV101" s="17">
        <f>GU101*VLOOKUP('Données projet'!$B$18,Paramètres!$A$1:$I$89,3,0)*VLOOKUP('Données projet'!$B$18,Paramètres!$A$1:$I$89,5,0)</f>
        <v>283.58304000000027</v>
      </c>
      <c r="GW101" s="13">
        <f t="shared" si="105"/>
        <v>67.723646968605209</v>
      </c>
      <c r="GX101" s="20">
        <f t="shared" si="82"/>
        <v>611.85914647032121</v>
      </c>
      <c r="GY101" s="59">
        <f t="shared" si="83"/>
        <v>905.19247980365458</v>
      </c>
      <c r="GZ101" s="59">
        <f ca="1">AVERAGE(OFFSET($GY$3,0,0,'Données projet'!$E$18+1,1))-AVERAGE(OFFSET($H$3,0,0,'Données projet'!$E$18+1,1))</f>
        <v>261.22357949323879</v>
      </c>
      <c r="HA101" s="59">
        <f t="shared" si="106"/>
        <v>163.41029152029387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0.50391224762422882</v>
      </c>
      <c r="HI101" s="21">
        <f>EXP(-LN(2)/2)*HI100+(1-EXP(-LN(2)/2))/(LN(2)/2)*HC101*HF101*VLOOKUP('Données projet'!$B$18,Paramètres!$A$1:$I$89,3,0)*0.475*44/12</f>
        <v>3.851134929920025E-10</v>
      </c>
      <c r="HJ101" s="22">
        <f t="shared" si="84"/>
        <v>0.50391224800934231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237.22177246688199</v>
      </c>
      <c r="T102" s="59">
        <f t="shared" si="88"/>
        <v>149.27472147904302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2.9</v>
      </c>
      <c r="AI102" s="13">
        <f>IF('Données projet'!$A$62&gt;35,AI101+AH102-AQ101,IF(A102&lt;'Données projet'!$A$62,$AF$205^A102,IF(A102='Données projet'!$A$62,'Données projet'!$B$62,AI101+AH102-AQ101)))</f>
        <v>248.09999999999985</v>
      </c>
      <c r="AJ102" s="13">
        <f>AI102*VLOOKUP('Données projet'!$B$10,Paramètres!$A$1:$I$89,3,0)*VLOOKUP('Données projet'!$B$10,Paramètres!$A$1:$I$89,5,0)</f>
        <v>216.74015999999989</v>
      </c>
      <c r="AK102" s="13">
        <f t="shared" si="89"/>
        <v>53.405761205047057</v>
      </c>
      <c r="AL102" s="20">
        <f t="shared" si="58"/>
        <v>470.50414609878999</v>
      </c>
      <c r="AM102" s="59">
        <f t="shared" si="59"/>
        <v>763.83747943212325</v>
      </c>
      <c r="AN102" s="59">
        <f ca="1">AVERAGE(OFFSET($AM$3,0,0,'Données projet'!$E$10+1,1))-AVERAGE(OFFSET($H$3,0,0,'Données projet'!$E$10+1,1))</f>
        <v>210.07838338464626</v>
      </c>
      <c r="AO102" s="59">
        <f t="shared" si="90"/>
        <v>241.76003724236273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1.3515576811684056</v>
      </c>
      <c r="AV102" s="21">
        <f>EXP(-LN(2)/25)*AV101+(1-EXP(-LN(2)/25))/(LN(2)/25)*Calculateur!AQ102*Calculateur!AS102*VLOOKUP('Données projet'!$B$10,Paramètres!$A$1:$I$89,3,0)*0.475*44/12</f>
        <v>2.0017688215669578</v>
      </c>
      <c r="AW102" s="21">
        <f>EXP(-LN(2)/2)*AW101+(1-EXP(-LN(2)/2))/(LN(2)/2)*AQ102*AT102*VLOOKUP('Données projet'!$B$10,Paramètres!$A$1:$I$89,3,0)*0.475*44/12</f>
        <v>6.5736836687116437E-10</v>
      </c>
      <c r="AX102" s="21">
        <f t="shared" si="60"/>
        <v>3.353326503392732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6.2527760746888816E-13</v>
      </c>
      <c r="BE102" s="13">
        <f>BD102*VLOOKUP('Données projet'!$B$11,Paramètres!$A$1:$I$89,3,0)*VLOOKUP('Données projet'!$B$11,Paramètres!$A$1:$I$89,5,0)</f>
        <v>3.9017322706058616E-13</v>
      </c>
      <c r="BF102" s="13">
        <f t="shared" si="91"/>
        <v>5.0025007393608908E-12</v>
      </c>
      <c r="BG102" s="20">
        <f t="shared" si="61"/>
        <v>9.3922404915174053E-12</v>
      </c>
      <c r="BH102" s="59">
        <f t="shared" si="62"/>
        <v>293.33333333334269</v>
      </c>
      <c r="BI102" s="59">
        <f ca="1">AVERAGE(OFFSET($BH$3,0,0,'Données projet'!$E$11+1,1))-AVERAGE(OFFSET($H$3,0,0,'Données projet'!$E$11+1,1))</f>
        <v>209.93608079129638</v>
      </c>
      <c r="BJ102" s="59">
        <f t="shared" si="92"/>
        <v>240.15652428700969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1.7730994613613804</v>
      </c>
      <c r="BQ102" s="21">
        <f>EXP(-LN(2)/25)*BQ101+(1-EXP(-LN(2)/25))/(LN(2)/25)*Calculateur!BL102*Calculateur!BN102*VLOOKUP('Données projet'!$B$11,Paramètres!$A$1:$I$89,3,0)*0.475*44/12</f>
        <v>3.0687959168973702</v>
      </c>
      <c r="BR102" s="21">
        <f>EXP(-LN(2)/2)*BR101+(1-EXP(-LN(2)/2))/(LN(2)/2)*BL102*BO102*VLOOKUP('Données projet'!$B$11,Paramètres!$A$1:$I$89,3,0)*0.475*44/12</f>
        <v>8.3103441635399519E-10</v>
      </c>
      <c r="BS102" s="22">
        <f t="shared" si="63"/>
        <v>4.8418953790897854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707.69999999999993</v>
      </c>
      <c r="BZ102" s="13">
        <f>BY102*VLOOKUP('Données projet'!$B$12,Paramètres!$A$1:$I$89,3,0)*VLOOKUP('Données projet'!$B$12,Paramètres!$A$1:$I$89,5,0)</f>
        <v>331.20359999999994</v>
      </c>
      <c r="CA102" s="13">
        <f t="shared" si="93"/>
        <v>77.67979126195354</v>
      </c>
      <c r="CB102" s="20">
        <f t="shared" si="64"/>
        <v>712.13857311456889</v>
      </c>
      <c r="CC102" s="59">
        <f t="shared" si="65"/>
        <v>1005.4719064479023</v>
      </c>
      <c r="CD102" s="59">
        <f ca="1">AVERAGE(OFFSET($CC$3,0,0,'Données projet'!$E$12+1,1))-AVERAGE(OFFSET($H$3,0,0,'Données projet'!$E$12+1,1))</f>
        <v>215.23235148064941</v>
      </c>
      <c r="CE102" s="59">
        <f t="shared" si="94"/>
        <v>184.07239726900434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0.79931956967978746</v>
      </c>
      <c r="CL102" s="21">
        <f>EXP(-LN(2)/25)*CL101+(1-EXP(-LN(2)/25))/(LN(2)/25)*Calculateur!CG102*Calculateur!CI102*VLOOKUP('Données projet'!$B$12,Paramètres!$A$1:$I$89,3,0)*0.475*44/12</f>
        <v>1.1596557192734085</v>
      </c>
      <c r="CM102" s="21">
        <f>EXP(-LN(2)/2)*CM101+(1-EXP(-LN(2)/2))/(LN(2)/2)*CG102*CJ102*VLOOKUP('Données projet'!$B$12,Paramètres!$A$1:$I$89,3,0)*0.475*44/12</f>
        <v>4.0468286391348677E-10</v>
      </c>
      <c r="CN102" s="22">
        <f t="shared" si="66"/>
        <v>1.9589752893578789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4.9000000000000004</v>
      </c>
      <c r="CT102" s="12">
        <f>IF('Données projet'!$A$140&gt;35,CT101+CS102-DB101,IF(A102&lt;'Données projet'!$A$140,$CQ$205^A102,IF(A102='Données projet'!$A$140,'Données projet'!$B$140,CT101+CS102-DB101)))</f>
        <v>298.10000000000025</v>
      </c>
      <c r="CU102" s="17">
        <f>CT102*VLOOKUP('Données projet'!$B$13,Paramètres!$A$1:$I$89,3,0)*VLOOKUP('Données projet'!$B$13,Paramètres!$A$1:$I$89,5,0)</f>
        <v>302.27340000000027</v>
      </c>
      <c r="CV102" s="13">
        <f t="shared" si="95"/>
        <v>71.652845832409795</v>
      </c>
      <c r="CW102" s="20">
        <f t="shared" si="67"/>
        <v>651.25487815811414</v>
      </c>
      <c r="CX102" s="59">
        <f t="shared" si="68"/>
        <v>944.58821149144751</v>
      </c>
      <c r="CY102" s="59">
        <f ca="1">AVERAGE(OFFSET($CX$3,0,0,'Données projet'!$E$13+1,1))-AVERAGE(OFFSET($H$3,0,0,'Données projet'!$E$13+1,1))</f>
        <v>279.20364724206644</v>
      </c>
      <c r="CZ102" s="59">
        <f t="shared" si="96"/>
        <v>173.99850582760712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0.51384884107044848</v>
      </c>
      <c r="DH102" s="21">
        <f>EXP(-LN(2)/2)*DH101+(1-EXP(-LN(2)/2))/(LN(2)/2)*DB102*DE102*VLOOKUP('Données projet'!$B$13,Paramètres!$A$1:$I$89,3,0)*0.475*44/12</f>
        <v>2.8549296060274823E-10</v>
      </c>
      <c r="DI102" s="22">
        <f t="shared" si="69"/>
        <v>0.51384884135594144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4.9000000000000004</v>
      </c>
      <c r="DO102" s="12">
        <f>IF('Données projet'!$A$166&gt;35,DO101+DN102-DW101,IF(A102&lt;'Données projet'!$A$166,$DL$205^A102,IF(A102='Données projet'!$A$166,'Données projet'!$B$166,DO101+DN102-DW101)))</f>
        <v>298.10000000000025</v>
      </c>
      <c r="DP102" s="17">
        <f>DO102*VLOOKUP('Données projet'!$B$14,Paramètres!$A$1:$I$89,3,0)*VLOOKUP('Données projet'!$B$14,Paramètres!$A$1:$I$89,5,0)</f>
        <v>311.57412000000028</v>
      </c>
      <c r="DQ102" s="13">
        <f t="shared" si="97"/>
        <v>73.597472110908129</v>
      </c>
      <c r="DR102" s="20">
        <f t="shared" si="70"/>
        <v>670.84052292649881</v>
      </c>
      <c r="DS102" s="59">
        <f t="shared" si="71"/>
        <v>964.17385625983206</v>
      </c>
      <c r="DT102" s="59">
        <f ca="1">AVERAGE(OFFSET($DS$3,0,0,'Données projet'!$E$14+1,1))-AVERAGE(OFFSET($H$3,0,0,'Données projet'!$E$14+1,1))</f>
        <v>291.18074901939718</v>
      </c>
      <c r="DU102" s="59">
        <f t="shared" si="98"/>
        <v>181.05123751753774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0.52965957464184688</v>
      </c>
      <c r="EC102" s="21">
        <f>EXP(-LN(2)/2)*EC101+(1-EXP(-LN(2)/2))/(LN(2)/2)*DW102*DZ102*VLOOKUP('Données projet'!$B$14,Paramètres!$A$1:$I$89,3,0)*0.475*44/12</f>
        <v>2.9427735939052538E-10</v>
      </c>
      <c r="ED102" s="22">
        <f t="shared" si="72"/>
        <v>0.52965957493612426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168.08890945052406</v>
      </c>
      <c r="EP102" s="59">
        <f t="shared" si="100"/>
        <v>182.52462557642343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1.5841298723918202</v>
      </c>
      <c r="EW102" s="21">
        <f>EXP(-LN(2)/25)*EW101+(1-EXP(-LN(2)/25))/(LN(2)/25)*Calculateur!ER102*Calculateur!ET102*VLOOKUP('Données projet'!$B$15,Paramètres!$A$1:$I$89,3,0)*0.475*44/12</f>
        <v>1.8203351810639319</v>
      </c>
      <c r="EX102" s="21">
        <f>EXP(-LN(2)/2)*EX101+(1-EXP(-LN(2)/2))/(LN(2)/2)*ER102*EU102*VLOOKUP('Données projet'!$B$15,Paramètres!$A$1:$I$89,3,0)*0.475*44/12</f>
        <v>2.2413942531937008E-10</v>
      </c>
      <c r="EY102" s="22">
        <f t="shared" si="75"/>
        <v>3.4044650536798913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3.813056537183002E-14</v>
      </c>
      <c r="FG102" s="13">
        <f t="shared" si="101"/>
        <v>6.4086286045526829E-13</v>
      </c>
      <c r="FH102" s="20">
        <f t="shared" si="76"/>
        <v>1.1825802166488628E-12</v>
      </c>
      <c r="FI102" s="59">
        <f t="shared" si="77"/>
        <v>293.33333333333451</v>
      </c>
      <c r="FJ102" s="59">
        <f ca="1">AVERAGE(OFFSET($FI$3,0,0,'Données projet'!$E$16+1,1))-AVERAGE(OFFSET($H$3,0,0,'Données projet'!$E$16+1,1))</f>
        <v>156.63226020379989</v>
      </c>
      <c r="FK102" s="59">
        <f t="shared" si="102"/>
        <v>196.0481096619543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1.2798949734441183</v>
      </c>
      <c r="FS102" s="21">
        <f>EXP(-LN(2)/2)*FS101+(1-EXP(-LN(2)/2))/(LN(2)/2)*FM102*FP102*VLOOKUP('Données projet'!$B$16,Paramètres!$A$1:$I$89,3,0)*0.475*44/12</f>
        <v>3.7345527281763694E-10</v>
      </c>
      <c r="FT102" s="22">
        <f t="shared" si="78"/>
        <v>1.2798949738175736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-4.5474735088646412E-13</v>
      </c>
      <c r="GA102" s="17">
        <f>FZ102*VLOOKUP('Données projet'!$B$17,Paramètres!$A$1:$I$89,3,0)*VLOOKUP('Données projet'!$B$17,Paramètres!$A$1:$I$89,5,0)</f>
        <v>-2.7193891583010558E-13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216.94426559495264</v>
      </c>
      <c r="GF102" s="59">
        <f t="shared" si="104"/>
        <v>225.33715877618704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1.8968607449386357</v>
      </c>
      <c r="GN102" s="21">
        <f>EXP(-LN(2)/2)*GN101+(1-EXP(-LN(2)/2))/(LN(2)/2)*GH102*GK102*VLOOKUP('Données projet'!$B$17,Paramètres!$A$1:$I$89,3,0)*0.475*44/12</f>
        <v>9.7667747642806219E-10</v>
      </c>
      <c r="GO102" s="21">
        <f t="shared" si="81"/>
        <v>1.8968607459153131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4.9000000000000004</v>
      </c>
      <c r="GU102" s="12">
        <f>IF('Données projet'!$A$270&gt;35,GU101+GT102-HC101,IF(A102&lt;'Données projet'!$A$270,$GR$205^A102,IF(A102='Données projet'!$A$270,'Données projet'!$B$270,GU101+GT102-HC101)))</f>
        <v>298.10000000000025</v>
      </c>
      <c r="GV102" s="17">
        <f>GU102*VLOOKUP('Données projet'!$B$18,Paramètres!$A$1:$I$89,3,0)*VLOOKUP('Données projet'!$B$18,Paramètres!$A$1:$I$89,5,0)</f>
        <v>288.32232000000022</v>
      </c>
      <c r="GW102" s="13">
        <f t="shared" si="105"/>
        <v>68.722745094590678</v>
      </c>
      <c r="GX102" s="20">
        <f t="shared" si="82"/>
        <v>621.85348837307913</v>
      </c>
      <c r="GY102" s="59">
        <f t="shared" si="83"/>
        <v>915.1868217064125</v>
      </c>
      <c r="GZ102" s="59">
        <f ca="1">AVERAGE(OFFSET($GY$3,0,0,'Données projet'!$E$18+1,1))-AVERAGE(OFFSET($H$3,0,0,'Données projet'!$E$18+1,1))</f>
        <v>261.22357949323879</v>
      </c>
      <c r="HA102" s="59">
        <f t="shared" si="106"/>
        <v>163.41029152029387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0.49013274071335089</v>
      </c>
      <c r="HI102" s="21">
        <f>EXP(-LN(2)/2)*HI101+(1-EXP(-LN(2)/2))/(LN(2)/2)*HC102*HF102*VLOOKUP('Données projet'!$B$18,Paramètres!$A$1:$I$89,3,0)*0.475*44/12</f>
        <v>2.7231636242108291E-10</v>
      </c>
      <c r="HJ102" s="22">
        <f t="shared" si="84"/>
        <v>0.49013274098566723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237.22177246688199</v>
      </c>
      <c r="T103" s="59">
        <f t="shared" si="88"/>
        <v>149.27472147904302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251</v>
      </c>
      <c r="AG103" s="12">
        <f>VLOOKUP(A103,'Données projet'!$A$61:$I$81,9,0)</f>
        <v>2.9</v>
      </c>
      <c r="AH103" s="12">
        <f t="array" ref="AH103">INDEX(AG:AG,MIN(IF(ISNUMBER(AG103:AG299),ROW(AG103:AG299),"")))</f>
        <v>2.9</v>
      </c>
      <c r="AI103" s="13">
        <f>IF('Données projet'!$A$62&gt;35,AI102+AH103-AQ102,IF(A103&lt;'Données projet'!$A$62,$AF$205^A103,IF(A103='Données projet'!$A$62,'Données projet'!$B$62,AI102+AH103-AQ102)))</f>
        <v>250.99999999999986</v>
      </c>
      <c r="AJ103" s="13">
        <f>AI103*VLOOKUP('Données projet'!$B$10,Paramètres!$A$1:$I$89,3,0)*VLOOKUP('Données projet'!$B$10,Paramètres!$A$1:$I$89,5,0)</f>
        <v>219.27359999999993</v>
      </c>
      <c r="AK103" s="13">
        <f t="shared" si="89"/>
        <v>53.956975893220125</v>
      </c>
      <c r="AL103" s="20">
        <f t="shared" si="58"/>
        <v>475.87658634735823</v>
      </c>
      <c r="AM103" s="59">
        <f t="shared" si="59"/>
        <v>769.20991968069154</v>
      </c>
      <c r="AN103" s="59">
        <f ca="1">AVERAGE(OFFSET($AM$3,0,0,'Données projet'!$E$10+1,1))-AVERAGE(OFFSET($H$3,0,0,'Données projet'!$E$10+1,1))</f>
        <v>210.07838338464626</v>
      </c>
      <c r="AO103" s="59">
        <f t="shared" si="90"/>
        <v>241.76003724236273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23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1.3250544594094791</v>
      </c>
      <c r="AV103" s="21">
        <f>EXP(-LN(2)/25)*AV102+(1-EXP(-LN(2)/25))/(LN(2)/25)*Calculateur!AQ103*Calculateur!AS103*VLOOKUP('Données projet'!$B$10,Paramètres!$A$1:$I$89,3,0)*0.475*44/12</f>
        <v>1.9470303478727622</v>
      </c>
      <c r="AW103" s="21">
        <f>EXP(-LN(2)/2)*AW102+(1-EXP(-LN(2)/2))/(LN(2)/2)*AQ103*AT103*VLOOKUP('Données projet'!$B$10,Paramètres!$A$1:$I$89,3,0)*0.475*44/12</f>
        <v>4.6482962995212655E-10</v>
      </c>
      <c r="AX103" s="21">
        <f t="shared" si="60"/>
        <v>3.272084807747071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6.2527760746888816E-13</v>
      </c>
      <c r="BE103" s="13">
        <f>BD103*VLOOKUP('Données projet'!$B$11,Paramètres!$A$1:$I$89,3,0)*VLOOKUP('Données projet'!$B$11,Paramètres!$A$1:$I$89,5,0)</f>
        <v>3.9017322706058616E-13</v>
      </c>
      <c r="BF103" s="13">
        <f t="shared" si="91"/>
        <v>5.0025007393608908E-12</v>
      </c>
      <c r="BG103" s="20">
        <f t="shared" si="61"/>
        <v>9.3922404915174053E-12</v>
      </c>
      <c r="BH103" s="59">
        <f t="shared" si="62"/>
        <v>293.33333333334269</v>
      </c>
      <c r="BI103" s="59">
        <f ca="1">AVERAGE(OFFSET($BH$3,0,0,'Données projet'!$E$11+1,1))-AVERAGE(OFFSET($H$3,0,0,'Données projet'!$E$11+1,1))</f>
        <v>209.93608079129638</v>
      </c>
      <c r="BJ103" s="59">
        <f t="shared" si="92"/>
        <v>240.15652428700969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1.7383300624079676</v>
      </c>
      <c r="BQ103" s="21">
        <f>EXP(-LN(2)/25)*BQ102+(1-EXP(-LN(2)/25))/(LN(2)/25)*Calculateur!BL103*Calculateur!BN103*VLOOKUP('Données projet'!$B$11,Paramètres!$A$1:$I$89,3,0)*0.475*44/12</f>
        <v>2.9848795311688483</v>
      </c>
      <c r="BR103" s="21">
        <f>EXP(-LN(2)/2)*BR102+(1-EXP(-LN(2)/2))/(LN(2)/2)*BL103*BO103*VLOOKUP('Données projet'!$B$11,Paramètres!$A$1:$I$89,3,0)*0.475*44/12</f>
        <v>5.876300712033147E-10</v>
      </c>
      <c r="BS103" s="22">
        <f t="shared" si="63"/>
        <v>4.7232095941644463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726.2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726.19999999999993</v>
      </c>
      <c r="BZ103" s="13">
        <f>BY103*VLOOKUP('Données projet'!$B$12,Paramètres!$A$1:$I$89,3,0)*VLOOKUP('Données projet'!$B$12,Paramètres!$A$1:$I$89,5,0)</f>
        <v>339.86159999999995</v>
      </c>
      <c r="CA103" s="13">
        <f t="shared" si="93"/>
        <v>79.47135142801136</v>
      </c>
      <c r="CB103" s="20">
        <f t="shared" si="64"/>
        <v>730.33822373711973</v>
      </c>
      <c r="CC103" s="59">
        <f t="shared" si="65"/>
        <v>1023.671557070453</v>
      </c>
      <c r="CD103" s="59">
        <f ca="1">AVERAGE(OFFSET($CC$3,0,0,'Données projet'!$E$12+1,1))-AVERAGE(OFFSET($H$3,0,0,'Données projet'!$E$12+1,1))</f>
        <v>215.23235148064941</v>
      </c>
      <c r="CE103" s="59">
        <f t="shared" si="94"/>
        <v>184.07239726900434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726.2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0.78364540045516407</v>
      </c>
      <c r="CL103" s="21">
        <f>EXP(-LN(2)/25)*CL102+(1-EXP(-LN(2)/25))/(LN(2)/25)*Calculateur!CG103*Calculateur!CI103*VLOOKUP('Données projet'!$B$12,Paramètres!$A$1:$I$89,3,0)*0.475*44/12</f>
        <v>1.1279448726462333</v>
      </c>
      <c r="CM103" s="21">
        <f>EXP(-LN(2)/2)*CM102+(1-EXP(-LN(2)/2))/(LN(2)/2)*CG103*CJ103*VLOOKUP('Données projet'!$B$12,Paramètres!$A$1:$I$89,3,0)*0.475*44/12</f>
        <v>2.8615399730321928E-10</v>
      </c>
      <c r="CN103" s="22">
        <f t="shared" si="66"/>
        <v>1.9115902733875514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303</v>
      </c>
      <c r="CR103" s="12">
        <f>VLOOKUP(A103,'Données projet'!$A$139:$I$159,9,0)</f>
        <v>4.9000000000000004</v>
      </c>
      <c r="CS103" s="12">
        <f t="array" ref="CS103">INDEX(CR:CR,MIN(IF(ISNUMBER(CR103:CR299),ROW(CR103:CR299),"")))</f>
        <v>4.9000000000000004</v>
      </c>
      <c r="CT103" s="12">
        <f>IF('Données projet'!$A$140&gt;35,CT102+CS103-DB102,IF(A103&lt;'Données projet'!$A$140,$CQ$205^A103,IF(A103='Données projet'!$A$140,'Données projet'!$B$140,CT102+CS103-DB102)))</f>
        <v>303.00000000000023</v>
      </c>
      <c r="CU103" s="17">
        <f>CT103*VLOOKUP('Données projet'!$B$13,Paramètres!$A$1:$I$89,3,0)*VLOOKUP('Données projet'!$B$13,Paramètres!$A$1:$I$89,5,0)</f>
        <v>307.24200000000025</v>
      </c>
      <c r="CV103" s="13">
        <f t="shared" si="95"/>
        <v>72.692550770207845</v>
      </c>
      <c r="CW103" s="20">
        <f t="shared" si="67"/>
        <v>661.71934259144575</v>
      </c>
      <c r="CX103" s="59">
        <f t="shared" si="68"/>
        <v>955.05267592477912</v>
      </c>
      <c r="CY103" s="59">
        <f ca="1">AVERAGE(OFFSET($CX$3,0,0,'Données projet'!$E$13+1,1))-AVERAGE(OFFSET($H$3,0,0,'Données projet'!$E$13+1,1))</f>
        <v>279.20364724206644</v>
      </c>
      <c r="CZ103" s="59">
        <f t="shared" si="96"/>
        <v>173.99850582760712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42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0.49979761748924095</v>
      </c>
      <c r="DH103" s="21">
        <f>EXP(-LN(2)/2)*DH102+(1-EXP(-LN(2)/2))/(LN(2)/2)*DB103*DE103*VLOOKUP('Données projet'!$B$13,Paramètres!$A$1:$I$89,3,0)*0.475*44/12</f>
        <v>2.0187400842322713E-10</v>
      </c>
      <c r="DI103" s="22">
        <f t="shared" si="69"/>
        <v>0.49979761769111497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303</v>
      </c>
      <c r="DM103" s="12">
        <f>VLOOKUP(A103,'Données projet'!$A$165:$I$185,9,0)</f>
        <v>4.9000000000000004</v>
      </c>
      <c r="DN103" s="12">
        <f t="array" ref="DN103">INDEX(DM:DM,MIN(IF(ISNUMBER(DM103:DM299),ROW(DM103:DM299),"")))</f>
        <v>4.9000000000000004</v>
      </c>
      <c r="DO103" s="12">
        <f>IF('Données projet'!$A$166&gt;35,DO102+DN103-DW102,IF(A103&lt;'Données projet'!$A$166,$DL$205^A103,IF(A103='Données projet'!$A$166,'Données projet'!$B$166,DO102+DN103-DW102)))</f>
        <v>303.00000000000023</v>
      </c>
      <c r="DP103" s="17">
        <f>DO103*VLOOKUP('Données projet'!$B$14,Paramètres!$A$1:$I$89,3,0)*VLOOKUP('Données projet'!$B$14,Paramètres!$A$1:$I$89,5,0)</f>
        <v>316.69560000000024</v>
      </c>
      <c r="DQ103" s="13">
        <f t="shared" si="97"/>
        <v>74.665394177006419</v>
      </c>
      <c r="DR103" s="20">
        <f t="shared" si="70"/>
        <v>681.62039819161987</v>
      </c>
      <c r="DS103" s="59">
        <f t="shared" si="71"/>
        <v>974.95373152495313</v>
      </c>
      <c r="DT103" s="59">
        <f ca="1">AVERAGE(OFFSET($DS$3,0,0,'Données projet'!$E$14+1,1))-AVERAGE(OFFSET($H$3,0,0,'Données projet'!$E$14+1,1))</f>
        <v>291.18074901939718</v>
      </c>
      <c r="DU103" s="59">
        <f t="shared" si="98"/>
        <v>181.05123751753774</v>
      </c>
      <c r="DV103" s="15">
        <f>IF(ISNA(VLOOKUP(A103,'Données projet'!$A$165:$I$185,3,0)),0,VLOOKUP(A103,'Données projet'!$A$165:$I$185,3,0))</f>
        <v>8</v>
      </c>
      <c r="DW103" s="15">
        <f>IF(ISNA(VLOOKUP(A103,'Données projet'!$A$165:$I$185,4,0)),0,VLOOKUP(A103,'Données projet'!$A$165:$I$185,4,0))</f>
        <v>42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0.51517600571967914</v>
      </c>
      <c r="EC103" s="21">
        <f>EXP(-LN(2)/2)*EC102+(1-EXP(-LN(2)/2))/(LN(2)/2)*DW103*DZ103*VLOOKUP('Données projet'!$B$14,Paramètres!$A$1:$I$89,3,0)*0.475*44/12</f>
        <v>2.0808551637471124E-10</v>
      </c>
      <c r="ED103" s="22">
        <f t="shared" si="72"/>
        <v>0.51517600592776469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168.08890945052406</v>
      </c>
      <c r="EP103" s="59">
        <f t="shared" si="100"/>
        <v>182.52462557642343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1.5530660518180321</v>
      </c>
      <c r="EW103" s="21">
        <f>EXP(-LN(2)/25)*EW102+(1-EXP(-LN(2)/25))/(LN(2)/25)*Calculateur!ER103*Calculateur!ET103*VLOOKUP('Données projet'!$B$15,Paramètres!$A$1:$I$89,3,0)*0.475*44/12</f>
        <v>1.770558019810472</v>
      </c>
      <c r="EX103" s="21">
        <f>EXP(-LN(2)/2)*EX102+(1-EXP(-LN(2)/2))/(LN(2)/2)*ER103*EU103*VLOOKUP('Données projet'!$B$15,Paramètres!$A$1:$I$89,3,0)*0.475*44/12</f>
        <v>1.5849050757458233E-10</v>
      </c>
      <c r="EY103" s="22">
        <f t="shared" si="75"/>
        <v>3.3236240717869947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3.813056537183002E-14</v>
      </c>
      <c r="FG103" s="13">
        <f t="shared" si="101"/>
        <v>6.4086286045526829E-13</v>
      </c>
      <c r="FH103" s="20">
        <f t="shared" si="76"/>
        <v>1.1825802166488628E-12</v>
      </c>
      <c r="FI103" s="59">
        <f t="shared" si="77"/>
        <v>293.33333333333451</v>
      </c>
      <c r="FJ103" s="59">
        <f ca="1">AVERAGE(OFFSET($FI$3,0,0,'Données projet'!$E$16+1,1))-AVERAGE(OFFSET($H$3,0,0,'Données projet'!$E$16+1,1))</f>
        <v>156.63226020379989</v>
      </c>
      <c r="FK103" s="59">
        <f t="shared" si="102"/>
        <v>196.0481096619543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1.2448961780885375</v>
      </c>
      <c r="FS103" s="21">
        <f>EXP(-LN(2)/2)*FS102+(1-EXP(-LN(2)/2))/(LN(2)/2)*FM103*FP103*VLOOKUP('Données projet'!$B$16,Paramètres!$A$1:$I$89,3,0)*0.475*44/12</f>
        <v>2.6407275587922322E-10</v>
      </c>
      <c r="FT103" s="22">
        <f t="shared" si="78"/>
        <v>1.2448961783526102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-4.5474735088646412E-13</v>
      </c>
      <c r="GA103" s="17">
        <f>FZ103*VLOOKUP('Données projet'!$B$17,Paramètres!$A$1:$I$89,3,0)*VLOOKUP('Données projet'!$B$17,Paramètres!$A$1:$I$89,5,0)</f>
        <v>-2.7193891583010558E-13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216.94426559495264</v>
      </c>
      <c r="GF103" s="59">
        <f t="shared" si="104"/>
        <v>225.33715877618704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1.8449909881167175</v>
      </c>
      <c r="GN103" s="21">
        <f>EXP(-LN(2)/2)*GN102+(1-EXP(-LN(2)/2))/(LN(2)/2)*GH103*GK103*VLOOKUP('Données projet'!$B$17,Paramètres!$A$1:$I$89,3,0)*0.475*44/12</f>
        <v>6.9061526661444722E-10</v>
      </c>
      <c r="GO103" s="21">
        <f t="shared" si="81"/>
        <v>1.8449909888073328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303</v>
      </c>
      <c r="GS103" s="12">
        <f>VLOOKUP(A103,'Données projet'!$A$269:$I$289,9,0)</f>
        <v>4.9000000000000004</v>
      </c>
      <c r="GT103" s="12">
        <f t="array" ref="GT103">INDEX(GS:GS,MIN(IF(ISNUMBER(GS103:GS299),ROW(GS103:GS299),"")))</f>
        <v>4.9000000000000004</v>
      </c>
      <c r="GU103" s="12">
        <f>IF('Données projet'!$A$270&gt;35,GU102+GT103-HC102,IF(A103&lt;'Données projet'!$A$270,$GR$205^A103,IF(A103='Données projet'!$A$270,'Données projet'!$B$270,GU102+GT103-HC102)))</f>
        <v>303.00000000000023</v>
      </c>
      <c r="GV103" s="17">
        <f>GU103*VLOOKUP('Données projet'!$B$18,Paramètres!$A$1:$I$89,3,0)*VLOOKUP('Données projet'!$B$18,Paramètres!$A$1:$I$89,5,0)</f>
        <v>293.06160000000023</v>
      </c>
      <c r="GW103" s="13">
        <f t="shared" si="105"/>
        <v>69.719933365116617</v>
      </c>
      <c r="GX103" s="20">
        <f t="shared" si="82"/>
        <v>631.84450394424505</v>
      </c>
      <c r="GY103" s="59">
        <f t="shared" si="83"/>
        <v>925.17783727757842</v>
      </c>
      <c r="GZ103" s="59">
        <f ca="1">AVERAGE(OFFSET($GY$3,0,0,'Données projet'!$E$18+1,1))-AVERAGE(OFFSET($H$3,0,0,'Données projet'!$E$18+1,1))</f>
        <v>261.22357949323879</v>
      </c>
      <c r="HA103" s="59">
        <f t="shared" si="106"/>
        <v>163.41029152029387</v>
      </c>
      <c r="HB103" s="15">
        <f>IF(ISNA(VLOOKUP(A103,'Données projet'!$A$269:$I$289,3,0)),0,VLOOKUP(A103,'Données projet'!$A$269:$I$289,3,0))</f>
        <v>8</v>
      </c>
      <c r="HC103" s="15">
        <f>IF(ISNA(VLOOKUP(A103,'Données projet'!$A$269:$I$289,4,0)),0,VLOOKUP(A103,'Données projet'!$A$269:$I$289,4,0))</f>
        <v>42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0.4767300351435837</v>
      </c>
      <c r="HI103" s="21">
        <f>EXP(-LN(2)/2)*HI102+(1-EXP(-LN(2)/2))/(LN(2)/2)*HC103*HF103*VLOOKUP('Données projet'!$B$18,Paramètres!$A$1:$I$89,3,0)*0.475*44/12</f>
        <v>1.9255674649600125E-10</v>
      </c>
      <c r="HJ103" s="22">
        <f t="shared" si="84"/>
        <v>0.47673003533614045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237.22177246688199</v>
      </c>
      <c r="T104" s="59">
        <f t="shared" si="88"/>
        <v>149.27472147904302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227.99999999999986</v>
      </c>
      <c r="AJ104" s="13">
        <f>AI104*VLOOKUP('Données projet'!$B$10,Paramètres!$A$1:$I$89,3,0)*VLOOKUP('Données projet'!$B$10,Paramètres!$A$1:$I$89,5,0)</f>
        <v>199.18079999999992</v>
      </c>
      <c r="AK104" s="13">
        <f t="shared" si="89"/>
        <v>49.564089376413683</v>
      </c>
      <c r="AL104" s="20">
        <f t="shared" si="58"/>
        <v>433.23068233058694</v>
      </c>
      <c r="AM104" s="59">
        <f t="shared" si="59"/>
        <v>726.56401566392026</v>
      </c>
      <c r="AN104" s="59">
        <f ca="1">AVERAGE(OFFSET($AM$3,0,0,'Données projet'!$E$10+1,1))-AVERAGE(OFFSET($H$3,0,0,'Données projet'!$E$10+1,1))</f>
        <v>210.07838338464626</v>
      </c>
      <c r="AO104" s="59">
        <f t="shared" si="90"/>
        <v>241.76003724236273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1.2990709496638759</v>
      </c>
      <c r="AV104" s="21">
        <f>EXP(-LN(2)/25)*AV103+(1-EXP(-LN(2)/25))/(LN(2)/25)*Calculateur!AQ104*Calculateur!AS104*VLOOKUP('Données projet'!$B$10,Paramètres!$A$1:$I$89,3,0)*0.475*44/12</f>
        <v>1.8937887006203056</v>
      </c>
      <c r="AW104" s="21">
        <f>EXP(-LN(2)/2)*AW103+(1-EXP(-LN(2)/2))/(LN(2)/2)*AQ104*AT104*VLOOKUP('Données projet'!$B$10,Paramètres!$A$1:$I$89,3,0)*0.475*44/12</f>
        <v>3.2868418343558223E-10</v>
      </c>
      <c r="AX104" s="21">
        <f t="shared" si="60"/>
        <v>3.1928596506128657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6.2527760746888816E-13</v>
      </c>
      <c r="BE104" s="13">
        <f>BD104*VLOOKUP('Données projet'!$B$11,Paramètres!$A$1:$I$89,3,0)*VLOOKUP('Données projet'!$B$11,Paramètres!$A$1:$I$89,5,0)</f>
        <v>3.9017322706058616E-13</v>
      </c>
      <c r="BF104" s="13">
        <f t="shared" si="91"/>
        <v>5.0025007393608908E-12</v>
      </c>
      <c r="BG104" s="20">
        <f t="shared" si="61"/>
        <v>9.3922404915174053E-12</v>
      </c>
      <c r="BH104" s="59">
        <f t="shared" si="62"/>
        <v>293.33333333334269</v>
      </c>
      <c r="BI104" s="59">
        <f ca="1">AVERAGE(OFFSET($BH$3,0,0,'Données projet'!$E$11+1,1))-AVERAGE(OFFSET($H$3,0,0,'Données projet'!$E$11+1,1))</f>
        <v>209.93608079129638</v>
      </c>
      <c r="BJ104" s="59">
        <f t="shared" si="92"/>
        <v>240.15652428700969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1.7042424701607919</v>
      </c>
      <c r="BQ104" s="21">
        <f>EXP(-LN(2)/25)*BQ103+(1-EXP(-LN(2)/25))/(LN(2)/25)*Calculateur!BL104*Calculateur!BN104*VLOOKUP('Données projet'!$B$11,Paramètres!$A$1:$I$89,3,0)*0.475*44/12</f>
        <v>2.9032578434210436</v>
      </c>
      <c r="BR104" s="21">
        <f>EXP(-LN(2)/2)*BR103+(1-EXP(-LN(2)/2))/(LN(2)/2)*BL104*BO104*VLOOKUP('Données projet'!$B$11,Paramètres!$A$1:$I$89,3,0)*0.475*44/12</f>
        <v>4.1551720817699759E-10</v>
      </c>
      <c r="BS104" s="22">
        <f t="shared" si="63"/>
        <v>4.6075003139973534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-5.3205440053716299E-14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215.23235148064941</v>
      </c>
      <c r="CE104" s="59">
        <f t="shared" si="94"/>
        <v>184.07239726900434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0.76827859212873628</v>
      </c>
      <c r="CL104" s="21">
        <f>EXP(-LN(2)/25)*CL103+(1-EXP(-LN(2)/25))/(LN(2)/25)*Calculateur!CG104*Calculateur!CI104*VLOOKUP('Données projet'!$B$12,Paramètres!$A$1:$I$89,3,0)*0.475*44/12</f>
        <v>1.0971011607876793</v>
      </c>
      <c r="CM104" s="21">
        <f>EXP(-LN(2)/2)*CM103+(1-EXP(-LN(2)/2))/(LN(2)/2)*CG104*CJ104*VLOOKUP('Données projet'!$B$12,Paramètres!$A$1:$I$89,3,0)*0.475*44/12</f>
        <v>2.0234143195674339E-10</v>
      </c>
      <c r="CN104" s="22">
        <f t="shared" si="66"/>
        <v>1.865379753118757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4.4000000000000004</v>
      </c>
      <c r="CT104" s="12">
        <f>IF('Données projet'!$A$140&gt;35,CT103+CS104-DB103,IF(A104&lt;'Données projet'!$A$140,$CQ$205^A104,IF(A104='Données projet'!$A$140,'Données projet'!$B$140,CT103+CS104-DB103)))</f>
        <v>265.4000000000002</v>
      </c>
      <c r="CU104" s="17">
        <f>CT104*VLOOKUP('Données projet'!$B$13,Paramètres!$A$1:$I$89,3,0)*VLOOKUP('Données projet'!$B$13,Paramètres!$A$1:$I$89,5,0)</f>
        <v>269.1156000000002</v>
      </c>
      <c r="CV104" s="13">
        <f t="shared" si="95"/>
        <v>64.66154146228719</v>
      </c>
      <c r="CW104" s="20">
        <f t="shared" si="67"/>
        <v>581.32852138015051</v>
      </c>
      <c r="CX104" s="59">
        <f t="shared" si="68"/>
        <v>874.66185471348376</v>
      </c>
      <c r="CY104" s="59">
        <f ca="1">AVERAGE(OFFSET($CX$3,0,0,'Données projet'!$E$13+1,1))-AVERAGE(OFFSET($H$3,0,0,'Données projet'!$E$13+1,1))</f>
        <v>279.20364724206644</v>
      </c>
      <c r="CZ104" s="59">
        <f t="shared" si="96"/>
        <v>173.99850582760712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0.48613062535578327</v>
      </c>
      <c r="DH104" s="21">
        <f>EXP(-LN(2)/2)*DH103+(1-EXP(-LN(2)/2))/(LN(2)/2)*DB104*DE104*VLOOKUP('Données projet'!$B$13,Paramètres!$A$1:$I$89,3,0)*0.475*44/12</f>
        <v>1.4274648030137411E-10</v>
      </c>
      <c r="DI104" s="22">
        <f t="shared" si="69"/>
        <v>0.48613062549852976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4.4000000000000004</v>
      </c>
      <c r="DO104" s="12">
        <f>IF('Données projet'!$A$166&gt;35,DO103+DN104-DW103,IF(A104&lt;'Données projet'!$A$166,$DL$205^A104,IF(A104='Données projet'!$A$166,'Données projet'!$B$166,DO103+DN104-DW103)))</f>
        <v>265.4000000000002</v>
      </c>
      <c r="DP104" s="17">
        <f>DO104*VLOOKUP('Données projet'!$B$14,Paramètres!$A$1:$I$89,3,0)*VLOOKUP('Données projet'!$B$14,Paramètres!$A$1:$I$89,5,0)</f>
        <v>277.39608000000027</v>
      </c>
      <c r="DQ104" s="13">
        <f t="shared" si="97"/>
        <v>66.416426858324002</v>
      </c>
      <c r="DR104" s="20">
        <f t="shared" si="70"/>
        <v>598.80678277824802</v>
      </c>
      <c r="DS104" s="59">
        <f t="shared" si="71"/>
        <v>892.14011611158139</v>
      </c>
      <c r="DT104" s="59">
        <f ca="1">AVERAGE(OFFSET($DS$3,0,0,'Données projet'!$E$14+1,1))-AVERAGE(OFFSET($H$3,0,0,'Données projet'!$E$14+1,1))</f>
        <v>291.18074901939718</v>
      </c>
      <c r="DU104" s="59">
        <f t="shared" si="98"/>
        <v>181.05123751753774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0.50108849075134587</v>
      </c>
      <c r="EC104" s="21">
        <f>EXP(-LN(2)/2)*EC103+(1-EXP(-LN(2)/2))/(LN(2)/2)*DW104*DZ104*VLOOKUP('Données projet'!$B$14,Paramètres!$A$1:$I$89,3,0)*0.475*44/12</f>
        <v>1.4713867969526269E-10</v>
      </c>
      <c r="ED104" s="22">
        <f t="shared" si="72"/>
        <v>0.50108849089848451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168.08890945052406</v>
      </c>
      <c r="EP104" s="59">
        <f t="shared" si="100"/>
        <v>182.52462557642343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1.5226113738186364</v>
      </c>
      <c r="EW104" s="21">
        <f>EXP(-LN(2)/25)*EW103+(1-EXP(-LN(2)/25))/(LN(2)/25)*Calculateur!ER104*Calculateur!ET104*VLOOKUP('Données projet'!$B$15,Paramètres!$A$1:$I$89,3,0)*0.475*44/12</f>
        <v>1.7221420176491551</v>
      </c>
      <c r="EX104" s="21">
        <f>EXP(-LN(2)/2)*EX103+(1-EXP(-LN(2)/2))/(LN(2)/2)*ER104*EU104*VLOOKUP('Données projet'!$B$15,Paramètres!$A$1:$I$89,3,0)*0.475*44/12</f>
        <v>1.1206971265968504E-10</v>
      </c>
      <c r="EY104" s="22">
        <f t="shared" si="75"/>
        <v>3.2447533915798616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3.813056537183002E-14</v>
      </c>
      <c r="FG104" s="13">
        <f t="shared" si="101"/>
        <v>6.4086286045526829E-13</v>
      </c>
      <c r="FH104" s="20">
        <f t="shared" si="76"/>
        <v>1.1825802166488628E-12</v>
      </c>
      <c r="FI104" s="59">
        <f t="shared" si="77"/>
        <v>293.33333333333451</v>
      </c>
      <c r="FJ104" s="59">
        <f ca="1">AVERAGE(OFFSET($FI$3,0,0,'Données projet'!$E$16+1,1))-AVERAGE(OFFSET($H$3,0,0,'Données projet'!$E$16+1,1))</f>
        <v>156.63226020379989</v>
      </c>
      <c r="FK104" s="59">
        <f t="shared" si="102"/>
        <v>196.0481096619543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1.2108544266324617</v>
      </c>
      <c r="FS104" s="21">
        <f>EXP(-LN(2)/2)*FS103+(1-EXP(-LN(2)/2))/(LN(2)/2)*FM104*FP104*VLOOKUP('Données projet'!$B$16,Paramètres!$A$1:$I$89,3,0)*0.475*44/12</f>
        <v>1.8672763640881847E-10</v>
      </c>
      <c r="FT104" s="22">
        <f t="shared" si="78"/>
        <v>1.2108544268191894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-4.5474735088646412E-13</v>
      </c>
      <c r="GA104" s="17">
        <f>FZ104*VLOOKUP('Données projet'!$B$17,Paramètres!$A$1:$I$89,3,0)*VLOOKUP('Données projet'!$B$17,Paramètres!$A$1:$I$89,5,0)</f>
        <v>-2.7193891583010558E-13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216.94426559495264</v>
      </c>
      <c r="GF104" s="59">
        <f t="shared" si="104"/>
        <v>225.33715877618704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1.7945396125228066</v>
      </c>
      <c r="GN104" s="21">
        <f>EXP(-LN(2)/2)*GN103+(1-EXP(-LN(2)/2))/(LN(2)/2)*GH104*GK104*VLOOKUP('Données projet'!$B$17,Paramètres!$A$1:$I$89,3,0)*0.475*44/12</f>
        <v>4.883387382140311E-10</v>
      </c>
      <c r="GO104" s="21">
        <f t="shared" si="81"/>
        <v>1.7945396130111453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4.4000000000000004</v>
      </c>
      <c r="GU104" s="12">
        <f>IF('Données projet'!$A$270&gt;35,GU103+GT104-HC103,IF(A104&lt;'Données projet'!$A$270,$GR$205^A104,IF(A104='Données projet'!$A$270,'Données projet'!$B$270,GU103+GT104-HC103)))</f>
        <v>265.4000000000002</v>
      </c>
      <c r="GV104" s="17">
        <f>GU104*VLOOKUP('Données projet'!$B$18,Paramètres!$A$1:$I$89,3,0)*VLOOKUP('Données projet'!$B$18,Paramètres!$A$1:$I$89,5,0)</f>
        <v>256.69488000000018</v>
      </c>
      <c r="GW104" s="13">
        <f t="shared" si="105"/>
        <v>62.017336223177551</v>
      </c>
      <c r="GX104" s="20">
        <f t="shared" si="82"/>
        <v>555.09044325536786</v>
      </c>
      <c r="GY104" s="59">
        <f t="shared" si="83"/>
        <v>848.42377658870123</v>
      </c>
      <c r="GZ104" s="59">
        <f ca="1">AVERAGE(OFFSET($GY$3,0,0,'Données projet'!$E$18+1,1))-AVERAGE(OFFSET($H$3,0,0,'Données projet'!$E$18+1,1))</f>
        <v>261.22357949323879</v>
      </c>
      <c r="HA104" s="59">
        <f t="shared" si="106"/>
        <v>163.41029152029387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0.46369382726243941</v>
      </c>
      <c r="HI104" s="21">
        <f>EXP(-LN(2)/2)*HI103+(1-EXP(-LN(2)/2))/(LN(2)/2)*HC104*HF104*VLOOKUP('Données projet'!$B$18,Paramètres!$A$1:$I$89,3,0)*0.475*44/12</f>
        <v>1.3615818121054146E-10</v>
      </c>
      <c r="HJ104" s="22">
        <f t="shared" si="84"/>
        <v>0.4636938273985976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237.22177246688199</v>
      </c>
      <c r="T105" s="59">
        <f t="shared" si="88"/>
        <v>149.27472147904302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227.99999999999986</v>
      </c>
      <c r="AJ105" s="13">
        <f>AI105*VLOOKUP('Données projet'!$B$10,Paramètres!$A$1:$I$89,3,0)*VLOOKUP('Données projet'!$B$10,Paramètres!$A$1:$I$89,5,0)</f>
        <v>199.18079999999992</v>
      </c>
      <c r="AK105" s="13">
        <f t="shared" si="89"/>
        <v>49.564089376413683</v>
      </c>
      <c r="AL105" s="20">
        <f t="shared" si="58"/>
        <v>433.23068233058694</v>
      </c>
      <c r="AM105" s="59">
        <f t="shared" si="59"/>
        <v>726.56401566392026</v>
      </c>
      <c r="AN105" s="59">
        <f ca="1">AVERAGE(OFFSET($AM$3,0,0,'Données projet'!$E$10+1,1))-AVERAGE(OFFSET($H$3,0,0,'Données projet'!$E$10+1,1))</f>
        <v>210.07838338464626</v>
      </c>
      <c r="AO105" s="59">
        <f t="shared" si="90"/>
        <v>241.76003724236273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1.273596960696008</v>
      </c>
      <c r="AV105" s="21">
        <f>EXP(-LN(2)/25)*AV104+(1-EXP(-LN(2)/25))/(LN(2)/25)*Calculateur!AQ105*Calculateur!AS105*VLOOKUP('Données projet'!$B$10,Paramètres!$A$1:$I$89,3,0)*0.475*44/12</f>
        <v>1.8420029490118239</v>
      </c>
      <c r="AW105" s="21">
        <f>EXP(-LN(2)/2)*AW104+(1-EXP(-LN(2)/2))/(LN(2)/2)*AQ105*AT105*VLOOKUP('Données projet'!$B$10,Paramètres!$A$1:$I$89,3,0)*0.475*44/12</f>
        <v>2.324148149760633E-10</v>
      </c>
      <c r="AX105" s="21">
        <f t="shared" si="60"/>
        <v>3.1155999099402472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6.2527760746888816E-13</v>
      </c>
      <c r="BE105" s="13">
        <f>BD105*VLOOKUP('Données projet'!$B$11,Paramètres!$A$1:$I$89,3,0)*VLOOKUP('Données projet'!$B$11,Paramètres!$A$1:$I$89,5,0)</f>
        <v>3.9017322706058616E-13</v>
      </c>
      <c r="BF105" s="13">
        <f t="shared" si="91"/>
        <v>5.0025007393608908E-12</v>
      </c>
      <c r="BG105" s="20">
        <f t="shared" si="61"/>
        <v>9.3922404915174053E-12</v>
      </c>
      <c r="BH105" s="59">
        <f t="shared" si="62"/>
        <v>293.33333333334269</v>
      </c>
      <c r="BI105" s="59">
        <f ca="1">AVERAGE(OFFSET($BH$3,0,0,'Données projet'!$E$11+1,1))-AVERAGE(OFFSET($H$3,0,0,'Données projet'!$E$11+1,1))</f>
        <v>209.93608079129638</v>
      </c>
      <c r="BJ105" s="59">
        <f t="shared" si="92"/>
        <v>240.15652428700969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1.6708233148062048</v>
      </c>
      <c r="BQ105" s="21">
        <f>EXP(-LN(2)/25)*BQ104+(1-EXP(-LN(2)/25))/(LN(2)/25)*Calculateur!BL105*Calculateur!BN105*VLOOKUP('Données projet'!$B$11,Paramètres!$A$1:$I$89,3,0)*0.475*44/12</f>
        <v>2.8238681050170009</v>
      </c>
      <c r="BR105" s="21">
        <f>EXP(-LN(2)/2)*BR104+(1-EXP(-LN(2)/2))/(LN(2)/2)*BL105*BO105*VLOOKUP('Données projet'!$B$11,Paramètres!$A$1:$I$89,3,0)*0.475*44/12</f>
        <v>2.9381503560165735E-10</v>
      </c>
      <c r="BS105" s="22">
        <f t="shared" si="63"/>
        <v>4.4946914201170207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-5.3205440053716299E-14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215.23235148064941</v>
      </c>
      <c r="CE105" s="59">
        <f t="shared" si="94"/>
        <v>184.07239726900434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0.75321311754076214</v>
      </c>
      <c r="CL105" s="21">
        <f>EXP(-LN(2)/25)*CL104+(1-EXP(-LN(2)/25))/(LN(2)/25)*Calculateur!CG105*Calculateur!CI105*VLOOKUP('Données projet'!$B$12,Paramètres!$A$1:$I$89,3,0)*0.475*44/12</f>
        <v>1.0671008718518975</v>
      </c>
      <c r="CM105" s="21">
        <f>EXP(-LN(2)/2)*CM104+(1-EXP(-LN(2)/2))/(LN(2)/2)*CG105*CJ105*VLOOKUP('Données projet'!$B$12,Paramètres!$A$1:$I$89,3,0)*0.475*44/12</f>
        <v>1.4307699865160964E-10</v>
      </c>
      <c r="CN105" s="22">
        <f t="shared" si="66"/>
        <v>1.8203139895357368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4.4000000000000004</v>
      </c>
      <c r="CT105" s="12">
        <f>IF('Données projet'!$A$140&gt;35,CT104+CS105-DB104,IF(A105&lt;'Données projet'!$A$140,$CQ$205^A105,IF(A105='Données projet'!$A$140,'Données projet'!$B$140,CT104+CS105-DB104)))</f>
        <v>269.80000000000018</v>
      </c>
      <c r="CU105" s="17">
        <f>CT105*VLOOKUP('Données projet'!$B$13,Paramètres!$A$1:$I$89,3,0)*VLOOKUP('Données projet'!$B$13,Paramètres!$A$1:$I$89,5,0)</f>
        <v>273.57720000000018</v>
      </c>
      <c r="CV105" s="13">
        <f t="shared" si="95"/>
        <v>65.607858889915107</v>
      </c>
      <c r="CW105" s="20">
        <f t="shared" si="67"/>
        <v>590.74731089993577</v>
      </c>
      <c r="CX105" s="59">
        <f t="shared" si="68"/>
        <v>884.08064423326914</v>
      </c>
      <c r="CY105" s="59">
        <f ca="1">AVERAGE(OFFSET($CX$3,0,0,'Données projet'!$E$13+1,1))-AVERAGE(OFFSET($H$3,0,0,'Données projet'!$E$13+1,1))</f>
        <v>279.20364724206644</v>
      </c>
      <c r="CZ105" s="59">
        <f t="shared" si="96"/>
        <v>173.99850582760712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0.47283735784093084</v>
      </c>
      <c r="DH105" s="21">
        <f>EXP(-LN(2)/2)*DH104+(1-EXP(-LN(2)/2))/(LN(2)/2)*DB105*DE105*VLOOKUP('Données projet'!$B$13,Paramètres!$A$1:$I$89,3,0)*0.475*44/12</f>
        <v>1.0093700421161356E-10</v>
      </c>
      <c r="DI105" s="22">
        <f t="shared" si="69"/>
        <v>0.47283735794186782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4.4000000000000004</v>
      </c>
      <c r="DO105" s="12">
        <f>IF('Données projet'!$A$166&gt;35,DO104+DN105-DW104,IF(A105&lt;'Données projet'!$A$166,$DL$205^A105,IF(A105='Données projet'!$A$166,'Données projet'!$B$166,DO104+DN105-DW104)))</f>
        <v>269.80000000000018</v>
      </c>
      <c r="DP105" s="17">
        <f>DO105*VLOOKUP('Données projet'!$B$14,Paramètres!$A$1:$I$89,3,0)*VLOOKUP('Données projet'!$B$14,Paramètres!$A$1:$I$89,5,0)</f>
        <v>281.99496000000022</v>
      </c>
      <c r="DQ105" s="13">
        <f t="shared" si="97"/>
        <v>67.388426918877258</v>
      </c>
      <c r="DR105" s="20">
        <f t="shared" si="70"/>
        <v>608.50939888371158</v>
      </c>
      <c r="DS105" s="59">
        <f t="shared" si="71"/>
        <v>901.84273221704484</v>
      </c>
      <c r="DT105" s="59">
        <f ca="1">AVERAGE(OFFSET($DS$3,0,0,'Données projet'!$E$14+1,1))-AVERAGE(OFFSET($H$3,0,0,'Données projet'!$E$14+1,1))</f>
        <v>291.18074901939718</v>
      </c>
      <c r="DU105" s="59">
        <f t="shared" si="98"/>
        <v>181.05123751753774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0.48738619962065183</v>
      </c>
      <c r="EC105" s="21">
        <f>EXP(-LN(2)/2)*EC104+(1-EXP(-LN(2)/2))/(LN(2)/2)*DW105*DZ105*VLOOKUP('Données projet'!$B$14,Paramètres!$A$1:$I$89,3,0)*0.475*44/12</f>
        <v>1.0404275818735562E-10</v>
      </c>
      <c r="ED105" s="22">
        <f t="shared" si="72"/>
        <v>0.4873861997246946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168.08890945052406</v>
      </c>
      <c r="EP105" s="59">
        <f t="shared" si="100"/>
        <v>182.52462557642343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1.4927538934792894</v>
      </c>
      <c r="EW105" s="21">
        <f>EXP(-LN(2)/25)*EW104+(1-EXP(-LN(2)/25))/(LN(2)/25)*Calculateur!ER105*Calculateur!ET105*VLOOKUP('Données projet'!$B$15,Paramètres!$A$1:$I$89,3,0)*0.475*44/12</f>
        <v>1.6750499536130263</v>
      </c>
      <c r="EX105" s="21">
        <f>EXP(-LN(2)/2)*EX104+(1-EXP(-LN(2)/2))/(LN(2)/2)*ER105*EU105*VLOOKUP('Données projet'!$B$15,Paramètres!$A$1:$I$89,3,0)*0.475*44/12</f>
        <v>7.9245253787291163E-11</v>
      </c>
      <c r="EY105" s="22">
        <f t="shared" si="75"/>
        <v>3.1678038471715606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3.813056537183002E-14</v>
      </c>
      <c r="FG105" s="13">
        <f t="shared" si="101"/>
        <v>6.4086286045526829E-13</v>
      </c>
      <c r="FH105" s="20">
        <f t="shared" si="76"/>
        <v>1.1825802166488628E-12</v>
      </c>
      <c r="FI105" s="59">
        <f t="shared" si="77"/>
        <v>293.33333333333451</v>
      </c>
      <c r="FJ105" s="59">
        <f ca="1">AVERAGE(OFFSET($FI$3,0,0,'Données projet'!$E$16+1,1))-AVERAGE(OFFSET($H$3,0,0,'Données projet'!$E$16+1,1))</f>
        <v>156.63226020379989</v>
      </c>
      <c r="FK105" s="59">
        <f t="shared" si="102"/>
        <v>196.0481096619543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1.1777435486601302</v>
      </c>
      <c r="FS105" s="21">
        <f>EXP(-LN(2)/2)*FS104+(1-EXP(-LN(2)/2))/(LN(2)/2)*FM105*FP105*VLOOKUP('Données projet'!$B$16,Paramètres!$A$1:$I$89,3,0)*0.475*44/12</f>
        <v>1.3203637793961161E-10</v>
      </c>
      <c r="FT105" s="22">
        <f t="shared" si="78"/>
        <v>1.1777435487921666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-4.5474735088646412E-13</v>
      </c>
      <c r="GA105" s="17">
        <f>FZ105*VLOOKUP('Données projet'!$B$17,Paramètres!$A$1:$I$89,3,0)*VLOOKUP('Données projet'!$B$17,Paramètres!$A$1:$I$89,5,0)</f>
        <v>-2.7193891583010558E-13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216.94426559495264</v>
      </c>
      <c r="GF105" s="59">
        <f t="shared" si="104"/>
        <v>225.33715877618704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1.7454678324476336</v>
      </c>
      <c r="GN105" s="21">
        <f>EXP(-LN(2)/2)*GN104+(1-EXP(-LN(2)/2))/(LN(2)/2)*GH105*GK105*VLOOKUP('Données projet'!$B$17,Paramètres!$A$1:$I$89,3,0)*0.475*44/12</f>
        <v>3.4530763330722361E-10</v>
      </c>
      <c r="GO105" s="21">
        <f t="shared" si="81"/>
        <v>1.7454678327929412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4.4000000000000004</v>
      </c>
      <c r="GU105" s="12">
        <f>IF('Données projet'!$A$270&gt;35,GU104+GT105-HC104,IF(A105&lt;'Données projet'!$A$270,$GR$205^A105,IF(A105='Données projet'!$A$270,'Données projet'!$B$270,GU104+GT105-HC104)))</f>
        <v>269.80000000000018</v>
      </c>
      <c r="GV105" s="17">
        <f>GU105*VLOOKUP('Données projet'!$B$18,Paramètres!$A$1:$I$89,3,0)*VLOOKUP('Données projet'!$B$18,Paramètres!$A$1:$I$89,5,0)</f>
        <v>260.95056000000022</v>
      </c>
      <c r="GW105" s="13">
        <f t="shared" si="105"/>
        <v>62.924955880176995</v>
      </c>
      <c r="GX105" s="20">
        <f t="shared" si="82"/>
        <v>564.0831901579752</v>
      </c>
      <c r="GY105" s="59">
        <f t="shared" si="83"/>
        <v>857.41652349130845</v>
      </c>
      <c r="GZ105" s="59">
        <f ca="1">AVERAGE(OFFSET($GY$3,0,0,'Données projet'!$E$18+1,1))-AVERAGE(OFFSET($H$3,0,0,'Données projet'!$E$18+1,1))</f>
        <v>261.22357949323879</v>
      </c>
      <c r="HA105" s="59">
        <f t="shared" si="106"/>
        <v>163.41029152029387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0.45101409517134944</v>
      </c>
      <c r="HI105" s="21">
        <f>EXP(-LN(2)/2)*HI104+(1-EXP(-LN(2)/2))/(LN(2)/2)*HC105*HF105*VLOOKUP('Données projet'!$B$18,Paramètres!$A$1:$I$89,3,0)*0.475*44/12</f>
        <v>9.6278373248000626E-11</v>
      </c>
      <c r="HJ105" s="22">
        <f t="shared" si="84"/>
        <v>0.45101409526762781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237.22177246688199</v>
      </c>
      <c r="T106" s="59">
        <f t="shared" si="88"/>
        <v>149.27472147904302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227.99999999999986</v>
      </c>
      <c r="AJ106" s="13">
        <f>AI106*VLOOKUP('Données projet'!$B$10,Paramètres!$A$1:$I$89,3,0)*VLOOKUP('Données projet'!$B$10,Paramètres!$A$1:$I$89,5,0)</f>
        <v>199.18079999999992</v>
      </c>
      <c r="AK106" s="13">
        <f t="shared" si="89"/>
        <v>49.564089376413683</v>
      </c>
      <c r="AL106" s="20">
        <f t="shared" si="58"/>
        <v>433.23068233058694</v>
      </c>
      <c r="AM106" s="59">
        <f t="shared" si="59"/>
        <v>726.56401566392026</v>
      </c>
      <c r="AN106" s="59">
        <f ca="1">AVERAGE(OFFSET($AM$3,0,0,'Données projet'!$E$10+1,1))-AVERAGE(OFFSET($H$3,0,0,'Données projet'!$E$10+1,1))</f>
        <v>210.07838338464626</v>
      </c>
      <c r="AO106" s="59">
        <f t="shared" si="90"/>
        <v>241.76003724236273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1.2486225011142009</v>
      </c>
      <c r="AV106" s="21">
        <f>EXP(-LN(2)/25)*AV105+(1-EXP(-LN(2)/25))/(LN(2)/25)*Calculateur!AQ106*Calculateur!AS106*VLOOKUP('Données projet'!$B$10,Paramètres!$A$1:$I$89,3,0)*0.475*44/12</f>
        <v>1.7916332815043705</v>
      </c>
      <c r="AW106" s="21">
        <f>EXP(-LN(2)/2)*AW105+(1-EXP(-LN(2)/2))/(LN(2)/2)*AQ106*AT106*VLOOKUP('Données projet'!$B$10,Paramètres!$A$1:$I$89,3,0)*0.475*44/12</f>
        <v>1.6434209171779114E-10</v>
      </c>
      <c r="AX106" s="21">
        <f t="shared" si="60"/>
        <v>3.0402557827829133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6.2527760746888816E-13</v>
      </c>
      <c r="BE106" s="13">
        <f>BD106*VLOOKUP('Données projet'!$B$11,Paramètres!$A$1:$I$89,3,0)*VLOOKUP('Données projet'!$B$11,Paramètres!$A$1:$I$89,5,0)</f>
        <v>3.9017322706058616E-13</v>
      </c>
      <c r="BF106" s="13">
        <f t="shared" si="91"/>
        <v>5.0025007393608908E-12</v>
      </c>
      <c r="BG106" s="20">
        <f t="shared" si="61"/>
        <v>9.3922404915174053E-12</v>
      </c>
      <c r="BH106" s="59">
        <f t="shared" si="62"/>
        <v>293.33333333334269</v>
      </c>
      <c r="BI106" s="59">
        <f ca="1">AVERAGE(OFFSET($BH$3,0,0,'Données projet'!$E$11+1,1))-AVERAGE(OFFSET($H$3,0,0,'Données projet'!$E$11+1,1))</f>
        <v>209.93608079129638</v>
      </c>
      <c r="BJ106" s="59">
        <f t="shared" si="92"/>
        <v>240.15652428700969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1.6380594887044493</v>
      </c>
      <c r="BQ106" s="21">
        <f>EXP(-LN(2)/25)*BQ105+(1-EXP(-LN(2)/25))/(LN(2)/25)*Calculateur!BL106*Calculateur!BN106*VLOOKUP('Données projet'!$B$11,Paramètres!$A$1:$I$89,3,0)*0.475*44/12</f>
        <v>2.7466492831845413</v>
      </c>
      <c r="BR106" s="21">
        <f>EXP(-LN(2)/2)*BR105+(1-EXP(-LN(2)/2))/(LN(2)/2)*BL106*BO106*VLOOKUP('Données projet'!$B$11,Paramètres!$A$1:$I$89,3,0)*0.475*44/12</f>
        <v>2.077586040884988E-10</v>
      </c>
      <c r="BS106" s="22">
        <f t="shared" si="63"/>
        <v>4.384708772096749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-5.3205440053716299E-14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215.23235148064941</v>
      </c>
      <c r="CE106" s="59">
        <f t="shared" si="94"/>
        <v>184.07239726900434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0.73844306772042612</v>
      </c>
      <c r="CL106" s="21">
        <f>EXP(-LN(2)/25)*CL105+(1-EXP(-LN(2)/25))/(LN(2)/25)*Calculateur!CG106*Calculateur!CI106*VLOOKUP('Données projet'!$B$12,Paramètres!$A$1:$I$89,3,0)*0.475*44/12</f>
        <v>1.0379209423947113</v>
      </c>
      <c r="CM106" s="21">
        <f>EXP(-LN(2)/2)*CM105+(1-EXP(-LN(2)/2))/(LN(2)/2)*CG106*CJ106*VLOOKUP('Données projet'!$B$12,Paramètres!$A$1:$I$89,3,0)*0.475*44/12</f>
        <v>1.0117071597837169E-10</v>
      </c>
      <c r="CN106" s="22">
        <f t="shared" si="66"/>
        <v>1.7763640102163081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4.4000000000000004</v>
      </c>
      <c r="CT106" s="12">
        <f>IF('Données projet'!$A$140&gt;35,CT105+CS106-DB105,IF(A106&lt;'Données projet'!$A$140,$CQ$205^A106,IF(A106='Données projet'!$A$140,'Données projet'!$B$140,CT105+CS106-DB105)))</f>
        <v>274.20000000000016</v>
      </c>
      <c r="CU106" s="17">
        <f>CT106*VLOOKUP('Données projet'!$B$13,Paramètres!$A$1:$I$89,3,0)*VLOOKUP('Données projet'!$B$13,Paramètres!$A$1:$I$89,5,0)</f>
        <v>278.03880000000015</v>
      </c>
      <c r="CV106" s="13">
        <f t="shared" si="95"/>
        <v>66.5523815477178</v>
      </c>
      <c r="CW106" s="20">
        <f t="shared" si="67"/>
        <v>600.16297452894207</v>
      </c>
      <c r="CX106" s="59">
        <f t="shared" si="68"/>
        <v>893.49630786227544</v>
      </c>
      <c r="CY106" s="59">
        <f ca="1">AVERAGE(OFFSET($CX$3,0,0,'Données projet'!$E$13+1,1))-AVERAGE(OFFSET($H$3,0,0,'Données projet'!$E$13+1,1))</f>
        <v>279.20364724206644</v>
      </c>
      <c r="CZ106" s="59">
        <f t="shared" si="96"/>
        <v>173.99850582760712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0.4599075954253346</v>
      </c>
      <c r="DH106" s="21">
        <f>EXP(-LN(2)/2)*DH105+(1-EXP(-LN(2)/2))/(LN(2)/2)*DB106*DE106*VLOOKUP('Données projet'!$B$13,Paramètres!$A$1:$I$89,3,0)*0.475*44/12</f>
        <v>7.1373240150687057E-11</v>
      </c>
      <c r="DI106" s="22">
        <f t="shared" si="69"/>
        <v>0.45990759549670784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4.4000000000000004</v>
      </c>
      <c r="DO106" s="12">
        <f>IF('Données projet'!$A$166&gt;35,DO105+DN106-DW105,IF(A106&lt;'Données projet'!$A$166,$DL$205^A106,IF(A106='Données projet'!$A$166,'Données projet'!$B$166,DO105+DN106-DW105)))</f>
        <v>274.20000000000016</v>
      </c>
      <c r="DP106" s="17">
        <f>DO106*VLOOKUP('Données projet'!$B$14,Paramètres!$A$1:$I$89,3,0)*VLOOKUP('Données projet'!$B$14,Paramètres!$A$1:$I$89,5,0)</f>
        <v>286.59384000000017</v>
      </c>
      <c r="DQ106" s="13">
        <f t="shared" si="97"/>
        <v>68.358583500352609</v>
      </c>
      <c r="DR106" s="20">
        <f t="shared" si="70"/>
        <v>618.20880426311442</v>
      </c>
      <c r="DS106" s="59">
        <f t="shared" si="71"/>
        <v>911.54213759644767</v>
      </c>
      <c r="DT106" s="59">
        <f ca="1">AVERAGE(OFFSET($DS$3,0,0,'Données projet'!$E$14+1,1))-AVERAGE(OFFSET($H$3,0,0,'Données projet'!$E$14+1,1))</f>
        <v>291.18074901939718</v>
      </c>
      <c r="DU106" s="59">
        <f t="shared" si="98"/>
        <v>181.05123751753774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0.47405859836149883</v>
      </c>
      <c r="EC106" s="21">
        <f>EXP(-LN(2)/2)*EC105+(1-EXP(-LN(2)/2))/(LN(2)/2)*DW106*DZ106*VLOOKUP('Données projet'!$B$14,Paramètres!$A$1:$I$89,3,0)*0.475*44/12</f>
        <v>7.3569339847631345E-11</v>
      </c>
      <c r="ED106" s="22">
        <f t="shared" si="72"/>
        <v>0.47405859843506815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168.08890945052406</v>
      </c>
      <c r="EP106" s="59">
        <f t="shared" si="100"/>
        <v>182.52462557642343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1.4634819001181323</v>
      </c>
      <c r="EW106" s="21">
        <f>EXP(-LN(2)/25)*EW105+(1-EXP(-LN(2)/25))/(LN(2)/25)*Calculateur!ER106*Calculateur!ET106*VLOOKUP('Données projet'!$B$15,Paramètres!$A$1:$I$89,3,0)*0.475*44/12</f>
        <v>1.6292456245444293</v>
      </c>
      <c r="EX106" s="21">
        <f>EXP(-LN(2)/2)*EX105+(1-EXP(-LN(2)/2))/(LN(2)/2)*ER106*EU106*VLOOKUP('Données projet'!$B$15,Paramètres!$A$1:$I$89,3,0)*0.475*44/12</f>
        <v>5.6034856329842519E-11</v>
      </c>
      <c r="EY106" s="22">
        <f t="shared" si="75"/>
        <v>3.0927275247185961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3.813056537183002E-14</v>
      </c>
      <c r="FG106" s="13">
        <f t="shared" si="101"/>
        <v>6.4086286045526829E-13</v>
      </c>
      <c r="FH106" s="20">
        <f t="shared" si="76"/>
        <v>1.1825802166488628E-12</v>
      </c>
      <c r="FI106" s="59">
        <f t="shared" si="77"/>
        <v>293.33333333333451</v>
      </c>
      <c r="FJ106" s="59">
        <f ca="1">AVERAGE(OFFSET($FI$3,0,0,'Données projet'!$E$16+1,1))-AVERAGE(OFFSET($H$3,0,0,'Données projet'!$E$16+1,1))</f>
        <v>156.63226020379989</v>
      </c>
      <c r="FK106" s="59">
        <f t="shared" si="102"/>
        <v>196.0481096619543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1.1455380893871774</v>
      </c>
      <c r="FS106" s="21">
        <f>EXP(-LN(2)/2)*FS105+(1-EXP(-LN(2)/2))/(LN(2)/2)*FM106*FP106*VLOOKUP('Données projet'!$B$16,Paramètres!$A$1:$I$89,3,0)*0.475*44/12</f>
        <v>9.3363818204409236E-11</v>
      </c>
      <c r="FT106" s="22">
        <f t="shared" si="78"/>
        <v>1.1455380894805411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-4.5474735088646412E-13</v>
      </c>
      <c r="GA106" s="17">
        <f>FZ106*VLOOKUP('Données projet'!$B$17,Paramètres!$A$1:$I$89,3,0)*VLOOKUP('Données projet'!$B$17,Paramètres!$A$1:$I$89,5,0)</f>
        <v>-2.7193891583010558E-13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216.94426559495264</v>
      </c>
      <c r="GF106" s="59">
        <f t="shared" si="104"/>
        <v>225.33715877618704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1.6977379227791891</v>
      </c>
      <c r="GN106" s="21">
        <f>EXP(-LN(2)/2)*GN105+(1-EXP(-LN(2)/2))/(LN(2)/2)*GH106*GK106*VLOOKUP('Données projet'!$B$17,Paramètres!$A$1:$I$89,3,0)*0.475*44/12</f>
        <v>2.4416936910701555E-10</v>
      </c>
      <c r="GO106" s="21">
        <f t="shared" si="81"/>
        <v>1.6977379230233585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4.4000000000000004</v>
      </c>
      <c r="GU106" s="12">
        <f>IF('Données projet'!$A$270&gt;35,GU105+GT106-HC105,IF(A106&lt;'Données projet'!$A$270,$GR$205^A106,IF(A106='Données projet'!$A$270,'Données projet'!$B$270,GU105+GT106-HC105)))</f>
        <v>274.20000000000016</v>
      </c>
      <c r="GV106" s="17">
        <f>GU106*VLOOKUP('Données projet'!$B$18,Paramètres!$A$1:$I$89,3,0)*VLOOKUP('Données projet'!$B$18,Paramètres!$A$1:$I$89,5,0)</f>
        <v>265.20624000000015</v>
      </c>
      <c r="GW106" s="13">
        <f t="shared" si="105"/>
        <v>63.8308541608965</v>
      </c>
      <c r="GX106" s="20">
        <f t="shared" si="82"/>
        <v>573.072938996895</v>
      </c>
      <c r="GY106" s="59">
        <f t="shared" si="83"/>
        <v>866.40627233022838</v>
      </c>
      <c r="GZ106" s="59">
        <f ca="1">AVERAGE(OFFSET($GY$3,0,0,'Données projet'!$E$18+1,1))-AVERAGE(OFFSET($H$3,0,0,'Données projet'!$E$18+1,1))</f>
        <v>261.22357949323879</v>
      </c>
      <c r="HA106" s="59">
        <f t="shared" si="106"/>
        <v>163.41029152029387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0.43868109102108843</v>
      </c>
      <c r="HI106" s="21">
        <f>EXP(-LN(2)/2)*HI105+(1-EXP(-LN(2)/2))/(LN(2)/2)*HC106*HF106*VLOOKUP('Données projet'!$B$18,Paramètres!$A$1:$I$89,3,0)*0.475*44/12</f>
        <v>6.8079090605270728E-11</v>
      </c>
      <c r="HJ106" s="22">
        <f t="shared" si="84"/>
        <v>0.43868109108916753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237.22177246688199</v>
      </c>
      <c r="T107" s="59">
        <f t="shared" si="88"/>
        <v>149.27472147904302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227.99999999999986</v>
      </c>
      <c r="AJ107" s="13">
        <f>AI107*VLOOKUP('Données projet'!$B$10,Paramètres!$A$1:$I$89,3,0)*VLOOKUP('Données projet'!$B$10,Paramètres!$A$1:$I$89,5,0)</f>
        <v>199.18079999999992</v>
      </c>
      <c r="AK107" s="13">
        <f t="shared" si="89"/>
        <v>49.564089376413683</v>
      </c>
      <c r="AL107" s="20">
        <f t="shared" si="58"/>
        <v>433.23068233058694</v>
      </c>
      <c r="AM107" s="59">
        <f t="shared" si="59"/>
        <v>726.56401566392026</v>
      </c>
      <c r="AN107" s="59">
        <f ca="1">AVERAGE(OFFSET($AM$3,0,0,'Données projet'!$E$10+1,1))-AVERAGE(OFFSET($H$3,0,0,'Données projet'!$E$10+1,1))</f>
        <v>210.07838338464626</v>
      </c>
      <c r="AO107" s="59">
        <f t="shared" si="90"/>
        <v>241.76003724236273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1.224137775451877</v>
      </c>
      <c r="AV107" s="21">
        <f>EXP(-LN(2)/25)*AV106+(1-EXP(-LN(2)/25))/(LN(2)/25)*Calculateur!AQ107*Calculateur!AS107*VLOOKUP('Données projet'!$B$10,Paramètres!$A$1:$I$89,3,0)*0.475*44/12</f>
        <v>1.742640975203734</v>
      </c>
      <c r="AW107" s="21">
        <f>EXP(-LN(2)/2)*AW106+(1-EXP(-LN(2)/2))/(LN(2)/2)*AQ107*AT107*VLOOKUP('Données projet'!$B$10,Paramètres!$A$1:$I$89,3,0)*0.475*44/12</f>
        <v>1.1620740748803168E-10</v>
      </c>
      <c r="AX107" s="21">
        <f t="shared" si="60"/>
        <v>2.9667787507718186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6.2527760746888816E-13</v>
      </c>
      <c r="BE107" s="13">
        <f>BD107*VLOOKUP('Données projet'!$B$11,Paramètres!$A$1:$I$89,3,0)*VLOOKUP('Données projet'!$B$11,Paramètres!$A$1:$I$89,5,0)</f>
        <v>3.9017322706058616E-13</v>
      </c>
      <c r="BF107" s="13">
        <f t="shared" si="91"/>
        <v>5.0025007393608908E-12</v>
      </c>
      <c r="BG107" s="20">
        <f t="shared" si="61"/>
        <v>9.3922404915174053E-12</v>
      </c>
      <c r="BH107" s="59">
        <f t="shared" si="62"/>
        <v>293.33333333334269</v>
      </c>
      <c r="BI107" s="59">
        <f ca="1">AVERAGE(OFFSET($BH$3,0,0,'Données projet'!$E$11+1,1))-AVERAGE(OFFSET($H$3,0,0,'Données projet'!$E$11+1,1))</f>
        <v>209.93608079129638</v>
      </c>
      <c r="BJ107" s="59">
        <f t="shared" si="92"/>
        <v>240.15652428700969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1.6059381412485885</v>
      </c>
      <c r="BQ107" s="21">
        <f>EXP(-LN(2)/25)*BQ106+(1-EXP(-LN(2)/25))/(LN(2)/25)*Calculateur!BL107*Calculateur!BN107*VLOOKUP('Données projet'!$B$11,Paramètres!$A$1:$I$89,3,0)*0.475*44/12</f>
        <v>2.6715420140958517</v>
      </c>
      <c r="BR107" s="21">
        <f>EXP(-LN(2)/2)*BR106+(1-EXP(-LN(2)/2))/(LN(2)/2)*BL107*BO107*VLOOKUP('Données projet'!$B$11,Paramètres!$A$1:$I$89,3,0)*0.475*44/12</f>
        <v>1.4690751780082868E-10</v>
      </c>
      <c r="BS107" s="22">
        <f t="shared" si="63"/>
        <v>4.2774801554913475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-5.3205440053716299E-14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215.23235148064941</v>
      </c>
      <c r="CE107" s="59">
        <f t="shared" si="94"/>
        <v>184.07239726900434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0.72396264956822598</v>
      </c>
      <c r="CL107" s="21">
        <f>EXP(-LN(2)/25)*CL106+(1-EXP(-LN(2)/25))/(LN(2)/25)*Calculateur!CG107*Calculateur!CI107*VLOOKUP('Données projet'!$B$12,Paramètres!$A$1:$I$89,3,0)*0.475*44/12</f>
        <v>1.0095389396430379</v>
      </c>
      <c r="CM107" s="21">
        <f>EXP(-LN(2)/2)*CM106+(1-EXP(-LN(2)/2))/(LN(2)/2)*CG107*CJ107*VLOOKUP('Données projet'!$B$12,Paramètres!$A$1:$I$89,3,0)*0.475*44/12</f>
        <v>7.1538499325804819E-11</v>
      </c>
      <c r="CN107" s="22">
        <f t="shared" si="66"/>
        <v>1.7335015892828023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4.4000000000000004</v>
      </c>
      <c r="CT107" s="12">
        <f>IF('Données projet'!$A$140&gt;35,CT106+CS107-DB106,IF(A107&lt;'Données projet'!$A$140,$CQ$205^A107,IF(A107='Données projet'!$A$140,'Données projet'!$B$140,CT106+CS107-DB106)))</f>
        <v>278.60000000000014</v>
      </c>
      <c r="CU107" s="17">
        <f>CT107*VLOOKUP('Données projet'!$B$13,Paramètres!$A$1:$I$89,3,0)*VLOOKUP('Données projet'!$B$13,Paramètres!$A$1:$I$89,5,0)</f>
        <v>282.50040000000013</v>
      </c>
      <c r="CV107" s="13">
        <f t="shared" si="95"/>
        <v>67.495141560894439</v>
      </c>
      <c r="CW107" s="20">
        <f t="shared" si="67"/>
        <v>609.57556821855803</v>
      </c>
      <c r="CX107" s="59">
        <f t="shared" si="68"/>
        <v>902.9089015518914</v>
      </c>
      <c r="CY107" s="59">
        <f ca="1">AVERAGE(OFFSET($CX$3,0,0,'Données projet'!$E$13+1,1))-AVERAGE(OFFSET($H$3,0,0,'Données projet'!$E$13+1,1))</f>
        <v>279.20364724206644</v>
      </c>
      <c r="CZ107" s="59">
        <f t="shared" si="96"/>
        <v>173.99850582760712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0.44733139804293953</v>
      </c>
      <c r="DH107" s="21">
        <f>EXP(-LN(2)/2)*DH106+(1-EXP(-LN(2)/2))/(LN(2)/2)*DB107*DE107*VLOOKUP('Données projet'!$B$13,Paramètres!$A$1:$I$89,3,0)*0.475*44/12</f>
        <v>5.0468502105806781E-11</v>
      </c>
      <c r="DI107" s="22">
        <f t="shared" si="69"/>
        <v>0.44733139809340805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4.4000000000000004</v>
      </c>
      <c r="DO107" s="12">
        <f>IF('Données projet'!$A$166&gt;35,DO106+DN107-DW106,IF(A107&lt;'Données projet'!$A$166,$DL$205^A107,IF(A107='Données projet'!$A$166,'Données projet'!$B$166,DO106+DN107-DW106)))</f>
        <v>278.60000000000014</v>
      </c>
      <c r="DP107" s="17">
        <f>DO107*VLOOKUP('Données projet'!$B$14,Paramètres!$A$1:$I$89,3,0)*VLOOKUP('Données projet'!$B$14,Paramètres!$A$1:$I$89,5,0)</f>
        <v>291.19272000000018</v>
      </c>
      <c r="DQ107" s="13">
        <f t="shared" si="97"/>
        <v>69.326929599812942</v>
      </c>
      <c r="DR107" s="20">
        <f t="shared" si="70"/>
        <v>627.90505638634124</v>
      </c>
      <c r="DS107" s="59">
        <f t="shared" si="71"/>
        <v>921.23838971967461</v>
      </c>
      <c r="DT107" s="59">
        <f ca="1">AVERAGE(OFFSET($DS$3,0,0,'Données projet'!$E$14+1,1))-AVERAGE(OFFSET($H$3,0,0,'Données projet'!$E$14+1,1))</f>
        <v>291.18074901939718</v>
      </c>
      <c r="DU107" s="59">
        <f t="shared" si="98"/>
        <v>181.05123751753774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0.46109544105964545</v>
      </c>
      <c r="EC107" s="21">
        <f>EXP(-LN(2)/2)*EC106+(1-EXP(-LN(2)/2))/(LN(2)/2)*DW107*DZ107*VLOOKUP('Données projet'!$B$14,Paramètres!$A$1:$I$89,3,0)*0.475*44/12</f>
        <v>5.202137909367781E-11</v>
      </c>
      <c r="ED107" s="22">
        <f t="shared" si="72"/>
        <v>0.46109544111166684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168.08890945052406</v>
      </c>
      <c r="EP107" s="59">
        <f t="shared" si="100"/>
        <v>182.52462557642343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1.4347839126926343</v>
      </c>
      <c r="EW107" s="21">
        <f>EXP(-LN(2)/25)*EW106+(1-EXP(-LN(2)/25))/(LN(2)/25)*Calculateur!ER107*Calculateur!ET107*VLOOKUP('Données projet'!$B$15,Paramètres!$A$1:$I$89,3,0)*0.475*44/12</f>
        <v>1.5846938172629581</v>
      </c>
      <c r="EX107" s="21">
        <f>EXP(-LN(2)/2)*EX106+(1-EXP(-LN(2)/2))/(LN(2)/2)*ER107*EU107*VLOOKUP('Données projet'!$B$15,Paramètres!$A$1:$I$89,3,0)*0.475*44/12</f>
        <v>3.9622626893645581E-11</v>
      </c>
      <c r="EY107" s="22">
        <f t="shared" si="75"/>
        <v>3.0194777299952147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3.813056537183002E-14</v>
      </c>
      <c r="FG107" s="13">
        <f t="shared" si="101"/>
        <v>6.4086286045526829E-13</v>
      </c>
      <c r="FH107" s="20">
        <f t="shared" si="76"/>
        <v>1.1825802166488628E-12</v>
      </c>
      <c r="FI107" s="59">
        <f t="shared" si="77"/>
        <v>293.33333333333451</v>
      </c>
      <c r="FJ107" s="59">
        <f ca="1">AVERAGE(OFFSET($FI$3,0,0,'Données projet'!$E$16+1,1))-AVERAGE(OFFSET($H$3,0,0,'Données projet'!$E$16+1,1))</f>
        <v>156.63226020379989</v>
      </c>
      <c r="FK107" s="59">
        <f t="shared" si="102"/>
        <v>196.0481096619543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1.114213290091655</v>
      </c>
      <c r="FS107" s="21">
        <f>EXP(-LN(2)/2)*FS106+(1-EXP(-LN(2)/2))/(LN(2)/2)*FM107*FP107*VLOOKUP('Données projet'!$B$16,Paramètres!$A$1:$I$89,3,0)*0.475*44/12</f>
        <v>6.6018188969805804E-11</v>
      </c>
      <c r="FT107" s="22">
        <f t="shared" si="78"/>
        <v>1.1142132901576731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-4.5474735088646412E-13</v>
      </c>
      <c r="GA107" s="17">
        <f>FZ107*VLOOKUP('Données projet'!$B$17,Paramètres!$A$1:$I$89,3,0)*VLOOKUP('Données projet'!$B$17,Paramètres!$A$1:$I$89,5,0)</f>
        <v>-2.7193891583010558E-13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216.94426559495264</v>
      </c>
      <c r="GF107" s="59">
        <f t="shared" si="104"/>
        <v>225.33715877618704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1.651313190000635</v>
      </c>
      <c r="GN107" s="21">
        <f>EXP(-LN(2)/2)*GN106+(1-EXP(-LN(2)/2))/(LN(2)/2)*GH107*GK107*VLOOKUP('Données projet'!$B$17,Paramètres!$A$1:$I$89,3,0)*0.475*44/12</f>
        <v>1.726538166536118E-10</v>
      </c>
      <c r="GO107" s="21">
        <f t="shared" si="81"/>
        <v>1.6513131901732889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4.4000000000000004</v>
      </c>
      <c r="GU107" s="12">
        <f>IF('Données projet'!$A$270&gt;35,GU106+GT107-HC106,IF(A107&lt;'Données projet'!$A$270,$GR$205^A107,IF(A107='Données projet'!$A$270,'Données projet'!$B$270,GU106+GT107-HC106)))</f>
        <v>278.60000000000014</v>
      </c>
      <c r="GV107" s="17">
        <f>GU107*VLOOKUP('Données projet'!$B$18,Paramètres!$A$1:$I$89,3,0)*VLOOKUP('Données projet'!$B$18,Paramètres!$A$1:$I$89,5,0)</f>
        <v>269.46192000000013</v>
      </c>
      <c r="GW107" s="13">
        <f t="shared" si="105"/>
        <v>64.735061876839112</v>
      </c>
      <c r="GX107" s="20">
        <f t="shared" si="82"/>
        <v>582.05974343549497</v>
      </c>
      <c r="GY107" s="59">
        <f t="shared" si="83"/>
        <v>875.39307676882822</v>
      </c>
      <c r="GZ107" s="59">
        <f ca="1">AVERAGE(OFFSET($GY$3,0,0,'Données projet'!$E$18+1,1))-AVERAGE(OFFSET($H$3,0,0,'Données projet'!$E$18+1,1))</f>
        <v>261.22357949323879</v>
      </c>
      <c r="HA107" s="59">
        <f t="shared" si="106"/>
        <v>163.41029152029387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0.42668533351788079</v>
      </c>
      <c r="HI107" s="21">
        <f>EXP(-LN(2)/2)*HI106+(1-EXP(-LN(2)/2))/(LN(2)/2)*HC107*HF107*VLOOKUP('Données projet'!$B$18,Paramètres!$A$1:$I$89,3,0)*0.475*44/12</f>
        <v>4.8139186624000313E-11</v>
      </c>
      <c r="HJ107" s="22">
        <f t="shared" si="84"/>
        <v>0.42668533356601995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237.22177246688199</v>
      </c>
      <c r="T108" s="59">
        <f t="shared" si="88"/>
        <v>149.27472147904302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227.99999999999986</v>
      </c>
      <c r="AJ108" s="13">
        <f>AI108*VLOOKUP('Données projet'!$B$10,Paramètres!$A$1:$I$89,3,0)*VLOOKUP('Données projet'!$B$10,Paramètres!$A$1:$I$89,5,0)</f>
        <v>199.18079999999992</v>
      </c>
      <c r="AK108" s="13">
        <f t="shared" si="89"/>
        <v>49.564089376413683</v>
      </c>
      <c r="AL108" s="20">
        <f t="shared" si="58"/>
        <v>433.23068233058694</v>
      </c>
      <c r="AM108" s="59">
        <f t="shared" si="59"/>
        <v>726.56401566392026</v>
      </c>
      <c r="AN108" s="59">
        <f ca="1">AVERAGE(OFFSET($AM$3,0,0,'Données projet'!$E$10+1,1))-AVERAGE(OFFSET($H$3,0,0,'Données projet'!$E$10+1,1))</f>
        <v>210.07838338464626</v>
      </c>
      <c r="AO108" s="59">
        <f t="shared" si="90"/>
        <v>241.76003724236273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1.200133180325583</v>
      </c>
      <c r="AV108" s="21">
        <f>EXP(-LN(2)/25)*AV107+(1-EXP(-LN(2)/25))/(LN(2)/25)*Calculateur!AQ108*Calculateur!AS108*VLOOKUP('Données projet'!$B$10,Paramètres!$A$1:$I$89,3,0)*0.475*44/12</f>
        <v>1.6949883660952818</v>
      </c>
      <c r="AW108" s="21">
        <f>EXP(-LN(2)/2)*AW107+(1-EXP(-LN(2)/2))/(LN(2)/2)*AQ108*AT108*VLOOKUP('Données projet'!$B$10,Paramètres!$A$1:$I$89,3,0)*0.475*44/12</f>
        <v>8.2171045858895584E-11</v>
      </c>
      <c r="AX108" s="21">
        <f t="shared" si="60"/>
        <v>2.8951215465030358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6.2527760746888816E-13</v>
      </c>
      <c r="BE108" s="13">
        <f>BD108*VLOOKUP('Données projet'!$B$11,Paramètres!$A$1:$I$89,3,0)*VLOOKUP('Données projet'!$B$11,Paramètres!$A$1:$I$89,5,0)</f>
        <v>3.9017322706058616E-13</v>
      </c>
      <c r="BF108" s="13">
        <f t="shared" si="91"/>
        <v>5.0025007393608908E-12</v>
      </c>
      <c r="BG108" s="20">
        <f t="shared" si="61"/>
        <v>9.3922404915174053E-12</v>
      </c>
      <c r="BH108" s="59">
        <f t="shared" si="62"/>
        <v>293.33333333334269</v>
      </c>
      <c r="BI108" s="59">
        <f ca="1">AVERAGE(OFFSET($BH$3,0,0,'Données projet'!$E$11+1,1))-AVERAGE(OFFSET($H$3,0,0,'Données projet'!$E$11+1,1))</f>
        <v>209.93608079129638</v>
      </c>
      <c r="BJ108" s="59">
        <f t="shared" si="92"/>
        <v>240.15652428700969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1.5744466738242497</v>
      </c>
      <c r="BQ108" s="21">
        <f>EXP(-LN(2)/25)*BQ107+(1-EXP(-LN(2)/25))/(LN(2)/25)*Calculateur!BL108*Calculateur!BN108*VLOOKUP('Données projet'!$B$11,Paramètres!$A$1:$I$89,3,0)*0.475*44/12</f>
        <v>2.598488557230112</v>
      </c>
      <c r="BR108" s="21">
        <f>EXP(-LN(2)/2)*BR107+(1-EXP(-LN(2)/2))/(LN(2)/2)*BL108*BO108*VLOOKUP('Données projet'!$B$11,Paramètres!$A$1:$I$89,3,0)*0.475*44/12</f>
        <v>1.038793020442494E-10</v>
      </c>
      <c r="BS108" s="22">
        <f t="shared" si="63"/>
        <v>4.1729352311582417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-5.3205440053716299E-14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215.23235148064941</v>
      </c>
      <c r="CE108" s="59">
        <f t="shared" si="94"/>
        <v>184.07239726900434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0.7097661835838075</v>
      </c>
      <c r="CL108" s="21">
        <f>EXP(-LN(2)/25)*CL107+(1-EXP(-LN(2)/25))/(LN(2)/25)*Calculateur!CG108*Calculateur!CI108*VLOOKUP('Données projet'!$B$12,Paramètres!$A$1:$I$89,3,0)*0.475*44/12</f>
        <v>0.98193304424915351</v>
      </c>
      <c r="CM108" s="21">
        <f>EXP(-LN(2)/2)*CM107+(1-EXP(-LN(2)/2))/(LN(2)/2)*CG108*CJ108*VLOOKUP('Données projet'!$B$12,Paramètres!$A$1:$I$89,3,0)*0.475*44/12</f>
        <v>5.0585357989185847E-11</v>
      </c>
      <c r="CN108" s="22">
        <f t="shared" si="66"/>
        <v>1.6916992278835463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4.4000000000000004</v>
      </c>
      <c r="CT108" s="12">
        <f>IF('Données projet'!$A$140&gt;35,CT107+CS108-DB107,IF(A108&lt;'Données projet'!$A$140,$CQ$205^A108,IF(A108='Données projet'!$A$140,'Données projet'!$B$140,CT107+CS108-DB107)))</f>
        <v>283.00000000000011</v>
      </c>
      <c r="CU108" s="17">
        <f>CT108*VLOOKUP('Données projet'!$B$13,Paramètres!$A$1:$I$89,3,0)*VLOOKUP('Données projet'!$B$13,Paramètres!$A$1:$I$89,5,0)</f>
        <v>286.9620000000001</v>
      </c>
      <c r="CV108" s="13">
        <f t="shared" si="95"/>
        <v>68.436169981717924</v>
      </c>
      <c r="CW108" s="20">
        <f t="shared" si="67"/>
        <v>618.98514605149205</v>
      </c>
      <c r="CX108" s="59">
        <f t="shared" si="68"/>
        <v>912.31847938482542</v>
      </c>
      <c r="CY108" s="59">
        <f ca="1">AVERAGE(OFFSET($CX$3,0,0,'Données projet'!$E$13+1,1))-AVERAGE(OFFSET($H$3,0,0,'Données projet'!$E$13+1,1))</f>
        <v>279.20364724206644</v>
      </c>
      <c r="CZ108" s="59">
        <f t="shared" si="96"/>
        <v>173.99850582760712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0.43509909743931952</v>
      </c>
      <c r="DH108" s="21">
        <f>EXP(-LN(2)/2)*DH107+(1-EXP(-LN(2)/2))/(LN(2)/2)*DB108*DE108*VLOOKUP('Données projet'!$B$13,Paramètres!$A$1:$I$89,3,0)*0.475*44/12</f>
        <v>3.5686620075343528E-11</v>
      </c>
      <c r="DI108" s="22">
        <f t="shared" si="69"/>
        <v>0.43509909747500614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4.4000000000000004</v>
      </c>
      <c r="DO108" s="12">
        <f>IF('Données projet'!$A$166&gt;35,DO107+DN108-DW107,IF(A108&lt;'Données projet'!$A$166,$DL$205^A108,IF(A108='Données projet'!$A$166,'Données projet'!$B$166,DO107+DN108-DW107)))</f>
        <v>283.00000000000011</v>
      </c>
      <c r="DP108" s="17">
        <f>DO108*VLOOKUP('Données projet'!$B$14,Paramètres!$A$1:$I$89,3,0)*VLOOKUP('Données projet'!$B$14,Paramètres!$A$1:$I$89,5,0)</f>
        <v>295.79160000000019</v>
      </c>
      <c r="DQ108" s="13">
        <f t="shared" si="97"/>
        <v>70.293497112275958</v>
      </c>
      <c r="DR108" s="20">
        <f t="shared" si="70"/>
        <v>637.59821080388087</v>
      </c>
      <c r="DS108" s="59">
        <f t="shared" si="71"/>
        <v>930.93154413721413</v>
      </c>
      <c r="DT108" s="59">
        <f ca="1">AVERAGE(OFFSET($DS$3,0,0,'Données projet'!$E$14+1,1))-AVERAGE(OFFSET($H$3,0,0,'Données projet'!$E$14+1,1))</f>
        <v>291.18074901939718</v>
      </c>
      <c r="DU108" s="59">
        <f t="shared" si="98"/>
        <v>181.05123751753774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0.44848676197591403</v>
      </c>
      <c r="EC108" s="21">
        <f>EXP(-LN(2)/2)*EC107+(1-EXP(-LN(2)/2))/(LN(2)/2)*DW108*DZ108*VLOOKUP('Données projet'!$B$14,Paramètres!$A$1:$I$89,3,0)*0.475*44/12</f>
        <v>3.6784669923815673E-11</v>
      </c>
      <c r="ED108" s="22">
        <f t="shared" si="72"/>
        <v>0.44848676201269871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168.08890945052406</v>
      </c>
      <c r="EP108" s="59">
        <f t="shared" si="100"/>
        <v>182.52462557642343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1.4066486752965064</v>
      </c>
      <c r="EW108" s="21">
        <f>EXP(-LN(2)/25)*EW107+(1-EXP(-LN(2)/25))/(LN(2)/25)*Calculateur!ER108*Calculateur!ET108*VLOOKUP('Données projet'!$B$15,Paramètres!$A$1:$I$89,3,0)*0.475*44/12</f>
        <v>1.5413602814944765</v>
      </c>
      <c r="EX108" s="21">
        <f>EXP(-LN(2)/2)*EX107+(1-EXP(-LN(2)/2))/(LN(2)/2)*ER108*EU108*VLOOKUP('Données projet'!$B$15,Paramètres!$A$1:$I$89,3,0)*0.475*44/12</f>
        <v>2.801742816492126E-11</v>
      </c>
      <c r="EY108" s="22">
        <f t="shared" si="75"/>
        <v>2.9480089568190007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3.813056537183002E-14</v>
      </c>
      <c r="FG108" s="13">
        <f t="shared" si="101"/>
        <v>6.4086286045526829E-13</v>
      </c>
      <c r="FH108" s="20">
        <f t="shared" si="76"/>
        <v>1.1825802166488628E-12</v>
      </c>
      <c r="FI108" s="59">
        <f t="shared" si="77"/>
        <v>293.33333333333451</v>
      </c>
      <c r="FJ108" s="59">
        <f ca="1">AVERAGE(OFFSET($FI$3,0,0,'Données projet'!$E$16+1,1))-AVERAGE(OFFSET($H$3,0,0,'Données projet'!$E$16+1,1))</f>
        <v>156.63226020379989</v>
      </c>
      <c r="FK108" s="59">
        <f t="shared" si="102"/>
        <v>196.0481096619543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1.0837450690801684</v>
      </c>
      <c r="FS108" s="21">
        <f>EXP(-LN(2)/2)*FS107+(1-EXP(-LN(2)/2))/(LN(2)/2)*FM108*FP108*VLOOKUP('Données projet'!$B$16,Paramètres!$A$1:$I$89,3,0)*0.475*44/12</f>
        <v>4.6681909102204618E-11</v>
      </c>
      <c r="FT108" s="22">
        <f t="shared" si="78"/>
        <v>1.0837450691268504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-4.5474735088646412E-13</v>
      </c>
      <c r="GA108" s="17">
        <f>FZ108*VLOOKUP('Données projet'!$B$17,Paramètres!$A$1:$I$89,3,0)*VLOOKUP('Données projet'!$B$17,Paramètres!$A$1:$I$89,5,0)</f>
        <v>-2.7193891583010558E-13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216.94426559495264</v>
      </c>
      <c r="GF108" s="59">
        <f t="shared" si="104"/>
        <v>225.33715877618704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1.6061579439812812</v>
      </c>
      <c r="GN108" s="21">
        <f>EXP(-LN(2)/2)*GN107+(1-EXP(-LN(2)/2))/(LN(2)/2)*GH108*GK108*VLOOKUP('Données projet'!$B$17,Paramètres!$A$1:$I$89,3,0)*0.475*44/12</f>
        <v>1.2208468455350777E-10</v>
      </c>
      <c r="GO108" s="21">
        <f t="shared" si="81"/>
        <v>1.606157944103366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4.4000000000000004</v>
      </c>
      <c r="GU108" s="12">
        <f>IF('Données projet'!$A$270&gt;35,GU107+GT108-HC107,IF(A108&lt;'Données projet'!$A$270,$GR$205^A108,IF(A108='Données projet'!$A$270,'Données projet'!$B$270,GU107+GT108-HC107)))</f>
        <v>283.00000000000011</v>
      </c>
      <c r="GV108" s="17">
        <f>GU108*VLOOKUP('Données projet'!$B$18,Paramètres!$A$1:$I$89,3,0)*VLOOKUP('Données projet'!$B$18,Paramètres!$A$1:$I$89,5,0)</f>
        <v>273.71760000000012</v>
      </c>
      <c r="GW108" s="13">
        <f t="shared" si="105"/>
        <v>65.637608810456669</v>
      </c>
      <c r="GX108" s="20">
        <f t="shared" si="82"/>
        <v>591.04365534487897</v>
      </c>
      <c r="GY108" s="59">
        <f t="shared" si="83"/>
        <v>884.37698867821223</v>
      </c>
      <c r="GZ108" s="59">
        <f ca="1">AVERAGE(OFFSET($GY$3,0,0,'Données projet'!$E$18+1,1))-AVERAGE(OFFSET($H$3,0,0,'Données projet'!$E$18+1,1))</f>
        <v>261.22357949323879</v>
      </c>
      <c r="HA108" s="59">
        <f t="shared" si="106"/>
        <v>163.41029152029387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0.41501760063442783</v>
      </c>
      <c r="HI108" s="21">
        <f>EXP(-LN(2)/2)*HI107+(1-EXP(-LN(2)/2))/(LN(2)/2)*HC108*HF108*VLOOKUP('Données projet'!$B$18,Paramètres!$A$1:$I$89,3,0)*0.475*44/12</f>
        <v>3.4039545302635364E-11</v>
      </c>
      <c r="HJ108" s="22">
        <f t="shared" si="84"/>
        <v>0.41501760066846738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237.22177246688199</v>
      </c>
      <c r="T109" s="59">
        <f t="shared" si="88"/>
        <v>149.27472147904302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227.99999999999986</v>
      </c>
      <c r="AJ109" s="13">
        <f>AI109*VLOOKUP('Données projet'!$B$10,Paramètres!$A$1:$I$89,3,0)*VLOOKUP('Données projet'!$B$10,Paramètres!$A$1:$I$89,5,0)</f>
        <v>199.18079999999992</v>
      </c>
      <c r="AK109" s="13">
        <f t="shared" si="89"/>
        <v>49.564089376413683</v>
      </c>
      <c r="AL109" s="20">
        <f t="shared" si="58"/>
        <v>433.23068233058694</v>
      </c>
      <c r="AM109" s="59">
        <f t="shared" si="59"/>
        <v>726.56401566392026</v>
      </c>
      <c r="AN109" s="59">
        <f ca="1">AVERAGE(OFFSET($AM$3,0,0,'Données projet'!$E$10+1,1))-AVERAGE(OFFSET($H$3,0,0,'Données projet'!$E$10+1,1))</f>
        <v>210.07838338464626</v>
      </c>
      <c r="AO109" s="59">
        <f t="shared" si="90"/>
        <v>241.76003724236273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1.1765993006683584</v>
      </c>
      <c r="AV109" s="21">
        <f>EXP(-LN(2)/25)*AV108+(1-EXP(-LN(2)/25))/(LN(2)/25)*Calculateur!AQ109*Calculateur!AS109*VLOOKUP('Données projet'!$B$10,Paramètres!$A$1:$I$89,3,0)*0.475*44/12</f>
        <v>1.648638820088842</v>
      </c>
      <c r="AW109" s="21">
        <f>EXP(-LN(2)/2)*AW108+(1-EXP(-LN(2)/2))/(LN(2)/2)*AQ109*AT109*VLOOKUP('Données projet'!$B$10,Paramètres!$A$1:$I$89,3,0)*0.475*44/12</f>
        <v>5.8103703744015845E-11</v>
      </c>
      <c r="AX109" s="21">
        <f t="shared" si="60"/>
        <v>2.8252381208153041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6.2527760746888816E-13</v>
      </c>
      <c r="BE109" s="13">
        <f>BD109*VLOOKUP('Données projet'!$B$11,Paramètres!$A$1:$I$89,3,0)*VLOOKUP('Données projet'!$B$11,Paramètres!$A$1:$I$89,5,0)</f>
        <v>3.9017322706058616E-13</v>
      </c>
      <c r="BF109" s="13">
        <f t="shared" si="91"/>
        <v>5.0025007393608908E-12</v>
      </c>
      <c r="BG109" s="20">
        <f t="shared" si="61"/>
        <v>9.3922404915174053E-12</v>
      </c>
      <c r="BH109" s="59">
        <f t="shared" si="62"/>
        <v>293.33333333334269</v>
      </c>
      <c r="BI109" s="59">
        <f ca="1">AVERAGE(OFFSET($BH$3,0,0,'Données projet'!$E$11+1,1))-AVERAGE(OFFSET($H$3,0,0,'Données projet'!$E$11+1,1))</f>
        <v>209.93608079129638</v>
      </c>
      <c r="BJ109" s="59">
        <f t="shared" si="92"/>
        <v>240.15652428700969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1.5435727348682038</v>
      </c>
      <c r="BQ109" s="21">
        <f>EXP(-LN(2)/25)*BQ108+(1-EXP(-LN(2)/25))/(LN(2)/25)*Calculateur!BL109*Calculateur!BN109*VLOOKUP('Données projet'!$B$11,Paramètres!$A$1:$I$89,3,0)*0.475*44/12</f>
        <v>2.5274327509840804</v>
      </c>
      <c r="BR109" s="21">
        <f>EXP(-LN(2)/2)*BR108+(1-EXP(-LN(2)/2))/(LN(2)/2)*BL109*BO109*VLOOKUP('Données projet'!$B$11,Paramètres!$A$1:$I$89,3,0)*0.475*44/12</f>
        <v>7.3453758900414338E-11</v>
      </c>
      <c r="BS109" s="22">
        <f t="shared" si="63"/>
        <v>4.0710054859257383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-5.3205440053716299E-14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215.23235148064941</v>
      </c>
      <c r="CE109" s="59">
        <f t="shared" si="94"/>
        <v>184.07239726900434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0.6958481016383542</v>
      </c>
      <c r="CL109" s="21">
        <f>EXP(-LN(2)/25)*CL108+(1-EXP(-LN(2)/25))/(LN(2)/25)*Calculateur!CG109*Calculateur!CI109*VLOOKUP('Données projet'!$B$12,Paramètres!$A$1:$I$89,3,0)*0.475*44/12</f>
        <v>0.95508203351654586</v>
      </c>
      <c r="CM109" s="21">
        <f>EXP(-LN(2)/2)*CM108+(1-EXP(-LN(2)/2))/(LN(2)/2)*CG109*CJ109*VLOOKUP('Données projet'!$B$12,Paramètres!$A$1:$I$89,3,0)*0.475*44/12</f>
        <v>3.576924966290241E-11</v>
      </c>
      <c r="CN109" s="22">
        <f t="shared" si="66"/>
        <v>1.6509301351906691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4.4000000000000004</v>
      </c>
      <c r="CT109" s="12">
        <f>IF('Données projet'!$A$140&gt;35,CT108+CS109-DB108,IF(A109&lt;'Données projet'!$A$140,$CQ$205^A109,IF(A109='Données projet'!$A$140,'Données projet'!$B$140,CT108+CS109-DB108)))</f>
        <v>287.40000000000009</v>
      </c>
      <c r="CU109" s="17">
        <f>CT109*VLOOKUP('Données projet'!$B$13,Paramètres!$A$1:$I$89,3,0)*VLOOKUP('Données projet'!$B$13,Paramètres!$A$1:$I$89,5,0)</f>
        <v>291.42360000000008</v>
      </c>
      <c r="CV109" s="13">
        <f t="shared" si="95"/>
        <v>69.375496841482232</v>
      </c>
      <c r="CW109" s="20">
        <f t="shared" si="67"/>
        <v>628.3917603322484</v>
      </c>
      <c r="CX109" s="59">
        <f t="shared" si="68"/>
        <v>921.72509366558165</v>
      </c>
      <c r="CY109" s="59">
        <f ca="1">AVERAGE(OFFSET($CX$3,0,0,'Données projet'!$E$13+1,1))-AVERAGE(OFFSET($H$3,0,0,'Données projet'!$E$13+1,1))</f>
        <v>279.20364724206644</v>
      </c>
      <c r="CZ109" s="59">
        <f t="shared" si="96"/>
        <v>173.99850582760712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0.4232012897389742</v>
      </c>
      <c r="DH109" s="21">
        <f>EXP(-LN(2)/2)*DH108+(1-EXP(-LN(2)/2))/(LN(2)/2)*DB109*DE109*VLOOKUP('Données projet'!$B$13,Paramètres!$A$1:$I$89,3,0)*0.475*44/12</f>
        <v>2.5234251052903391E-11</v>
      </c>
      <c r="DI109" s="22">
        <f t="shared" si="69"/>
        <v>0.42320128976420845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4.4000000000000004</v>
      </c>
      <c r="DO109" s="12">
        <f>IF('Données projet'!$A$166&gt;35,DO108+DN109-DW108,IF(A109&lt;'Données projet'!$A$166,$DL$205^A109,IF(A109='Données projet'!$A$166,'Données projet'!$B$166,DO108+DN109-DW108)))</f>
        <v>287.40000000000009</v>
      </c>
      <c r="DP109" s="17">
        <f>DO109*VLOOKUP('Données projet'!$B$14,Paramètres!$A$1:$I$89,3,0)*VLOOKUP('Données projet'!$B$14,Paramètres!$A$1:$I$89,5,0)</f>
        <v>300.39048000000014</v>
      </c>
      <c r="DQ109" s="13">
        <f t="shared" si="97"/>
        <v>71.258316884071562</v>
      </c>
      <c r="DR109" s="20">
        <f t="shared" si="70"/>
        <v>647.28832123975826</v>
      </c>
      <c r="DS109" s="59">
        <f t="shared" si="71"/>
        <v>940.62165457309152</v>
      </c>
      <c r="DT109" s="59">
        <f ca="1">AVERAGE(OFFSET($DS$3,0,0,'Données projet'!$E$14+1,1))-AVERAGE(OFFSET($H$3,0,0,'Données projet'!$E$14+1,1))</f>
        <v>291.18074901939718</v>
      </c>
      <c r="DU109" s="59">
        <f t="shared" si="98"/>
        <v>181.05123751753774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0.43622286788478887</v>
      </c>
      <c r="EC109" s="21">
        <f>EXP(-LN(2)/2)*EC108+(1-EXP(-LN(2)/2))/(LN(2)/2)*DW109*DZ109*VLOOKUP('Données projet'!$B$14,Paramètres!$A$1:$I$89,3,0)*0.475*44/12</f>
        <v>2.6010689546838905E-11</v>
      </c>
      <c r="ED109" s="22">
        <f t="shared" si="72"/>
        <v>0.43622286791079956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168.08890945052406</v>
      </c>
      <c r="EP109" s="59">
        <f t="shared" si="100"/>
        <v>182.52462557642343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1.3790651527449163</v>
      </c>
      <c r="EW109" s="21">
        <f>EXP(-LN(2)/25)*EW108+(1-EXP(-LN(2)/25))/(LN(2)/25)*Calculateur!ER109*Calculateur!ET109*VLOOKUP('Données projet'!$B$15,Paramètres!$A$1:$I$89,3,0)*0.475*44/12</f>
        <v>1.4992117035403956</v>
      </c>
      <c r="EX109" s="21">
        <f>EXP(-LN(2)/2)*EX108+(1-EXP(-LN(2)/2))/(LN(2)/2)*ER109*EU109*VLOOKUP('Données projet'!$B$15,Paramètres!$A$1:$I$89,3,0)*0.475*44/12</f>
        <v>1.9811313446822791E-11</v>
      </c>
      <c r="EY109" s="22">
        <f t="shared" si="75"/>
        <v>2.8782768563051229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3.813056537183002E-14</v>
      </c>
      <c r="FG109" s="13">
        <f t="shared" si="101"/>
        <v>6.4086286045526829E-13</v>
      </c>
      <c r="FH109" s="20">
        <f t="shared" si="76"/>
        <v>1.1825802166488628E-12</v>
      </c>
      <c r="FI109" s="59">
        <f t="shared" si="77"/>
        <v>293.33333333333451</v>
      </c>
      <c r="FJ109" s="59">
        <f ca="1">AVERAGE(OFFSET($FI$3,0,0,'Données projet'!$E$16+1,1))-AVERAGE(OFFSET($H$3,0,0,'Données projet'!$E$16+1,1))</f>
        <v>156.63226020379989</v>
      </c>
      <c r="FK109" s="59">
        <f t="shared" si="102"/>
        <v>196.0481096619543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1.054110003174495</v>
      </c>
      <c r="FS109" s="21">
        <f>EXP(-LN(2)/2)*FS108+(1-EXP(-LN(2)/2))/(LN(2)/2)*FM109*FP109*VLOOKUP('Données projet'!$B$16,Paramètres!$A$1:$I$89,3,0)*0.475*44/12</f>
        <v>3.3009094484902902E-11</v>
      </c>
      <c r="FT109" s="22">
        <f t="shared" si="78"/>
        <v>1.0541100032075041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-4.5474735088646412E-13</v>
      </c>
      <c r="GA109" s="17">
        <f>FZ109*VLOOKUP('Données projet'!$B$17,Paramètres!$A$1:$I$89,3,0)*VLOOKUP('Données projet'!$B$17,Paramètres!$A$1:$I$89,5,0)</f>
        <v>-2.7193891583010558E-13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216.94426559495264</v>
      </c>
      <c r="GF109" s="59">
        <f t="shared" si="104"/>
        <v>225.33715877618704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1.5622374705389377</v>
      </c>
      <c r="GN109" s="21">
        <f>EXP(-LN(2)/2)*GN108+(1-EXP(-LN(2)/2))/(LN(2)/2)*GH109*GK109*VLOOKUP('Données projet'!$B$17,Paramètres!$A$1:$I$89,3,0)*0.475*44/12</f>
        <v>8.6326908326805902E-11</v>
      </c>
      <c r="GO109" s="21">
        <f t="shared" si="81"/>
        <v>1.5622374706252646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4.4000000000000004</v>
      </c>
      <c r="GU109" s="12">
        <f>IF('Données projet'!$A$270&gt;35,GU108+GT109-HC108,IF(A109&lt;'Données projet'!$A$270,$GR$205^A109,IF(A109='Données projet'!$A$270,'Données projet'!$B$270,GU108+GT109-HC108)))</f>
        <v>287.40000000000009</v>
      </c>
      <c r="GV109" s="17">
        <f>GU109*VLOOKUP('Données projet'!$B$18,Paramètres!$A$1:$I$89,3,0)*VLOOKUP('Données projet'!$B$18,Paramètres!$A$1:$I$89,5,0)</f>
        <v>277.9732800000001</v>
      </c>
      <c r="GW109" s="13">
        <f t="shared" si="105"/>
        <v>66.538523764973192</v>
      </c>
      <c r="GX109" s="20">
        <f t="shared" si="82"/>
        <v>600.02472489066179</v>
      </c>
      <c r="GY109" s="59">
        <f t="shared" si="83"/>
        <v>893.35805822399516</v>
      </c>
      <c r="GZ109" s="59">
        <f ca="1">AVERAGE(OFFSET($GY$3,0,0,'Données projet'!$E$18+1,1))-AVERAGE(OFFSET($H$3,0,0,'Données projet'!$E$18+1,1))</f>
        <v>261.22357949323879</v>
      </c>
      <c r="HA109" s="59">
        <f t="shared" si="106"/>
        <v>163.41029152029387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0.40366892252025233</v>
      </c>
      <c r="HI109" s="21">
        <f>EXP(-LN(2)/2)*HI108+(1-EXP(-LN(2)/2))/(LN(2)/2)*HC109*HF109*VLOOKUP('Données projet'!$B$18,Paramètres!$A$1:$I$89,3,0)*0.475*44/12</f>
        <v>2.4069593312000156E-11</v>
      </c>
      <c r="HJ109" s="22">
        <f t="shared" si="84"/>
        <v>0.40366892254432191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237.22177246688199</v>
      </c>
      <c r="T110" s="59">
        <f t="shared" si="88"/>
        <v>149.27472147904302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227.99999999999986</v>
      </c>
      <c r="AJ110" s="13">
        <f>AI110*VLOOKUP('Données projet'!$B$10,Paramètres!$A$1:$I$89,3,0)*VLOOKUP('Données projet'!$B$10,Paramètres!$A$1:$I$89,5,0)</f>
        <v>199.18079999999992</v>
      </c>
      <c r="AK110" s="13">
        <f t="shared" si="89"/>
        <v>49.564089376413683</v>
      </c>
      <c r="AL110" s="20">
        <f t="shared" si="58"/>
        <v>433.23068233058694</v>
      </c>
      <c r="AM110" s="59">
        <f t="shared" si="59"/>
        <v>726.56401566392026</v>
      </c>
      <c r="AN110" s="59">
        <f ca="1">AVERAGE(OFFSET($AM$3,0,0,'Données projet'!$E$10+1,1))-AVERAGE(OFFSET($H$3,0,0,'Données projet'!$E$10+1,1))</f>
        <v>210.07838338464626</v>
      </c>
      <c r="AO110" s="59">
        <f t="shared" si="90"/>
        <v>241.76003724236273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1.1535269060369628</v>
      </c>
      <c r="AV110" s="21">
        <f>EXP(-LN(2)/25)*AV109+(1-EXP(-LN(2)/25))/(LN(2)/25)*Calculateur!AQ110*Calculateur!AS110*VLOOKUP('Données projet'!$B$10,Paramètres!$A$1:$I$89,3,0)*0.475*44/12</f>
        <v>1.6035567048553652</v>
      </c>
      <c r="AW110" s="21">
        <f>EXP(-LN(2)/2)*AW109+(1-EXP(-LN(2)/2))/(LN(2)/2)*AQ110*AT110*VLOOKUP('Données projet'!$B$10,Paramètres!$A$1:$I$89,3,0)*0.475*44/12</f>
        <v>4.1085522929447799E-11</v>
      </c>
      <c r="AX110" s="21">
        <f t="shared" si="60"/>
        <v>2.7570836109334134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6.2527760746888816E-13</v>
      </c>
      <c r="BE110" s="13">
        <f>BD110*VLOOKUP('Données projet'!$B$11,Paramètres!$A$1:$I$89,3,0)*VLOOKUP('Données projet'!$B$11,Paramètres!$A$1:$I$89,5,0)</f>
        <v>3.9017322706058616E-13</v>
      </c>
      <c r="BF110" s="13">
        <f t="shared" si="91"/>
        <v>5.0025007393608908E-12</v>
      </c>
      <c r="BG110" s="20">
        <f t="shared" si="61"/>
        <v>9.3922404915174053E-12</v>
      </c>
      <c r="BH110" s="59">
        <f t="shared" si="62"/>
        <v>293.33333333334269</v>
      </c>
      <c r="BI110" s="59">
        <f ca="1">AVERAGE(OFFSET($BH$3,0,0,'Données projet'!$E$11+1,1))-AVERAGE(OFFSET($H$3,0,0,'Données projet'!$E$11+1,1))</f>
        <v>209.93608079129638</v>
      </c>
      <c r="BJ110" s="59">
        <f t="shared" si="92"/>
        <v>240.15652428700969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1.5133042150238425</v>
      </c>
      <c r="BQ110" s="21">
        <f>EXP(-LN(2)/25)*BQ109+(1-EXP(-LN(2)/25))/(LN(2)/25)*Calculateur!BL110*Calculateur!BN110*VLOOKUP('Données projet'!$B$11,Paramètres!$A$1:$I$89,3,0)*0.475*44/12</f>
        <v>2.4583199694965088</v>
      </c>
      <c r="BR110" s="21">
        <f>EXP(-LN(2)/2)*BR109+(1-EXP(-LN(2)/2))/(LN(2)/2)*BL110*BO110*VLOOKUP('Données projet'!$B$11,Paramètres!$A$1:$I$89,3,0)*0.475*44/12</f>
        <v>5.1939651022124699E-11</v>
      </c>
      <c r="BS110" s="22">
        <f t="shared" si="63"/>
        <v>3.971624184572291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-5.3205440053716299E-14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215.23235148064941</v>
      </c>
      <c r="CE110" s="59">
        <f t="shared" si="94"/>
        <v>184.07239726900434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0.68220294479065957</v>
      </c>
      <c r="CL110" s="21">
        <f>EXP(-LN(2)/25)*CL109+(1-EXP(-LN(2)/25))/(LN(2)/25)*Calculateur!CG110*Calculateur!CI110*VLOOKUP('Données projet'!$B$12,Paramètres!$A$1:$I$89,3,0)*0.475*44/12</f>
        <v>0.92896526508445465</v>
      </c>
      <c r="CM110" s="21">
        <f>EXP(-LN(2)/2)*CM109+(1-EXP(-LN(2)/2))/(LN(2)/2)*CG110*CJ110*VLOOKUP('Données projet'!$B$12,Paramètres!$A$1:$I$89,3,0)*0.475*44/12</f>
        <v>2.5292678994592923E-11</v>
      </c>
      <c r="CN110" s="22">
        <f t="shared" si="66"/>
        <v>1.611168209900407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4.4000000000000004</v>
      </c>
      <c r="CT110" s="12">
        <f>IF('Données projet'!$A$140&gt;35,CT109+CS110-DB109,IF(A110&lt;'Données projet'!$A$140,$CQ$205^A110,IF(A110='Données projet'!$A$140,'Données projet'!$B$140,CT109+CS110-DB109)))</f>
        <v>291.80000000000007</v>
      </c>
      <c r="CU110" s="17">
        <f>CT110*VLOOKUP('Données projet'!$B$13,Paramètres!$A$1:$I$89,3,0)*VLOOKUP('Données projet'!$B$13,Paramètres!$A$1:$I$89,5,0)</f>
        <v>295.88520000000005</v>
      </c>
      <c r="CV110" s="13">
        <f t="shared" si="95"/>
        <v>70.313151199178748</v>
      </c>
      <c r="CW110" s="20">
        <f t="shared" si="67"/>
        <v>637.79546167190301</v>
      </c>
      <c r="CX110" s="59">
        <f t="shared" si="68"/>
        <v>931.12879500523627</v>
      </c>
      <c r="CY110" s="59">
        <f ca="1">AVERAGE(OFFSET($CX$3,0,0,'Données projet'!$E$13+1,1))-AVERAGE(OFFSET($H$3,0,0,'Données projet'!$E$13+1,1))</f>
        <v>279.20364724206644</v>
      </c>
      <c r="CZ110" s="59">
        <f t="shared" si="96"/>
        <v>173.99850582760712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0.41162882821587338</v>
      </c>
      <c r="DH110" s="21">
        <f>EXP(-LN(2)/2)*DH109+(1-EXP(-LN(2)/2))/(LN(2)/2)*DB110*DE110*VLOOKUP('Données projet'!$B$13,Paramètres!$A$1:$I$89,3,0)*0.475*44/12</f>
        <v>1.7843310037671764E-11</v>
      </c>
      <c r="DI110" s="22">
        <f t="shared" si="69"/>
        <v>0.41162882823371666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4.4000000000000004</v>
      </c>
      <c r="DO110" s="12">
        <f>IF('Données projet'!$A$166&gt;35,DO109+DN110-DW109,IF(A110&lt;'Données projet'!$A$166,$DL$205^A110,IF(A110='Données projet'!$A$166,'Données projet'!$B$166,DO109+DN110-DW109)))</f>
        <v>291.80000000000007</v>
      </c>
      <c r="DP110" s="17">
        <f>DO110*VLOOKUP('Données projet'!$B$14,Paramètres!$A$1:$I$89,3,0)*VLOOKUP('Données projet'!$B$14,Paramètres!$A$1:$I$89,5,0)</f>
        <v>304.98936000000009</v>
      </c>
      <c r="DQ110" s="13">
        <f t="shared" si="97"/>
        <v>72.221418762839249</v>
      </c>
      <c r="DR110" s="20">
        <f t="shared" si="70"/>
        <v>656.97543967861191</v>
      </c>
      <c r="DS110" s="59">
        <f t="shared" si="71"/>
        <v>950.30877301194528</v>
      </c>
      <c r="DT110" s="59">
        <f ca="1">AVERAGE(OFFSET($DS$3,0,0,'Données projet'!$E$14+1,1))-AVERAGE(OFFSET($H$3,0,0,'Données projet'!$E$14+1,1))</f>
        <v>291.18074901939718</v>
      </c>
      <c r="DU110" s="59">
        <f t="shared" si="98"/>
        <v>181.05123751753774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0.4242943306225157</v>
      </c>
      <c r="EC110" s="21">
        <f>EXP(-LN(2)/2)*EC109+(1-EXP(-LN(2)/2))/(LN(2)/2)*DW110*DZ110*VLOOKUP('Données projet'!$B$14,Paramètres!$A$1:$I$89,3,0)*0.475*44/12</f>
        <v>1.8392334961907836E-11</v>
      </c>
      <c r="ED110" s="22">
        <f t="shared" si="72"/>
        <v>0.42429433064090805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168.08890945052406</v>
      </c>
      <c r="EP110" s="59">
        <f t="shared" si="100"/>
        <v>182.52462557642343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1.3520225262462753</v>
      </c>
      <c r="EW110" s="21">
        <f>EXP(-LN(2)/25)*EW109+(1-EXP(-LN(2)/25))/(LN(2)/25)*Calculateur!ER110*Calculateur!ET110*VLOOKUP('Données projet'!$B$15,Paramètres!$A$1:$I$89,3,0)*0.475*44/12</f>
        <v>1.4582156806669664</v>
      </c>
      <c r="EX110" s="21">
        <f>EXP(-LN(2)/2)*EX109+(1-EXP(-LN(2)/2))/(LN(2)/2)*ER110*EU110*VLOOKUP('Données projet'!$B$15,Paramètres!$A$1:$I$89,3,0)*0.475*44/12</f>
        <v>1.400871408246063E-11</v>
      </c>
      <c r="EY110" s="22">
        <f t="shared" si="75"/>
        <v>2.8102382069272505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3.813056537183002E-14</v>
      </c>
      <c r="FG110" s="13">
        <f t="shared" si="101"/>
        <v>6.4086286045526829E-13</v>
      </c>
      <c r="FH110" s="20">
        <f t="shared" si="76"/>
        <v>1.1825802166488628E-12</v>
      </c>
      <c r="FI110" s="59">
        <f t="shared" si="77"/>
        <v>293.33333333333451</v>
      </c>
      <c r="FJ110" s="59">
        <f ca="1">AVERAGE(OFFSET($FI$3,0,0,'Données projet'!$E$16+1,1))-AVERAGE(OFFSET($H$3,0,0,'Données projet'!$E$16+1,1))</f>
        <v>156.63226020379989</v>
      </c>
      <c r="FK110" s="59">
        <f t="shared" si="102"/>
        <v>196.0481096619543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1.0252853097044525</v>
      </c>
      <c r="FS110" s="21">
        <f>EXP(-LN(2)/2)*FS109+(1-EXP(-LN(2)/2))/(LN(2)/2)*FM110*FP110*VLOOKUP('Données projet'!$B$16,Paramètres!$A$1:$I$89,3,0)*0.475*44/12</f>
        <v>2.3340954551102309E-11</v>
      </c>
      <c r="FT110" s="22">
        <f t="shared" si="78"/>
        <v>1.0252853097277934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-4.5474735088646412E-13</v>
      </c>
      <c r="GA110" s="17">
        <f>FZ110*VLOOKUP('Données projet'!$B$17,Paramètres!$A$1:$I$89,3,0)*VLOOKUP('Données projet'!$B$17,Paramètres!$A$1:$I$89,5,0)</f>
        <v>-2.7193891583010558E-13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216.94426559495264</v>
      </c>
      <c r="GF110" s="59">
        <f t="shared" si="104"/>
        <v>225.33715877618704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1.5195180047525525</v>
      </c>
      <c r="GN110" s="21">
        <f>EXP(-LN(2)/2)*GN109+(1-EXP(-LN(2)/2))/(LN(2)/2)*GH110*GK110*VLOOKUP('Données projet'!$B$17,Paramètres!$A$1:$I$89,3,0)*0.475*44/12</f>
        <v>6.1042342276753887E-11</v>
      </c>
      <c r="GO110" s="21">
        <f t="shared" si="81"/>
        <v>1.5195180048135948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4.4000000000000004</v>
      </c>
      <c r="GU110" s="12">
        <f>IF('Données projet'!$A$270&gt;35,GU109+GT110-HC109,IF(A110&lt;'Données projet'!$A$270,$GR$205^A110,IF(A110='Données projet'!$A$270,'Données projet'!$B$270,GU109+GT110-HC109)))</f>
        <v>291.80000000000007</v>
      </c>
      <c r="GV110" s="17">
        <f>GU110*VLOOKUP('Données projet'!$B$18,Paramètres!$A$1:$I$89,3,0)*VLOOKUP('Données projet'!$B$18,Paramètres!$A$1:$I$89,5,0)</f>
        <v>282.22896000000009</v>
      </c>
      <c r="GW110" s="13">
        <f t="shared" si="105"/>
        <v>67.437834611070414</v>
      </c>
      <c r="GX110" s="20">
        <f t="shared" si="82"/>
        <v>609.00300061428106</v>
      </c>
      <c r="GY110" s="59">
        <f t="shared" si="83"/>
        <v>902.33633394761432</v>
      </c>
      <c r="GZ110" s="59">
        <f ca="1">AVERAGE(OFFSET($GY$3,0,0,'Données projet'!$E$18+1,1))-AVERAGE(OFFSET($H$3,0,0,'Données projet'!$E$18+1,1))</f>
        <v>261.22357949323879</v>
      </c>
      <c r="HA110" s="59">
        <f t="shared" si="106"/>
        <v>163.41029152029387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0.39263057460591</v>
      </c>
      <c r="HI110" s="21">
        <f>EXP(-LN(2)/2)*HI109+(1-EXP(-LN(2)/2))/(LN(2)/2)*HC110*HF110*VLOOKUP('Données projet'!$B$18,Paramètres!$A$1:$I$89,3,0)*0.475*44/12</f>
        <v>1.7019772651317682E-11</v>
      </c>
      <c r="HJ110" s="22">
        <f t="shared" si="84"/>
        <v>0.39263057462292977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237.22177246688199</v>
      </c>
      <c r="T111" s="59">
        <f t="shared" si="88"/>
        <v>149.27472147904302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227.99999999999986</v>
      </c>
      <c r="AJ111" s="13">
        <f>AI111*VLOOKUP('Données projet'!$B$10,Paramètres!$A$1:$I$89,3,0)*VLOOKUP('Données projet'!$B$10,Paramètres!$A$1:$I$89,5,0)</f>
        <v>199.18079999999992</v>
      </c>
      <c r="AK111" s="13">
        <f t="shared" si="89"/>
        <v>49.564089376413683</v>
      </c>
      <c r="AL111" s="20">
        <f t="shared" si="58"/>
        <v>433.23068233058694</v>
      </c>
      <c r="AM111" s="59">
        <f t="shared" si="59"/>
        <v>726.56401566392026</v>
      </c>
      <c r="AN111" s="59">
        <f ca="1">AVERAGE(OFFSET($AM$3,0,0,'Données projet'!$E$10+1,1))-AVERAGE(OFFSET($H$3,0,0,'Données projet'!$E$10+1,1))</f>
        <v>210.07838338464626</v>
      </c>
      <c r="AO111" s="59">
        <f t="shared" si="90"/>
        <v>241.76003724236273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1.1309069469915178</v>
      </c>
      <c r="AV111" s="21">
        <f>EXP(-LN(2)/25)*AV110+(1-EXP(-LN(2)/25))/(LN(2)/25)*Calculateur!AQ111*Calculateur!AS111*VLOOKUP('Données projet'!$B$10,Paramètres!$A$1:$I$89,3,0)*0.475*44/12</f>
        <v>1.559707362433713</v>
      </c>
      <c r="AW111" s="21">
        <f>EXP(-LN(2)/2)*AW110+(1-EXP(-LN(2)/2))/(LN(2)/2)*AQ111*AT111*VLOOKUP('Données projet'!$B$10,Paramètres!$A$1:$I$89,3,0)*0.475*44/12</f>
        <v>2.9051851872007929E-11</v>
      </c>
      <c r="AX111" s="21">
        <f t="shared" si="60"/>
        <v>2.6906143094542827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6.2527760746888816E-13</v>
      </c>
      <c r="BE111" s="13">
        <f>BD111*VLOOKUP('Données projet'!$B$11,Paramètres!$A$1:$I$89,3,0)*VLOOKUP('Données projet'!$B$11,Paramètres!$A$1:$I$89,5,0)</f>
        <v>3.9017322706058616E-13</v>
      </c>
      <c r="BF111" s="13">
        <f t="shared" si="91"/>
        <v>5.0025007393608908E-12</v>
      </c>
      <c r="BG111" s="20">
        <f t="shared" si="61"/>
        <v>9.3922404915174053E-12</v>
      </c>
      <c r="BH111" s="59">
        <f t="shared" si="62"/>
        <v>293.33333333334269</v>
      </c>
      <c r="BI111" s="59">
        <f ca="1">AVERAGE(OFFSET($BH$3,0,0,'Données projet'!$E$11+1,1))-AVERAGE(OFFSET($H$3,0,0,'Données projet'!$E$11+1,1))</f>
        <v>209.93608079129638</v>
      </c>
      <c r="BJ111" s="59">
        <f t="shared" si="92"/>
        <v>240.15652428700969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1.4836292423916551</v>
      </c>
      <c r="BQ111" s="21">
        <f>EXP(-LN(2)/25)*BQ110+(1-EXP(-LN(2)/25))/(LN(2)/25)*Calculateur!BL111*Calculateur!BN111*VLOOKUP('Données projet'!$B$11,Paramètres!$A$1:$I$89,3,0)*0.475*44/12</f>
        <v>2.3910970806531981</v>
      </c>
      <c r="BR111" s="21">
        <f>EXP(-LN(2)/2)*BR110+(1-EXP(-LN(2)/2))/(LN(2)/2)*BL111*BO111*VLOOKUP('Données projet'!$B$11,Paramètres!$A$1:$I$89,3,0)*0.475*44/12</f>
        <v>3.6726879450207169E-11</v>
      </c>
      <c r="BS111" s="22">
        <f t="shared" si="63"/>
        <v>3.87472632308158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-5.3205440053716299E-14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215.23235148064941</v>
      </c>
      <c r="CE111" s="59">
        <f t="shared" si="94"/>
        <v>184.07239726900434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0.66882536114602431</v>
      </c>
      <c r="CL111" s="21">
        <f>EXP(-LN(2)/25)*CL110+(1-EXP(-LN(2)/25))/(LN(2)/25)*Calculateur!CG111*Calculateur!CI111*VLOOKUP('Données projet'!$B$12,Paramètres!$A$1:$I$89,3,0)*0.475*44/12</f>
        <v>0.90356266105856009</v>
      </c>
      <c r="CM111" s="21">
        <f>EXP(-LN(2)/2)*CM110+(1-EXP(-LN(2)/2))/(LN(2)/2)*CG111*CJ111*VLOOKUP('Données projet'!$B$12,Paramètres!$A$1:$I$89,3,0)*0.475*44/12</f>
        <v>1.7884624831451205E-11</v>
      </c>
      <c r="CN111" s="22">
        <f t="shared" si="66"/>
        <v>1.5723880222224691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4.4000000000000004</v>
      </c>
      <c r="CT111" s="12">
        <f>IF('Données projet'!$A$140&gt;35,CT110+CS111-DB110,IF(A111&lt;'Données projet'!$A$140,$CQ$205^A111,IF(A111='Données projet'!$A$140,'Données projet'!$B$140,CT110+CS111-DB110)))</f>
        <v>296.20000000000005</v>
      </c>
      <c r="CU111" s="17">
        <f>CT111*VLOOKUP('Données projet'!$B$13,Paramètres!$A$1:$I$89,3,0)*VLOOKUP('Données projet'!$B$13,Paramètres!$A$1:$I$89,5,0)</f>
        <v>300.34680000000003</v>
      </c>
      <c r="CV111" s="13">
        <f t="shared" si="95"/>
        <v>71.249161187153362</v>
      </c>
      <c r="CW111" s="20">
        <f t="shared" si="67"/>
        <v>647.19629906762555</v>
      </c>
      <c r="CX111" s="59">
        <f t="shared" si="68"/>
        <v>940.52963240095892</v>
      </c>
      <c r="CY111" s="59">
        <f ca="1">AVERAGE(OFFSET($CX$3,0,0,'Données projet'!$E$13+1,1))-AVERAGE(OFFSET($H$3,0,0,'Données projet'!$E$13+1,1))</f>
        <v>279.20364724206644</v>
      </c>
      <c r="CZ111" s="59">
        <f t="shared" si="96"/>
        <v>173.99850582760712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0.40037281626169102</v>
      </c>
      <c r="DH111" s="21">
        <f>EXP(-LN(2)/2)*DH110+(1-EXP(-LN(2)/2))/(LN(2)/2)*DB111*DE111*VLOOKUP('Données projet'!$B$13,Paramètres!$A$1:$I$89,3,0)*0.475*44/12</f>
        <v>1.2617125526451695E-11</v>
      </c>
      <c r="DI111" s="22">
        <f t="shared" si="69"/>
        <v>0.40037281627430815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4.4000000000000004</v>
      </c>
      <c r="DO111" s="12">
        <f>IF('Données projet'!$A$166&gt;35,DO110+DN111-DW110,IF(A111&lt;'Données projet'!$A$166,$DL$205^A111,IF(A111='Données projet'!$A$166,'Données projet'!$B$166,DO110+DN111-DW110)))</f>
        <v>296.20000000000005</v>
      </c>
      <c r="DP111" s="17">
        <f>DO111*VLOOKUP('Données projet'!$B$14,Paramètres!$A$1:$I$89,3,0)*VLOOKUP('Données projet'!$B$14,Paramètres!$A$1:$I$89,5,0)</f>
        <v>309.58824000000004</v>
      </c>
      <c r="DQ111" s="13">
        <f t="shared" si="97"/>
        <v>73.182831644424041</v>
      </c>
      <c r="DR111" s="20">
        <f t="shared" si="70"/>
        <v>666.65961644737183</v>
      </c>
      <c r="DS111" s="59">
        <f t="shared" si="71"/>
        <v>959.9929497807052</v>
      </c>
      <c r="DT111" s="59">
        <f ca="1">AVERAGE(OFFSET($DS$3,0,0,'Données projet'!$E$14+1,1))-AVERAGE(OFFSET($H$3,0,0,'Données projet'!$E$14+1,1))</f>
        <v>291.18074901939718</v>
      </c>
      <c r="DU111" s="59">
        <f t="shared" si="98"/>
        <v>181.05123751753774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0.41269197983897388</v>
      </c>
      <c r="EC111" s="21">
        <f>EXP(-LN(2)/2)*EC110+(1-EXP(-LN(2)/2))/(LN(2)/2)*DW111*DZ111*VLOOKUP('Données projet'!$B$14,Paramètres!$A$1:$I$89,3,0)*0.475*44/12</f>
        <v>1.3005344773419452E-11</v>
      </c>
      <c r="ED111" s="22">
        <f t="shared" si="72"/>
        <v>0.4126919798519792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168.08890945052406</v>
      </c>
      <c r="EP111" s="59">
        <f t="shared" si="100"/>
        <v>182.52462557642343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1.3255101891588992</v>
      </c>
      <c r="EW111" s="21">
        <f>EXP(-LN(2)/25)*EW110+(1-EXP(-LN(2)/25))/(LN(2)/25)*Calculateur!ER111*Calculateur!ET111*VLOOKUP('Données projet'!$B$15,Paramètres!$A$1:$I$89,3,0)*0.475*44/12</f>
        <v>1.4183406961948983</v>
      </c>
      <c r="EX111" s="21">
        <f>EXP(-LN(2)/2)*EX110+(1-EXP(-LN(2)/2))/(LN(2)/2)*ER111*EU111*VLOOKUP('Données projet'!$B$15,Paramètres!$A$1:$I$89,3,0)*0.475*44/12</f>
        <v>9.9056567234113953E-12</v>
      </c>
      <c r="EY111" s="22">
        <f t="shared" si="75"/>
        <v>2.7438508853637034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3.813056537183002E-14</v>
      </c>
      <c r="FG111" s="13">
        <f t="shared" si="101"/>
        <v>6.4086286045526829E-13</v>
      </c>
      <c r="FH111" s="20">
        <f t="shared" si="76"/>
        <v>1.1825802166488628E-12</v>
      </c>
      <c r="FI111" s="59">
        <f t="shared" si="77"/>
        <v>293.33333333333451</v>
      </c>
      <c r="FJ111" s="59">
        <f ca="1">AVERAGE(OFFSET($FI$3,0,0,'Données projet'!$E$16+1,1))-AVERAGE(OFFSET($H$3,0,0,'Données projet'!$E$16+1,1))</f>
        <v>156.63226020379989</v>
      </c>
      <c r="FK111" s="59">
        <f t="shared" si="102"/>
        <v>196.0481096619543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0.99724882899317313</v>
      </c>
      <c r="FS111" s="21">
        <f>EXP(-LN(2)/2)*FS110+(1-EXP(-LN(2)/2))/(LN(2)/2)*FM111*FP111*VLOOKUP('Données projet'!$B$16,Paramètres!$A$1:$I$89,3,0)*0.475*44/12</f>
        <v>1.6504547242451451E-11</v>
      </c>
      <c r="FT111" s="22">
        <f t="shared" si="78"/>
        <v>0.99724882900967771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-4.5474735088646412E-13</v>
      </c>
      <c r="GA111" s="17">
        <f>FZ111*VLOOKUP('Données projet'!$B$17,Paramètres!$A$1:$I$89,3,0)*VLOOKUP('Données projet'!$B$17,Paramètres!$A$1:$I$89,5,0)</f>
        <v>-2.7193891583010558E-13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216.94426559495264</v>
      </c>
      <c r="GF111" s="59">
        <f t="shared" si="104"/>
        <v>225.33715877618704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1.477966705004615</v>
      </c>
      <c r="GN111" s="21">
        <f>EXP(-LN(2)/2)*GN110+(1-EXP(-LN(2)/2))/(LN(2)/2)*GH111*GK111*VLOOKUP('Données projet'!$B$17,Paramètres!$A$1:$I$89,3,0)*0.475*44/12</f>
        <v>4.3163454163402951E-11</v>
      </c>
      <c r="GO111" s="21">
        <f t="shared" si="81"/>
        <v>1.4779667050477785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4.4000000000000004</v>
      </c>
      <c r="GU111" s="12">
        <f>IF('Données projet'!$A$270&gt;35,GU110+GT111-HC110,IF(A111&lt;'Données projet'!$A$270,$GR$205^A111,IF(A111='Données projet'!$A$270,'Données projet'!$B$270,GU110+GT111-HC110)))</f>
        <v>296.20000000000005</v>
      </c>
      <c r="GV111" s="17">
        <f>GU111*VLOOKUP('Données projet'!$B$18,Paramètres!$A$1:$I$89,3,0)*VLOOKUP('Données projet'!$B$18,Paramètres!$A$1:$I$89,5,0)</f>
        <v>286.48464000000007</v>
      </c>
      <c r="GW111" s="13">
        <f t="shared" si="105"/>
        <v>68.33556833067756</v>
      </c>
      <c r="GX111" s="20">
        <f t="shared" si="82"/>
        <v>617.97852950926347</v>
      </c>
      <c r="GY111" s="59">
        <f t="shared" si="83"/>
        <v>911.31186284259684</v>
      </c>
      <c r="GZ111" s="59">
        <f ca="1">AVERAGE(OFFSET($GY$3,0,0,'Données projet'!$E$18+1,1))-AVERAGE(OFFSET($H$3,0,0,'Données projet'!$E$18+1,1))</f>
        <v>261.22357949323879</v>
      </c>
      <c r="HA111" s="59">
        <f t="shared" si="106"/>
        <v>163.41029152029387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0.38189407089576682</v>
      </c>
      <c r="HI111" s="21">
        <f>EXP(-LN(2)/2)*HI110+(1-EXP(-LN(2)/2))/(LN(2)/2)*HC111*HF111*VLOOKUP('Données projet'!$B$18,Paramètres!$A$1:$I$89,3,0)*0.475*44/12</f>
        <v>1.2034796656000078E-11</v>
      </c>
      <c r="HJ111" s="22">
        <f t="shared" si="84"/>
        <v>0.38189407090780164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237.22177246688199</v>
      </c>
      <c r="T112" s="59">
        <f t="shared" si="88"/>
        <v>149.27472147904302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227.99999999999986</v>
      </c>
      <c r="AJ112" s="13">
        <f>AI112*VLOOKUP('Données projet'!$B$10,Paramètres!$A$1:$I$89,3,0)*VLOOKUP('Données projet'!$B$10,Paramètres!$A$1:$I$89,5,0)</f>
        <v>199.18079999999992</v>
      </c>
      <c r="AK112" s="13">
        <f t="shared" si="89"/>
        <v>49.564089376413683</v>
      </c>
      <c r="AL112" s="20">
        <f t="shared" si="58"/>
        <v>433.23068233058694</v>
      </c>
      <c r="AM112" s="59">
        <f t="shared" si="59"/>
        <v>726.56401566392026</v>
      </c>
      <c r="AN112" s="59">
        <f ca="1">AVERAGE(OFFSET($AM$3,0,0,'Données projet'!$E$10+1,1))-AVERAGE(OFFSET($H$3,0,0,'Données projet'!$E$10+1,1))</f>
        <v>210.07838338464626</v>
      </c>
      <c r="AO112" s="59">
        <f t="shared" si="90"/>
        <v>241.76003724236273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1.1087305515461412</v>
      </c>
      <c r="AV112" s="21">
        <f>EXP(-LN(2)/25)*AV111+(1-EXP(-LN(2)/25))/(LN(2)/25)*Calculateur!AQ112*Calculateur!AS112*VLOOKUP('Données projet'!$B$10,Paramètres!$A$1:$I$89,3,0)*0.475*44/12</f>
        <v>1.5170570825865177</v>
      </c>
      <c r="AW112" s="21">
        <f>EXP(-LN(2)/2)*AW111+(1-EXP(-LN(2)/2))/(LN(2)/2)*AQ112*AT112*VLOOKUP('Données projet'!$B$10,Paramètres!$A$1:$I$89,3,0)*0.475*44/12</f>
        <v>2.0542761464723903E-11</v>
      </c>
      <c r="AX112" s="21">
        <f t="shared" si="60"/>
        <v>2.6257876341532018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6.2527760746888816E-13</v>
      </c>
      <c r="BE112" s="13">
        <f>BD112*VLOOKUP('Données projet'!$B$11,Paramètres!$A$1:$I$89,3,0)*VLOOKUP('Données projet'!$B$11,Paramètres!$A$1:$I$89,5,0)</f>
        <v>3.9017322706058616E-13</v>
      </c>
      <c r="BF112" s="13">
        <f t="shared" si="91"/>
        <v>5.0025007393608908E-12</v>
      </c>
      <c r="BG112" s="20">
        <f t="shared" si="61"/>
        <v>9.3922404915174053E-12</v>
      </c>
      <c r="BH112" s="59">
        <f t="shared" si="62"/>
        <v>293.33333333334269</v>
      </c>
      <c r="BI112" s="59">
        <f ca="1">AVERAGE(OFFSET($BH$3,0,0,'Données projet'!$E$11+1,1))-AVERAGE(OFFSET($H$3,0,0,'Données projet'!$E$11+1,1))</f>
        <v>209.93608079129638</v>
      </c>
      <c r="BJ112" s="59">
        <f t="shared" si="92"/>
        <v>240.15652428700969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1.4545361778728387</v>
      </c>
      <c r="BQ112" s="21">
        <f>EXP(-LN(2)/25)*BQ111+(1-EXP(-LN(2)/25))/(LN(2)/25)*Calculateur!BL112*Calculateur!BN112*VLOOKUP('Données projet'!$B$11,Paramètres!$A$1:$I$89,3,0)*0.475*44/12</f>
        <v>2.3257124052404059</v>
      </c>
      <c r="BR112" s="21">
        <f>EXP(-LN(2)/2)*BR111+(1-EXP(-LN(2)/2))/(LN(2)/2)*BL112*BO112*VLOOKUP('Données projet'!$B$11,Paramètres!$A$1:$I$89,3,0)*0.475*44/12</f>
        <v>2.596982551106235E-11</v>
      </c>
      <c r="BS112" s="22">
        <f t="shared" si="63"/>
        <v>3.7802485831392145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-5.3205440053716299E-14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215.23235148064941</v>
      </c>
      <c r="CE112" s="59">
        <f t="shared" si="94"/>
        <v>184.07239726900434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0.65571010375714001</v>
      </c>
      <c r="CL112" s="21">
        <f>EXP(-LN(2)/25)*CL111+(1-EXP(-LN(2)/25))/(LN(2)/25)*Calculateur!CG112*Calculateur!CI112*VLOOKUP('Données projet'!$B$12,Paramètres!$A$1:$I$89,3,0)*0.475*44/12</f>
        <v>0.87885469257561855</v>
      </c>
      <c r="CM112" s="21">
        <f>EXP(-LN(2)/2)*CM111+(1-EXP(-LN(2)/2))/(LN(2)/2)*CG112*CJ112*VLOOKUP('Données projet'!$B$12,Paramètres!$A$1:$I$89,3,0)*0.475*44/12</f>
        <v>1.2646339497296462E-11</v>
      </c>
      <c r="CN112" s="22">
        <f t="shared" si="66"/>
        <v>1.5345647963454048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4.4000000000000004</v>
      </c>
      <c r="CT112" s="12">
        <f>IF('Données projet'!$A$140&gt;35,CT111+CS112-DB111,IF(A112&lt;'Données projet'!$A$140,$CQ$205^A112,IF(A112='Données projet'!$A$140,'Données projet'!$B$140,CT111+CS112-DB111)))</f>
        <v>300.60000000000002</v>
      </c>
      <c r="CU112" s="17">
        <f>CT112*VLOOKUP('Données projet'!$B$13,Paramètres!$A$1:$I$89,3,0)*VLOOKUP('Données projet'!$B$13,Paramètres!$A$1:$I$89,5,0)</f>
        <v>304.80840000000001</v>
      </c>
      <c r="CV112" s="13">
        <f t="shared" si="95"/>
        <v>72.183554053972784</v>
      </c>
      <c r="CW112" s="20">
        <f t="shared" si="67"/>
        <v>656.59431997733589</v>
      </c>
      <c r="CX112" s="59">
        <f t="shared" si="68"/>
        <v>949.92765331066926</v>
      </c>
      <c r="CY112" s="59">
        <f ca="1">AVERAGE(OFFSET($CX$3,0,0,'Données projet'!$E$13+1,1))-AVERAGE(OFFSET($H$3,0,0,'Données projet'!$E$13+1,1))</f>
        <v>279.20364724206644</v>
      </c>
      <c r="CZ112" s="59">
        <f t="shared" si="96"/>
        <v>173.99850582760712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0.38942460054632372</v>
      </c>
      <c r="DH112" s="21">
        <f>EXP(-LN(2)/2)*DH111+(1-EXP(-LN(2)/2))/(LN(2)/2)*DB112*DE112*VLOOKUP('Données projet'!$B$13,Paramètres!$A$1:$I$89,3,0)*0.475*44/12</f>
        <v>8.9216550188358821E-12</v>
      </c>
      <c r="DI112" s="22">
        <f t="shared" si="69"/>
        <v>0.38942460055524536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4.4000000000000004</v>
      </c>
      <c r="DO112" s="12">
        <f>IF('Données projet'!$A$166&gt;35,DO111+DN112-DW111,IF(A112&lt;'Données projet'!$A$166,$DL$205^A112,IF(A112='Données projet'!$A$166,'Données projet'!$B$166,DO111+DN112-DW111)))</f>
        <v>300.60000000000002</v>
      </c>
      <c r="DP112" s="17">
        <f>DO112*VLOOKUP('Données projet'!$B$14,Paramètres!$A$1:$I$89,3,0)*VLOOKUP('Données projet'!$B$14,Paramètres!$A$1:$I$89,5,0)</f>
        <v>314.18712000000005</v>
      </c>
      <c r="DQ112" s="13">
        <f t="shared" si="97"/>
        <v>74.142583516906868</v>
      </c>
      <c r="DR112" s="20">
        <f t="shared" si="70"/>
        <v>676.34090029194624</v>
      </c>
      <c r="DS112" s="59">
        <f t="shared" si="71"/>
        <v>969.67423362527961</v>
      </c>
      <c r="DT112" s="59">
        <f ca="1">AVERAGE(OFFSET($DS$3,0,0,'Données projet'!$E$14+1,1))-AVERAGE(OFFSET($H$3,0,0,'Données projet'!$E$14+1,1))</f>
        <v>291.18074901939718</v>
      </c>
      <c r="DU112" s="59">
        <f t="shared" si="98"/>
        <v>181.05123751753774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0.40140689594774914</v>
      </c>
      <c r="EC112" s="21">
        <f>EXP(-LN(2)/2)*EC111+(1-EXP(-LN(2)/2))/(LN(2)/2)*DW112*DZ112*VLOOKUP('Données projet'!$B$14,Paramètres!$A$1:$I$89,3,0)*0.475*44/12</f>
        <v>9.1961674809539182E-12</v>
      </c>
      <c r="ED112" s="22">
        <f t="shared" si="72"/>
        <v>0.40140689595694529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168.08890945052406</v>
      </c>
      <c r="EP112" s="59">
        <f t="shared" si="100"/>
        <v>182.52462557642343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1.2995177428308777</v>
      </c>
      <c r="EW112" s="21">
        <f>EXP(-LN(2)/25)*EW111+(1-EXP(-LN(2)/25))/(LN(2)/25)*Calculateur!ER112*Calculateur!ET112*VLOOKUP('Données projet'!$B$15,Paramètres!$A$1:$I$89,3,0)*0.475*44/12</f>
        <v>1.3795560952701533</v>
      </c>
      <c r="EX112" s="21">
        <f>EXP(-LN(2)/2)*EX111+(1-EXP(-LN(2)/2))/(LN(2)/2)*ER112*EU112*VLOOKUP('Données projet'!$B$15,Paramètres!$A$1:$I$89,3,0)*0.475*44/12</f>
        <v>7.0043570412303149E-12</v>
      </c>
      <c r="EY112" s="22">
        <f t="shared" si="75"/>
        <v>2.6790738381080352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3.813056537183002E-14</v>
      </c>
      <c r="FG112" s="13">
        <f t="shared" si="101"/>
        <v>6.4086286045526829E-13</v>
      </c>
      <c r="FH112" s="20">
        <f t="shared" si="76"/>
        <v>1.1825802166488628E-12</v>
      </c>
      <c r="FI112" s="59">
        <f t="shared" si="77"/>
        <v>293.33333333333451</v>
      </c>
      <c r="FJ112" s="59">
        <f ca="1">AVERAGE(OFFSET($FI$3,0,0,'Données projet'!$E$16+1,1))-AVERAGE(OFFSET($H$3,0,0,'Données projet'!$E$16+1,1))</f>
        <v>156.63226020379989</v>
      </c>
      <c r="FK112" s="59">
        <f t="shared" si="102"/>
        <v>196.0481096619543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0.96997900732131814</v>
      </c>
      <c r="FS112" s="21">
        <f>EXP(-LN(2)/2)*FS111+(1-EXP(-LN(2)/2))/(LN(2)/2)*FM112*FP112*VLOOKUP('Données projet'!$B$16,Paramètres!$A$1:$I$89,3,0)*0.475*44/12</f>
        <v>1.1670477275551155E-11</v>
      </c>
      <c r="FT112" s="22">
        <f t="shared" si="78"/>
        <v>0.96997900733298859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-4.5474735088646412E-13</v>
      </c>
      <c r="GA112" s="17">
        <f>FZ112*VLOOKUP('Données projet'!$B$17,Paramètres!$A$1:$I$89,3,0)*VLOOKUP('Données projet'!$B$17,Paramètres!$A$1:$I$89,5,0)</f>
        <v>-2.7193891583010558E-13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216.94426559495264</v>
      </c>
      <c r="GF112" s="59">
        <f t="shared" si="104"/>
        <v>225.33715877618704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1.4375516277333726</v>
      </c>
      <c r="GN112" s="21">
        <f>EXP(-LN(2)/2)*GN111+(1-EXP(-LN(2)/2))/(LN(2)/2)*GH112*GK112*VLOOKUP('Données projet'!$B$17,Paramètres!$A$1:$I$89,3,0)*0.475*44/12</f>
        <v>3.0521171138376943E-11</v>
      </c>
      <c r="GO112" s="21">
        <f t="shared" si="81"/>
        <v>1.4375516277638938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4.4000000000000004</v>
      </c>
      <c r="GU112" s="12">
        <f>IF('Données projet'!$A$270&gt;35,GU111+GT112-HC111,IF(A112&lt;'Données projet'!$A$270,$GR$205^A112,IF(A112='Données projet'!$A$270,'Données projet'!$B$270,GU111+GT112-HC111)))</f>
        <v>300.60000000000002</v>
      </c>
      <c r="GV112" s="17">
        <f>GU112*VLOOKUP('Données projet'!$B$18,Paramètres!$A$1:$I$89,3,0)*VLOOKUP('Données projet'!$B$18,Paramètres!$A$1:$I$89,5,0)</f>
        <v>290.74032000000005</v>
      </c>
      <c r="GW112" s="13">
        <f t="shared" si="105"/>
        <v>69.231751058085564</v>
      </c>
      <c r="GX112" s="20">
        <f t="shared" si="82"/>
        <v>626.95135709283238</v>
      </c>
      <c r="GY112" s="59">
        <f t="shared" si="83"/>
        <v>920.28469042616575</v>
      </c>
      <c r="GZ112" s="59">
        <f ca="1">AVERAGE(OFFSET($GY$3,0,0,'Données projet'!$E$18+1,1))-AVERAGE(OFFSET($H$3,0,0,'Données projet'!$E$18+1,1))</f>
        <v>261.22357949323879</v>
      </c>
      <c r="HA112" s="59">
        <f t="shared" si="106"/>
        <v>163.41029152029387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0.37145115744418572</v>
      </c>
      <c r="HI112" s="21">
        <f>EXP(-LN(2)/2)*HI111+(1-EXP(-LN(2)/2))/(LN(2)/2)*HC112*HF112*VLOOKUP('Données projet'!$B$18,Paramètres!$A$1:$I$89,3,0)*0.475*44/12</f>
        <v>8.509886325658841E-12</v>
      </c>
      <c r="HJ112" s="22">
        <f t="shared" si="84"/>
        <v>0.37145115745269558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237.22177246688199</v>
      </c>
      <c r="T113" s="59">
        <f t="shared" si="88"/>
        <v>149.27472147904302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227.99999999999986</v>
      </c>
      <c r="AJ113" s="13">
        <f>AI113*VLOOKUP('Données projet'!$B$10,Paramètres!$A$1:$I$89,3,0)*VLOOKUP('Données projet'!$B$10,Paramètres!$A$1:$I$89,5,0)</f>
        <v>199.18079999999992</v>
      </c>
      <c r="AK113" s="13">
        <f t="shared" si="89"/>
        <v>49.564089376413683</v>
      </c>
      <c r="AL113" s="20">
        <f t="shared" si="58"/>
        <v>433.23068233058694</v>
      </c>
      <c r="AM113" s="59">
        <f t="shared" si="59"/>
        <v>726.56401566392026</v>
      </c>
      <c r="AN113" s="59">
        <f ca="1">AVERAGE(OFFSET($AM$3,0,0,'Données projet'!$E$10+1,1))-AVERAGE(OFFSET($H$3,0,0,'Données projet'!$E$10+1,1))</f>
        <v>210.07838338464626</v>
      </c>
      <c r="AO113" s="59">
        <f t="shared" si="90"/>
        <v>241.76003724236273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1.0869890216891829</v>
      </c>
      <c r="AV113" s="21">
        <f>EXP(-LN(2)/25)*AV112+(1-EXP(-LN(2)/25))/(LN(2)/25)*Calculateur!AQ113*Calculateur!AS113*VLOOKUP('Données projet'!$B$10,Paramètres!$A$1:$I$89,3,0)*0.475*44/12</f>
        <v>1.4755730768846247</v>
      </c>
      <c r="AW113" s="21">
        <f>EXP(-LN(2)/2)*AW112+(1-EXP(-LN(2)/2))/(LN(2)/2)*AQ113*AT113*VLOOKUP('Données projet'!$B$10,Paramètres!$A$1:$I$89,3,0)*0.475*44/12</f>
        <v>1.4525925936003966E-11</v>
      </c>
      <c r="AX113" s="21">
        <f t="shared" si="60"/>
        <v>2.5625620985883333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6.2527760746888816E-13</v>
      </c>
      <c r="BE113" s="13">
        <f>BD113*VLOOKUP('Données projet'!$B$11,Paramètres!$A$1:$I$89,3,0)*VLOOKUP('Données projet'!$B$11,Paramètres!$A$1:$I$89,5,0)</f>
        <v>3.9017322706058616E-13</v>
      </c>
      <c r="BF113" s="13">
        <f t="shared" si="91"/>
        <v>5.0025007393608908E-12</v>
      </c>
      <c r="BG113" s="20">
        <f t="shared" si="61"/>
        <v>9.3922404915174053E-12</v>
      </c>
      <c r="BH113" s="59">
        <f t="shared" si="62"/>
        <v>293.33333333334269</v>
      </c>
      <c r="BI113" s="59">
        <f ca="1">AVERAGE(OFFSET($BH$3,0,0,'Données projet'!$E$11+1,1))-AVERAGE(OFFSET($H$3,0,0,'Données projet'!$E$11+1,1))</f>
        <v>209.93608079129638</v>
      </c>
      <c r="BJ113" s="59">
        <f t="shared" si="92"/>
        <v>240.15652428700969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1.4260136106042192</v>
      </c>
      <c r="BQ113" s="21">
        <f>EXP(-LN(2)/25)*BQ112+(1-EXP(-LN(2)/25))/(LN(2)/25)*Calculateur!BL113*Calculateur!BN113*VLOOKUP('Données projet'!$B$11,Paramètres!$A$1:$I$89,3,0)*0.475*44/12</f>
        <v>2.2621156772152071</v>
      </c>
      <c r="BR113" s="21">
        <f>EXP(-LN(2)/2)*BR112+(1-EXP(-LN(2)/2))/(LN(2)/2)*BL113*BO113*VLOOKUP('Données projet'!$B$11,Paramètres!$A$1:$I$89,3,0)*0.475*44/12</f>
        <v>1.8363439725103584E-11</v>
      </c>
      <c r="BS113" s="22">
        <f t="shared" si="63"/>
        <v>3.6881292878377896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-5.3205440053716299E-14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215.23235148064941</v>
      </c>
      <c r="CE113" s="59">
        <f t="shared" si="94"/>
        <v>184.07239726900434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0.64285202856613466</v>
      </c>
      <c r="CL113" s="21">
        <f>EXP(-LN(2)/25)*CL112+(1-EXP(-LN(2)/25))/(LN(2)/25)*Calculateur!CG113*Calculateur!CI113*VLOOKUP('Données projet'!$B$12,Paramètres!$A$1:$I$89,3,0)*0.475*44/12</f>
        <v>0.85482236479017859</v>
      </c>
      <c r="CM113" s="21">
        <f>EXP(-LN(2)/2)*CM112+(1-EXP(-LN(2)/2))/(LN(2)/2)*CG113*CJ113*VLOOKUP('Données projet'!$B$12,Paramètres!$A$1:$I$89,3,0)*0.475*44/12</f>
        <v>8.9423124157256024E-12</v>
      </c>
      <c r="CN113" s="22">
        <f t="shared" si="66"/>
        <v>1.4976743933652557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305</v>
      </c>
      <c r="CR113" s="12">
        <f>VLOOKUP(A113,'Données projet'!$A$139:$I$159,9,0)</f>
        <v>4.4000000000000004</v>
      </c>
      <c r="CS113" s="12">
        <f t="array" ref="CS113">INDEX(CR:CR,MIN(IF(ISNUMBER(CR113:CR309),ROW(CR113:CR309),"")))</f>
        <v>4.4000000000000004</v>
      </c>
      <c r="CT113" s="12">
        <f>IF('Données projet'!$A$140&gt;35,CT112+CS113-DB112,IF(A113&lt;'Données projet'!$A$140,$CQ$205^A113,IF(A113='Données projet'!$A$140,'Données projet'!$B$140,CT112+CS113-DB112)))</f>
        <v>305</v>
      </c>
      <c r="CU113" s="17">
        <f>CT113*VLOOKUP('Données projet'!$B$13,Paramètres!$A$1:$I$89,3,0)*VLOOKUP('Données projet'!$B$13,Paramètres!$A$1:$I$89,5,0)</f>
        <v>309.27000000000004</v>
      </c>
      <c r="CV113" s="13">
        <f t="shared" si="95"/>
        <v>73.116356204711096</v>
      </c>
      <c r="CW113" s="20">
        <f t="shared" si="67"/>
        <v>665.9895703898718</v>
      </c>
      <c r="CX113" s="59">
        <f t="shared" si="68"/>
        <v>959.32290372320517</v>
      </c>
      <c r="CY113" s="59">
        <f ca="1">AVERAGE(OFFSET($CX$3,0,0,'Données projet'!$E$13+1,1))-AVERAGE(OFFSET($H$3,0,0,'Données projet'!$E$13+1,1))</f>
        <v>279.20364724206644</v>
      </c>
      <c r="CZ113" s="59">
        <f t="shared" si="96"/>
        <v>173.99850582760712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39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0.37877576436543481</v>
      </c>
      <c r="DH113" s="21">
        <f>EXP(-LN(2)/2)*DH112+(1-EXP(-LN(2)/2))/(LN(2)/2)*DB113*DE113*VLOOKUP('Données projet'!$B$13,Paramètres!$A$1:$I$89,3,0)*0.475*44/12</f>
        <v>6.3085627632258477E-12</v>
      </c>
      <c r="DI113" s="22">
        <f t="shared" si="69"/>
        <v>0.37877576437174337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305</v>
      </c>
      <c r="DM113" s="12">
        <f>VLOOKUP(A113,'Données projet'!$A$165:$I$185,9,0)</f>
        <v>4.4000000000000004</v>
      </c>
      <c r="DN113" s="12">
        <f t="array" ref="DN113">INDEX(DM:DM,MIN(IF(ISNUMBER(DM113:DM309),ROW(DM113:DM309),"")))</f>
        <v>4.4000000000000004</v>
      </c>
      <c r="DO113" s="12">
        <f>IF('Données projet'!$A$166&gt;35,DO112+DN113-DW112,IF(A113&lt;'Données projet'!$A$166,$DL$205^A113,IF(A113='Données projet'!$A$166,'Données projet'!$B$166,DO112+DN113-DW112)))</f>
        <v>305</v>
      </c>
      <c r="DP113" s="17">
        <f>DO113*VLOOKUP('Données projet'!$B$14,Paramètres!$A$1:$I$89,3,0)*VLOOKUP('Données projet'!$B$14,Paramètres!$A$1:$I$89,5,0)</f>
        <v>318.78600000000006</v>
      </c>
      <c r="DQ113" s="13">
        <f t="shared" si="97"/>
        <v>75.10070150198348</v>
      </c>
      <c r="DR113" s="20">
        <f t="shared" si="70"/>
        <v>686.01933844928806</v>
      </c>
      <c r="DS113" s="59">
        <f t="shared" si="71"/>
        <v>979.35267178262143</v>
      </c>
      <c r="DT113" s="59">
        <f ca="1">AVERAGE(OFFSET($DS$3,0,0,'Données projet'!$E$14+1,1))-AVERAGE(OFFSET($H$3,0,0,'Données projet'!$E$14+1,1))</f>
        <v>291.18074901939718</v>
      </c>
      <c r="DU113" s="59">
        <f t="shared" si="98"/>
        <v>181.05123751753774</v>
      </c>
      <c r="DV113" s="15">
        <f>IF(ISNA(VLOOKUP(A113,'Données projet'!$A$165:$I$185,3,0)),0,VLOOKUP(A113,'Données projet'!$A$165:$I$185,3,0))</f>
        <v>9</v>
      </c>
      <c r="DW113" s="15">
        <f>IF(ISNA(VLOOKUP(A113,'Données projet'!$A$165:$I$185,4,0)),0,VLOOKUP(A113,'Données projet'!$A$165:$I$185,4,0))</f>
        <v>39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0.3904304032689867</v>
      </c>
      <c r="EC113" s="21">
        <f>EXP(-LN(2)/2)*EC112+(1-EXP(-LN(2)/2))/(LN(2)/2)*DW113*DZ113*VLOOKUP('Données projet'!$B$14,Paramètres!$A$1:$I$89,3,0)*0.475*44/12</f>
        <v>6.5026723867097262E-12</v>
      </c>
      <c r="ED113" s="22">
        <f t="shared" si="72"/>
        <v>0.39043040327548939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168.08890945052406</v>
      </c>
      <c r="EP113" s="59">
        <f t="shared" si="100"/>
        <v>182.52462557642343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1.274034992521522</v>
      </c>
      <c r="EW113" s="21">
        <f>EXP(-LN(2)/25)*EW112+(1-EXP(-LN(2)/25))/(LN(2)/25)*Calculateur!ER113*Calculateur!ET113*VLOOKUP('Données projet'!$B$15,Paramètres!$A$1:$I$89,3,0)*0.475*44/12</f>
        <v>1.3418320612972889</v>
      </c>
      <c r="EX113" s="21">
        <f>EXP(-LN(2)/2)*EX112+(1-EXP(-LN(2)/2))/(LN(2)/2)*ER113*EU113*VLOOKUP('Données projet'!$B$15,Paramètres!$A$1:$I$89,3,0)*0.475*44/12</f>
        <v>4.9528283617056977E-12</v>
      </c>
      <c r="EY113" s="22">
        <f t="shared" si="75"/>
        <v>2.6158670538237638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3.813056537183002E-14</v>
      </c>
      <c r="FG113" s="13">
        <f t="shared" si="101"/>
        <v>6.4086286045526829E-13</v>
      </c>
      <c r="FH113" s="20">
        <f t="shared" si="76"/>
        <v>1.1825802166488628E-12</v>
      </c>
      <c r="FI113" s="59">
        <f t="shared" si="77"/>
        <v>293.33333333333451</v>
      </c>
      <c r="FJ113" s="59">
        <f ca="1">AVERAGE(OFFSET($FI$3,0,0,'Données projet'!$E$16+1,1))-AVERAGE(OFFSET($H$3,0,0,'Données projet'!$E$16+1,1))</f>
        <v>156.63226020379989</v>
      </c>
      <c r="FK113" s="59">
        <f t="shared" si="102"/>
        <v>196.0481096619543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0.94345488035713765</v>
      </c>
      <c r="FS113" s="21">
        <f>EXP(-LN(2)/2)*FS112+(1-EXP(-LN(2)/2))/(LN(2)/2)*FM113*FP113*VLOOKUP('Données projet'!$B$16,Paramètres!$A$1:$I$89,3,0)*0.475*44/12</f>
        <v>8.2522736212257255E-12</v>
      </c>
      <c r="FT113" s="22">
        <f t="shared" si="78"/>
        <v>0.94345488036538994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-4.5474735088646412E-13</v>
      </c>
      <c r="GA113" s="17">
        <f>FZ113*VLOOKUP('Données projet'!$B$17,Paramètres!$A$1:$I$89,3,0)*VLOOKUP('Données projet'!$B$17,Paramètres!$A$1:$I$89,5,0)</f>
        <v>-2.7193891583010558E-13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216.94426559495264</v>
      </c>
      <c r="GF113" s="59">
        <f t="shared" si="104"/>
        <v>225.33715877618704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1.398241702875449</v>
      </c>
      <c r="GN113" s="21">
        <f>EXP(-LN(2)/2)*GN112+(1-EXP(-LN(2)/2))/(LN(2)/2)*GH113*GK113*VLOOKUP('Données projet'!$B$17,Paramètres!$A$1:$I$89,3,0)*0.475*44/12</f>
        <v>2.1581727081701476E-11</v>
      </c>
      <c r="GO113" s="21">
        <f t="shared" si="81"/>
        <v>1.3982417028970306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305</v>
      </c>
      <c r="GS113" s="12">
        <f>VLOOKUP(A113,'Données projet'!$A$269:$I$289,9,0)</f>
        <v>4.4000000000000004</v>
      </c>
      <c r="GT113" s="12">
        <f t="array" ref="GT113">INDEX(GS:GS,MIN(IF(ISNUMBER(GS113:GS309),ROW(GS113:GS309),"")))</f>
        <v>4.4000000000000004</v>
      </c>
      <c r="GU113" s="12">
        <f>IF('Données projet'!$A$270&gt;35,GU112+GT113-HC112,IF(A113&lt;'Données projet'!$A$270,$GR$205^A113,IF(A113='Données projet'!$A$270,'Données projet'!$B$270,GU112+GT113-HC112)))</f>
        <v>305</v>
      </c>
      <c r="GV113" s="17">
        <f>GU113*VLOOKUP('Données projet'!$B$18,Paramètres!$A$1:$I$89,3,0)*VLOOKUP('Données projet'!$B$18,Paramètres!$A$1:$I$89,5,0)</f>
        <v>294.99599999999998</v>
      </c>
      <c r="GW113" s="13">
        <f t="shared" si="105"/>
        <v>70.126408118585388</v>
      </c>
      <c r="GX113" s="20">
        <f t="shared" si="82"/>
        <v>635.9215274732029</v>
      </c>
      <c r="GY113" s="59">
        <f t="shared" si="83"/>
        <v>929.25486080653627</v>
      </c>
      <c r="GZ113" s="59">
        <f ca="1">AVERAGE(OFFSET($GY$3,0,0,'Données projet'!$E$18+1,1))-AVERAGE(OFFSET($H$3,0,0,'Données projet'!$E$18+1,1))</f>
        <v>261.22357949323879</v>
      </c>
      <c r="HA113" s="59">
        <f t="shared" si="106"/>
        <v>163.41029152029387</v>
      </c>
      <c r="HB113" s="15">
        <f>IF(ISNA(VLOOKUP(A113,'Données projet'!$A$269:$I$289,3,0)),0,VLOOKUP(A113,'Données projet'!$A$269:$I$289,3,0))</f>
        <v>9</v>
      </c>
      <c r="HC113" s="15">
        <f>IF(ISNA(VLOOKUP(A113,'Données projet'!$A$269:$I$289,4,0)),0,VLOOKUP(A113,'Données projet'!$A$269:$I$289,4,0))</f>
        <v>39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0.36129380601010708</v>
      </c>
      <c r="HI113" s="21">
        <f>EXP(-LN(2)/2)*HI112+(1-EXP(-LN(2)/2))/(LN(2)/2)*HC113*HF113*VLOOKUP('Données projet'!$B$18,Paramètres!$A$1:$I$89,3,0)*0.475*44/12</f>
        <v>6.0173983280000391E-12</v>
      </c>
      <c r="HJ113" s="22">
        <f t="shared" si="84"/>
        <v>0.36129380601612449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237.22177246688199</v>
      </c>
      <c r="T114" s="59">
        <f t="shared" si="88"/>
        <v>149.27472147904302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227.99999999999986</v>
      </c>
      <c r="AJ114" s="13">
        <f>AI114*VLOOKUP('Données projet'!$B$10,Paramètres!$A$1:$I$89,3,0)*VLOOKUP('Données projet'!$B$10,Paramètres!$A$1:$I$89,5,0)</f>
        <v>199.18079999999992</v>
      </c>
      <c r="AK114" s="13">
        <f t="shared" si="89"/>
        <v>49.564089376413683</v>
      </c>
      <c r="AL114" s="20">
        <f t="shared" si="58"/>
        <v>433.23068233058694</v>
      </c>
      <c r="AM114" s="59">
        <f t="shared" si="59"/>
        <v>726.56401566392026</v>
      </c>
      <c r="AN114" s="59">
        <f ca="1">AVERAGE(OFFSET($AM$3,0,0,'Données projet'!$E$10+1,1))-AVERAGE(OFFSET($H$3,0,0,'Données projet'!$E$10+1,1))</f>
        <v>210.07838338464626</v>
      </c>
      <c r="AO114" s="59">
        <f t="shared" si="90"/>
        <v>241.76003724236273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1.0656738299716957</v>
      </c>
      <c r="AV114" s="21">
        <f>EXP(-LN(2)/25)*AV113+(1-EXP(-LN(2)/25))/(LN(2)/25)*Calculateur!AQ114*Calculateur!AS114*VLOOKUP('Données projet'!$B$10,Paramètres!$A$1:$I$89,3,0)*0.475*44/12</f>
        <v>1.4352234535001991</v>
      </c>
      <c r="AW114" s="21">
        <f>EXP(-LN(2)/2)*AW113+(1-EXP(-LN(2)/2))/(LN(2)/2)*AQ114*AT114*VLOOKUP('Données projet'!$B$10,Paramètres!$A$1:$I$89,3,0)*0.475*44/12</f>
        <v>1.0271380732361953E-11</v>
      </c>
      <c r="AX114" s="21">
        <f t="shared" si="60"/>
        <v>2.5008972834821663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6.2527760746888816E-13</v>
      </c>
      <c r="BE114" s="13">
        <f>BD114*VLOOKUP('Données projet'!$B$11,Paramètres!$A$1:$I$89,3,0)*VLOOKUP('Données projet'!$B$11,Paramètres!$A$1:$I$89,5,0)</f>
        <v>3.9017322706058616E-13</v>
      </c>
      <c r="BF114" s="13">
        <f t="shared" si="91"/>
        <v>5.0025007393608908E-12</v>
      </c>
      <c r="BG114" s="20">
        <f t="shared" si="61"/>
        <v>9.3922404915174053E-12</v>
      </c>
      <c r="BH114" s="59">
        <f t="shared" si="62"/>
        <v>293.33333333334269</v>
      </c>
      <c r="BI114" s="59">
        <f ca="1">AVERAGE(OFFSET($BH$3,0,0,'Données projet'!$E$11+1,1))-AVERAGE(OFFSET($H$3,0,0,'Données projet'!$E$11+1,1))</f>
        <v>209.93608079129638</v>
      </c>
      <c r="BJ114" s="59">
        <f t="shared" si="92"/>
        <v>240.15652428700969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1.3980503534826889</v>
      </c>
      <c r="BQ114" s="21">
        <f>EXP(-LN(2)/25)*BQ113+(1-EXP(-LN(2)/25))/(LN(2)/25)*Calculateur!BL114*Calculateur!BN114*VLOOKUP('Données projet'!$B$11,Paramètres!$A$1:$I$89,3,0)*0.475*44/12</f>
        <v>2.2002580050622638</v>
      </c>
      <c r="BR114" s="21">
        <f>EXP(-LN(2)/2)*BR113+(1-EXP(-LN(2)/2))/(LN(2)/2)*BL114*BO114*VLOOKUP('Données projet'!$B$11,Paramètres!$A$1:$I$89,3,0)*0.475*44/12</f>
        <v>1.2984912755531175E-11</v>
      </c>
      <c r="BS114" s="22">
        <f t="shared" si="63"/>
        <v>3.5983083585579374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215.23235148064941</v>
      </c>
      <c r="CE114" s="59">
        <f t="shared" si="94"/>
        <v>184.07239726900434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0.63024609238697338</v>
      </c>
      <c r="CL114" s="21">
        <f>EXP(-LN(2)/25)*CL113+(1-EXP(-LN(2)/25))/(LN(2)/25)*Calculateur!CG114*Calculateur!CI114*VLOOKUP('Données projet'!$B$12,Paramètres!$A$1:$I$89,3,0)*0.475*44/12</f>
        <v>0.83144720227183666</v>
      </c>
      <c r="CM114" s="21">
        <f>EXP(-LN(2)/2)*CM113+(1-EXP(-LN(2)/2))/(LN(2)/2)*CG114*CJ114*VLOOKUP('Données projet'!$B$12,Paramètres!$A$1:$I$89,3,0)*0.475*44/12</f>
        <v>6.3231697486482308E-12</v>
      </c>
      <c r="CN114" s="22">
        <f t="shared" si="66"/>
        <v>1.4616932946651333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3.7</v>
      </c>
      <c r="CT114" s="12">
        <f>IF('Données projet'!$A$140&gt;35,CT113+CS114-DB113,IF(A114&lt;'Données projet'!$A$140,$CQ$205^A114,IF(A114='Données projet'!$A$140,'Données projet'!$B$140,CT113+CS114-DB113)))</f>
        <v>269.7</v>
      </c>
      <c r="CU114" s="17">
        <f>CT114*VLOOKUP('Données projet'!$B$13,Paramètres!$A$1:$I$89,3,0)*VLOOKUP('Données projet'!$B$13,Paramètres!$A$1:$I$89,5,0)</f>
        <v>273.47579999999999</v>
      </c>
      <c r="CV114" s="13">
        <f t="shared" si="95"/>
        <v>65.586371730977589</v>
      </c>
      <c r="CW114" s="20">
        <f t="shared" si="67"/>
        <v>590.53328243145256</v>
      </c>
      <c r="CX114" s="59">
        <f t="shared" si="68"/>
        <v>883.86661576478582</v>
      </c>
      <c r="CY114" s="59">
        <f ca="1">AVERAGE(OFFSET($CX$3,0,0,'Données projet'!$E$13+1,1))-AVERAGE(OFFSET($H$3,0,0,'Données projet'!$E$13+1,1))</f>
        <v>279.20364724206644</v>
      </c>
      <c r="CZ114" s="59">
        <f t="shared" si="96"/>
        <v>173.99850582760712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0.36841812116991024</v>
      </c>
      <c r="DH114" s="21">
        <f>EXP(-LN(2)/2)*DH113+(1-EXP(-LN(2)/2))/(LN(2)/2)*DB114*DE114*VLOOKUP('Données projet'!$B$13,Paramètres!$A$1:$I$89,3,0)*0.475*44/12</f>
        <v>4.4608275094179411E-12</v>
      </c>
      <c r="DI114" s="22">
        <f t="shared" si="69"/>
        <v>0.36841812117437106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3.7</v>
      </c>
      <c r="DO114" s="12">
        <f>IF('Données projet'!$A$166&gt;35,DO113+DN114-DW113,IF(A114&lt;'Données projet'!$A$166,$DL$205^A114,IF(A114='Données projet'!$A$166,'Données projet'!$B$166,DO113+DN114-DW113)))</f>
        <v>269.7</v>
      </c>
      <c r="DP114" s="17">
        <f>DO114*VLOOKUP('Données projet'!$B$14,Paramètres!$A$1:$I$89,3,0)*VLOOKUP('Données projet'!$B$14,Paramètres!$A$1:$I$89,5,0)</f>
        <v>281.89044000000001</v>
      </c>
      <c r="DQ114" s="13">
        <f t="shared" si="97"/>
        <v>67.366356608029534</v>
      </c>
      <c r="DR114" s="20">
        <f t="shared" si="70"/>
        <v>608.28892075898477</v>
      </c>
      <c r="DS114" s="59">
        <f t="shared" si="71"/>
        <v>901.62225409231814</v>
      </c>
      <c r="DT114" s="59">
        <f ca="1">AVERAGE(OFFSET($DS$3,0,0,'Données projet'!$E$14+1,1))-AVERAGE(OFFSET($H$3,0,0,'Données projet'!$E$14+1,1))</f>
        <v>291.18074901939718</v>
      </c>
      <c r="DU114" s="59">
        <f t="shared" si="98"/>
        <v>181.05123751753774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0.3797540633597537</v>
      </c>
      <c r="EC114" s="21">
        <f>EXP(-LN(2)/2)*EC113+(1-EXP(-LN(2)/2))/(LN(2)/2)*DW114*DZ114*VLOOKUP('Données projet'!$B$14,Paramètres!$A$1:$I$89,3,0)*0.475*44/12</f>
        <v>4.5980837404769591E-12</v>
      </c>
      <c r="ED114" s="22">
        <f t="shared" si="72"/>
        <v>0.3797540633643518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168.08890945052406</v>
      </c>
      <c r="EP114" s="59">
        <f t="shared" si="100"/>
        <v>182.52462557642343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1.2490519434027896</v>
      </c>
      <c r="EW114" s="21">
        <f>EXP(-LN(2)/25)*EW113+(1-EXP(-LN(2)/25))/(LN(2)/25)*Calculateur!ER114*Calculateur!ET114*VLOOKUP('Données projet'!$B$15,Paramètres!$A$1:$I$89,3,0)*0.475*44/12</f>
        <v>1.3051395930172334</v>
      </c>
      <c r="EX114" s="21">
        <f>EXP(-LN(2)/2)*EX113+(1-EXP(-LN(2)/2))/(LN(2)/2)*ER114*EU114*VLOOKUP('Données projet'!$B$15,Paramètres!$A$1:$I$89,3,0)*0.475*44/12</f>
        <v>3.5021785206151575E-12</v>
      </c>
      <c r="EY114" s="22">
        <f t="shared" si="75"/>
        <v>2.554191536423525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3.813056537183002E-14</v>
      </c>
      <c r="FG114" s="13">
        <f t="shared" si="101"/>
        <v>6.4086286045526829E-13</v>
      </c>
      <c r="FH114" s="20">
        <f t="shared" si="76"/>
        <v>1.1825802166488628E-12</v>
      </c>
      <c r="FI114" s="59">
        <f t="shared" si="77"/>
        <v>293.33333333333451</v>
      </c>
      <c r="FJ114" s="59">
        <f ca="1">AVERAGE(OFFSET($FI$3,0,0,'Données projet'!$E$16+1,1))-AVERAGE(OFFSET($H$3,0,0,'Données projet'!$E$16+1,1))</f>
        <v>156.63226020379989</v>
      </c>
      <c r="FK114" s="59">
        <f t="shared" si="102"/>
        <v>196.0481096619543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0.91765605703963582</v>
      </c>
      <c r="FS114" s="21">
        <f>EXP(-LN(2)/2)*FS113+(1-EXP(-LN(2)/2))/(LN(2)/2)*FM114*FP114*VLOOKUP('Données projet'!$B$16,Paramètres!$A$1:$I$89,3,0)*0.475*44/12</f>
        <v>5.8352386377755773E-12</v>
      </c>
      <c r="FT114" s="22">
        <f t="shared" si="78"/>
        <v>0.91765605704547104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-4.5474735088646412E-13</v>
      </c>
      <c r="GA114" s="17">
        <f>FZ114*VLOOKUP('Données projet'!$B$17,Paramètres!$A$1:$I$89,3,0)*VLOOKUP('Données projet'!$B$17,Paramètres!$A$1:$I$89,5,0)</f>
        <v>-2.7193891583010558E-13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216.94426559495264</v>
      </c>
      <c r="GF114" s="59">
        <f t="shared" si="104"/>
        <v>225.33715877618704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1.3600067099799844</v>
      </c>
      <c r="GN114" s="21">
        <f>EXP(-LN(2)/2)*GN113+(1-EXP(-LN(2)/2))/(LN(2)/2)*GH114*GK114*VLOOKUP('Données projet'!$B$17,Paramètres!$A$1:$I$89,3,0)*0.475*44/12</f>
        <v>1.5260585569188472E-11</v>
      </c>
      <c r="GO114" s="21">
        <f t="shared" si="81"/>
        <v>1.3600067099952451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3.7</v>
      </c>
      <c r="GU114" s="12">
        <f>IF('Données projet'!$A$270&gt;35,GU113+GT114-HC113,IF(A114&lt;'Données projet'!$A$270,$GR$205^A114,IF(A114='Données projet'!$A$270,'Données projet'!$B$270,GU113+GT114-HC113)))</f>
        <v>269.7</v>
      </c>
      <c r="GV114" s="17">
        <f>GU114*VLOOKUP('Données projet'!$B$18,Paramètres!$A$1:$I$89,3,0)*VLOOKUP('Données projet'!$B$18,Paramètres!$A$1:$I$89,5,0)</f>
        <v>260.85383999999999</v>
      </c>
      <c r="GW114" s="13">
        <f t="shared" si="105"/>
        <v>62.904347395903763</v>
      </c>
      <c r="GX114" s="20">
        <f t="shared" si="82"/>
        <v>563.87884304786564</v>
      </c>
      <c r="GY114" s="59">
        <f t="shared" si="83"/>
        <v>857.21217638119901</v>
      </c>
      <c r="GZ114" s="59">
        <f ca="1">AVERAGE(OFFSET($GY$3,0,0,'Données projet'!$E$18+1,1))-AVERAGE(OFFSET($H$3,0,0,'Données projet'!$E$18+1,1))</f>
        <v>261.22357949323879</v>
      </c>
      <c r="HA114" s="59">
        <f t="shared" si="106"/>
        <v>163.41029152029387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0.35141420788514521</v>
      </c>
      <c r="HI114" s="21">
        <f>EXP(-LN(2)/2)*HI113+(1-EXP(-LN(2)/2))/(LN(2)/2)*HC114*HF114*VLOOKUP('Données projet'!$B$18,Paramètres!$A$1:$I$89,3,0)*0.475*44/12</f>
        <v>4.2549431628294205E-12</v>
      </c>
      <c r="HJ114" s="22">
        <f t="shared" si="84"/>
        <v>0.35141420788940014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237.22177246688199</v>
      </c>
      <c r="T115" s="59">
        <f t="shared" si="88"/>
        <v>149.27472147904302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227.99999999999986</v>
      </c>
      <c r="AJ115" s="13">
        <f>AI115*VLOOKUP('Données projet'!$B$10,Paramètres!$A$1:$I$89,3,0)*VLOOKUP('Données projet'!$B$10,Paramètres!$A$1:$I$89,5,0)</f>
        <v>199.18079999999992</v>
      </c>
      <c r="AK115" s="13">
        <f t="shared" si="89"/>
        <v>49.564089376413683</v>
      </c>
      <c r="AL115" s="20">
        <f t="shared" si="58"/>
        <v>433.23068233058694</v>
      </c>
      <c r="AM115" s="59">
        <f t="shared" si="59"/>
        <v>726.56401566392026</v>
      </c>
      <c r="AN115" s="59">
        <f ca="1">AVERAGE(OFFSET($AM$3,0,0,'Données projet'!$E$10+1,1))-AVERAGE(OFFSET($H$3,0,0,'Données projet'!$E$10+1,1))</f>
        <v>210.07838338464626</v>
      </c>
      <c r="AO115" s="59">
        <f t="shared" si="90"/>
        <v>241.76003724236273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1.0447766161628051</v>
      </c>
      <c r="AV115" s="21">
        <f>EXP(-LN(2)/25)*AV114+(1-EXP(-LN(2)/25))/(LN(2)/25)*Calculateur!AQ115*Calculateur!AS115*VLOOKUP('Données projet'!$B$10,Paramètres!$A$1:$I$89,3,0)*0.475*44/12</f>
        <v>1.3959771926891149</v>
      </c>
      <c r="AW115" s="21">
        <f>EXP(-LN(2)/2)*AW114+(1-EXP(-LN(2)/2))/(LN(2)/2)*AQ115*AT115*VLOOKUP('Données projet'!$B$10,Paramètres!$A$1:$I$89,3,0)*0.475*44/12</f>
        <v>7.2629629680019838E-12</v>
      </c>
      <c r="AX115" s="21">
        <f t="shared" si="60"/>
        <v>2.4407538088591831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6.2527760746888816E-13</v>
      </c>
      <c r="BE115" s="13">
        <f>BD115*VLOOKUP('Données projet'!$B$11,Paramètres!$A$1:$I$89,3,0)*VLOOKUP('Données projet'!$B$11,Paramètres!$A$1:$I$89,5,0)</f>
        <v>3.9017322706058616E-13</v>
      </c>
      <c r="BF115" s="13">
        <f t="shared" si="91"/>
        <v>5.0025007393608908E-12</v>
      </c>
      <c r="BG115" s="20">
        <f t="shared" si="61"/>
        <v>9.3922404915174053E-12</v>
      </c>
      <c r="BH115" s="59">
        <f t="shared" si="62"/>
        <v>293.33333333334269</v>
      </c>
      <c r="BI115" s="59">
        <f ca="1">AVERAGE(OFFSET($BH$3,0,0,'Données projet'!$E$11+1,1))-AVERAGE(OFFSET($H$3,0,0,'Données projet'!$E$11+1,1))</f>
        <v>209.93608079129638</v>
      </c>
      <c r="BJ115" s="59">
        <f t="shared" si="92"/>
        <v>240.15652428700969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1.3706354387774093</v>
      </c>
      <c r="BQ115" s="21">
        <f>EXP(-LN(2)/25)*BQ114+(1-EXP(-LN(2)/25))/(LN(2)/25)*Calculateur!BL115*Calculateur!BN115*VLOOKUP('Données projet'!$B$11,Paramètres!$A$1:$I$89,3,0)*0.475*44/12</f>
        <v>2.1400918342072965</v>
      </c>
      <c r="BR115" s="21">
        <f>EXP(-LN(2)/2)*BR114+(1-EXP(-LN(2)/2))/(LN(2)/2)*BL115*BO115*VLOOKUP('Données projet'!$B$11,Paramètres!$A$1:$I$89,3,0)*0.475*44/12</f>
        <v>9.1817198625517922E-12</v>
      </c>
      <c r="BS115" s="22">
        <f t="shared" si="63"/>
        <v>3.5107272729938876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215.23235148064941</v>
      </c>
      <c r="CE115" s="59">
        <f t="shared" si="94"/>
        <v>184.07239726900434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0.61788735092742364</v>
      </c>
      <c r="CL115" s="21">
        <f>EXP(-LN(2)/25)*CL114+(1-EXP(-LN(2)/25))/(LN(2)/25)*Calculateur!CG115*Calculateur!CI115*VLOOKUP('Données projet'!$B$12,Paramètres!$A$1:$I$89,3,0)*0.475*44/12</f>
        <v>0.80871123480180518</v>
      </c>
      <c r="CM115" s="21">
        <f>EXP(-LN(2)/2)*CM114+(1-EXP(-LN(2)/2))/(LN(2)/2)*CG115*CJ115*VLOOKUP('Données projet'!$B$12,Paramètres!$A$1:$I$89,3,0)*0.475*44/12</f>
        <v>4.4711562078628012E-12</v>
      </c>
      <c r="CN115" s="22">
        <f t="shared" si="66"/>
        <v>1.4265985857337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3.7</v>
      </c>
      <c r="CT115" s="12">
        <f>IF('Données projet'!$A$140&gt;35,CT114+CS115-DB114,IF(A115&lt;'Données projet'!$A$140,$CQ$205^A115,IF(A115='Données projet'!$A$140,'Données projet'!$B$140,CT114+CS115-DB114)))</f>
        <v>273.39999999999998</v>
      </c>
      <c r="CU115" s="17">
        <f>CT115*VLOOKUP('Données projet'!$B$13,Paramètres!$A$1:$I$89,3,0)*VLOOKUP('Données projet'!$B$13,Paramètres!$A$1:$I$89,5,0)</f>
        <v>277.2276</v>
      </c>
      <c r="CV115" s="13">
        <f t="shared" si="95"/>
        <v>66.380782187895448</v>
      </c>
      <c r="CW115" s="20">
        <f t="shared" si="67"/>
        <v>598.45126564391796</v>
      </c>
      <c r="CX115" s="59">
        <f t="shared" si="68"/>
        <v>891.78459897725133</v>
      </c>
      <c r="CY115" s="59">
        <f ca="1">AVERAGE(OFFSET($CX$3,0,0,'Données projet'!$E$13+1,1))-AVERAGE(OFFSET($H$3,0,0,'Données projet'!$E$13+1,1))</f>
        <v>279.20364724206644</v>
      </c>
      <c r="CZ115" s="59">
        <f t="shared" si="96"/>
        <v>173.99850582760712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0.35834370827225209</v>
      </c>
      <c r="DH115" s="21">
        <f>EXP(-LN(2)/2)*DH114+(1-EXP(-LN(2)/2))/(LN(2)/2)*DB115*DE115*VLOOKUP('Données projet'!$B$13,Paramètres!$A$1:$I$89,3,0)*0.475*44/12</f>
        <v>3.1542813816129238E-12</v>
      </c>
      <c r="DI115" s="22">
        <f t="shared" si="69"/>
        <v>0.35834370827540635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3.7</v>
      </c>
      <c r="DO115" s="12">
        <f>IF('Données projet'!$A$166&gt;35,DO114+DN115-DW114,IF(A115&lt;'Données projet'!$A$166,$DL$205^A115,IF(A115='Données projet'!$A$166,'Données projet'!$B$166,DO114+DN115-DW114)))</f>
        <v>273.39999999999998</v>
      </c>
      <c r="DP115" s="17">
        <f>DO115*VLOOKUP('Données projet'!$B$14,Paramètres!$A$1:$I$89,3,0)*VLOOKUP('Données projet'!$B$14,Paramètres!$A$1:$I$89,5,0)</f>
        <v>285.75767999999999</v>
      </c>
      <c r="DQ115" s="13">
        <f t="shared" si="97"/>
        <v>68.182327010438527</v>
      </c>
      <c r="DR115" s="20">
        <f t="shared" si="70"/>
        <v>616.44551220984715</v>
      </c>
      <c r="DS115" s="59">
        <f t="shared" si="71"/>
        <v>909.77884554318052</v>
      </c>
      <c r="DT115" s="59">
        <f ca="1">AVERAGE(OFFSET($DS$3,0,0,'Données projet'!$E$14+1,1))-AVERAGE(OFFSET($H$3,0,0,'Données projet'!$E$14+1,1))</f>
        <v>291.18074901939718</v>
      </c>
      <c r="DU115" s="59">
        <f t="shared" si="98"/>
        <v>181.05123751753774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0.36936966852678299</v>
      </c>
      <c r="EC115" s="21">
        <f>EXP(-LN(2)/2)*EC114+(1-EXP(-LN(2)/2))/(LN(2)/2)*DW115*DZ115*VLOOKUP('Données projet'!$B$14,Paramètres!$A$1:$I$89,3,0)*0.475*44/12</f>
        <v>3.2513361933548631E-12</v>
      </c>
      <c r="ED115" s="22">
        <f t="shared" si="72"/>
        <v>0.36936966853003433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168.08890945052406</v>
      </c>
      <c r="EP115" s="59">
        <f t="shared" si="100"/>
        <v>182.52462557642343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1.2245587966391203</v>
      </c>
      <c r="EW115" s="21">
        <f>EXP(-LN(2)/25)*EW114+(1-EXP(-LN(2)/25))/(LN(2)/25)*Calculateur!ER115*Calculateur!ET115*VLOOKUP('Données projet'!$B$15,Paramètres!$A$1:$I$89,3,0)*0.475*44/12</f>
        <v>1.2694504822118688</v>
      </c>
      <c r="EX115" s="21">
        <f>EXP(-LN(2)/2)*EX114+(1-EXP(-LN(2)/2))/(LN(2)/2)*ER115*EU115*VLOOKUP('Données projet'!$B$15,Paramètres!$A$1:$I$89,3,0)*0.475*44/12</f>
        <v>2.4764141808528488E-12</v>
      </c>
      <c r="EY115" s="22">
        <f t="shared" si="75"/>
        <v>2.4940092788534654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3.813056537183002E-14</v>
      </c>
      <c r="FG115" s="13">
        <f t="shared" si="101"/>
        <v>6.4086286045526829E-13</v>
      </c>
      <c r="FH115" s="20">
        <f t="shared" si="76"/>
        <v>1.1825802166488628E-12</v>
      </c>
      <c r="FI115" s="59">
        <f t="shared" si="77"/>
        <v>293.33333333333451</v>
      </c>
      <c r="FJ115" s="59">
        <f ca="1">AVERAGE(OFFSET($FI$3,0,0,'Données projet'!$E$16+1,1))-AVERAGE(OFFSET($H$3,0,0,'Données projet'!$E$16+1,1))</f>
        <v>156.63226020379989</v>
      </c>
      <c r="FK115" s="59">
        <f t="shared" si="102"/>
        <v>196.0481096619543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0.89256270390245229</v>
      </c>
      <c r="FS115" s="21">
        <f>EXP(-LN(2)/2)*FS114+(1-EXP(-LN(2)/2))/(LN(2)/2)*FM115*FP115*VLOOKUP('Données projet'!$B$16,Paramètres!$A$1:$I$89,3,0)*0.475*44/12</f>
        <v>4.1261368106128628E-12</v>
      </c>
      <c r="FT115" s="22">
        <f t="shared" si="78"/>
        <v>0.89256270390657844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-4.5474735088646412E-13</v>
      </c>
      <c r="GA115" s="17">
        <f>FZ115*VLOOKUP('Données projet'!$B$17,Paramètres!$A$1:$I$89,3,0)*VLOOKUP('Données projet'!$B$17,Paramètres!$A$1:$I$89,5,0)</f>
        <v>-2.7193891583010558E-13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216.94426559495264</v>
      </c>
      <c r="GF115" s="59">
        <f t="shared" si="104"/>
        <v>225.33715877618704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1.3228172549759372</v>
      </c>
      <c r="GN115" s="21">
        <f>EXP(-LN(2)/2)*GN114+(1-EXP(-LN(2)/2))/(LN(2)/2)*GH115*GK115*VLOOKUP('Données projet'!$B$17,Paramètres!$A$1:$I$89,3,0)*0.475*44/12</f>
        <v>1.0790863540850738E-11</v>
      </c>
      <c r="GO115" s="21">
        <f t="shared" si="81"/>
        <v>1.3228172549867281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3.7</v>
      </c>
      <c r="GU115" s="12">
        <f>IF('Données projet'!$A$270&gt;35,GU114+GT115-HC114,IF(A115&lt;'Données projet'!$A$270,$GR$205^A115,IF(A115='Données projet'!$A$270,'Données projet'!$B$270,GU114+GT115-HC114)))</f>
        <v>273.39999999999998</v>
      </c>
      <c r="GV115" s="17">
        <f>GU115*VLOOKUP('Données projet'!$B$18,Paramètres!$A$1:$I$89,3,0)*VLOOKUP('Données projet'!$B$18,Paramètres!$A$1:$I$89,5,0)</f>
        <v>264.43248</v>
      </c>
      <c r="GW115" s="13">
        <f t="shared" si="105"/>
        <v>63.666272015882349</v>
      </c>
      <c r="GX115" s="20">
        <f t="shared" si="82"/>
        <v>571.43865976099494</v>
      </c>
      <c r="GY115" s="59">
        <f t="shared" si="83"/>
        <v>864.77199309432831</v>
      </c>
      <c r="GZ115" s="59">
        <f ca="1">AVERAGE(OFFSET($GY$3,0,0,'Données projet'!$E$18+1,1))-AVERAGE(OFFSET($H$3,0,0,'Données projet'!$E$18+1,1))</f>
        <v>261.22357949323879</v>
      </c>
      <c r="HA115" s="59">
        <f t="shared" si="106"/>
        <v>163.41029152029387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0.34180476789045589</v>
      </c>
      <c r="HI115" s="21">
        <f>EXP(-LN(2)/2)*HI114+(1-EXP(-LN(2)/2))/(LN(2)/2)*HC115*HF115*VLOOKUP('Données projet'!$B$18,Paramètres!$A$1:$I$89,3,0)*0.475*44/12</f>
        <v>3.0086991640000196E-12</v>
      </c>
      <c r="HJ115" s="22">
        <f t="shared" si="84"/>
        <v>0.34180476789346459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237.22177246688199</v>
      </c>
      <c r="T116" s="59">
        <f t="shared" si="88"/>
        <v>149.27472147904302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227.99999999999986</v>
      </c>
      <c r="AJ116" s="13">
        <f>AI116*VLOOKUP('Données projet'!$B$10,Paramètres!$A$1:$I$89,3,0)*VLOOKUP('Données projet'!$B$10,Paramètres!$A$1:$I$89,5,0)</f>
        <v>199.18079999999992</v>
      </c>
      <c r="AK116" s="13">
        <f t="shared" si="89"/>
        <v>49.564089376413683</v>
      </c>
      <c r="AL116" s="20">
        <f t="shared" si="58"/>
        <v>433.23068233058694</v>
      </c>
      <c r="AM116" s="59">
        <f t="shared" si="59"/>
        <v>726.56401566392026</v>
      </c>
      <c r="AN116" s="59">
        <f ca="1">AVERAGE(OFFSET($AM$3,0,0,'Données projet'!$E$10+1,1))-AVERAGE(OFFSET($H$3,0,0,'Données projet'!$E$10+1,1))</f>
        <v>210.07838338464626</v>
      </c>
      <c r="AO116" s="59">
        <f t="shared" si="90"/>
        <v>241.76003724236273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1.0242891839706652</v>
      </c>
      <c r="AV116" s="21">
        <f>EXP(-LN(2)/25)*AV115+(1-EXP(-LN(2)/25))/(LN(2)/25)*Calculateur!AQ116*Calculateur!AS116*VLOOKUP('Données projet'!$B$10,Paramètres!$A$1:$I$89,3,0)*0.475*44/12</f>
        <v>1.3578041229437809</v>
      </c>
      <c r="AW116" s="21">
        <f>EXP(-LN(2)/2)*AW115+(1-EXP(-LN(2)/2))/(LN(2)/2)*AQ116*AT116*VLOOKUP('Données projet'!$B$10,Paramètres!$A$1:$I$89,3,0)*0.475*44/12</f>
        <v>5.1356903661809773E-12</v>
      </c>
      <c r="AX116" s="21">
        <f t="shared" si="60"/>
        <v>2.382093306919582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6.2527760746888816E-13</v>
      </c>
      <c r="BE116" s="13">
        <f>BD116*VLOOKUP('Données projet'!$B$11,Paramètres!$A$1:$I$89,3,0)*VLOOKUP('Données projet'!$B$11,Paramètres!$A$1:$I$89,5,0)</f>
        <v>3.9017322706058616E-13</v>
      </c>
      <c r="BF116" s="13">
        <f t="shared" si="91"/>
        <v>5.0025007393608908E-12</v>
      </c>
      <c r="BG116" s="20">
        <f t="shared" si="61"/>
        <v>9.3922404915174053E-12</v>
      </c>
      <c r="BH116" s="59">
        <f t="shared" si="62"/>
        <v>293.33333333334269</v>
      </c>
      <c r="BI116" s="59">
        <f ca="1">AVERAGE(OFFSET($BH$3,0,0,'Données projet'!$E$11+1,1))-AVERAGE(OFFSET($H$3,0,0,'Données projet'!$E$11+1,1))</f>
        <v>209.93608079129638</v>
      </c>
      <c r="BJ116" s="59">
        <f t="shared" si="92"/>
        <v>240.15652428700969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1.3437581138280534</v>
      </c>
      <c r="BQ116" s="21">
        <f>EXP(-LN(2)/25)*BQ115+(1-EXP(-LN(2)/25))/(LN(2)/25)*Calculateur!BL116*Calculateur!BN116*VLOOKUP('Données projet'!$B$11,Paramètres!$A$1:$I$89,3,0)*0.475*44/12</f>
        <v>2.0815709104583595</v>
      </c>
      <c r="BR116" s="21">
        <f>EXP(-LN(2)/2)*BR115+(1-EXP(-LN(2)/2))/(LN(2)/2)*BL116*BO116*VLOOKUP('Données projet'!$B$11,Paramètres!$A$1:$I$89,3,0)*0.475*44/12</f>
        <v>6.4924563777655874E-12</v>
      </c>
      <c r="BS116" s="22">
        <f t="shared" si="63"/>
        <v>3.4253290242929055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215.23235148064941</v>
      </c>
      <c r="CE116" s="59">
        <f t="shared" si="94"/>
        <v>184.07239726900434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0.60577095684980775</v>
      </c>
      <c r="CL116" s="21">
        <f>EXP(-LN(2)/25)*CL115+(1-EXP(-LN(2)/25))/(LN(2)/25)*Calculateur!CG116*Calculateur!CI116*VLOOKUP('Données projet'!$B$12,Paramètres!$A$1:$I$89,3,0)*0.475*44/12</f>
        <v>0.78659698355787433</v>
      </c>
      <c r="CM116" s="21">
        <f>EXP(-LN(2)/2)*CM115+(1-EXP(-LN(2)/2))/(LN(2)/2)*CG116*CJ116*VLOOKUP('Données projet'!$B$12,Paramètres!$A$1:$I$89,3,0)*0.475*44/12</f>
        <v>3.1615848743241154E-12</v>
      </c>
      <c r="CN116" s="22">
        <f t="shared" si="66"/>
        <v>1.3923679404108438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3.7</v>
      </c>
      <c r="CT116" s="12">
        <f>IF('Données projet'!$A$140&gt;35,CT115+CS116-DB115,IF(A116&lt;'Données projet'!$A$140,$CQ$205^A116,IF(A116='Données projet'!$A$140,'Données projet'!$B$140,CT115+CS116-DB115)))</f>
        <v>277.09999999999997</v>
      </c>
      <c r="CU116" s="17">
        <f>CT116*VLOOKUP('Données projet'!$B$13,Paramètres!$A$1:$I$89,3,0)*VLOOKUP('Données projet'!$B$13,Paramètres!$A$1:$I$89,5,0)</f>
        <v>280.9794</v>
      </c>
      <c r="CV116" s="13">
        <f t="shared" si="95"/>
        <v>67.173942175199358</v>
      </c>
      <c r="CW116" s="20">
        <f t="shared" si="67"/>
        <v>606.36707095513873</v>
      </c>
      <c r="CX116" s="59">
        <f t="shared" si="68"/>
        <v>899.7004042884721</v>
      </c>
      <c r="CY116" s="59">
        <f ca="1">AVERAGE(OFFSET($CX$3,0,0,'Données projet'!$E$13+1,1))-AVERAGE(OFFSET($H$3,0,0,'Données projet'!$E$13+1,1))</f>
        <v>279.20364724206644</v>
      </c>
      <c r="CZ116" s="59">
        <f t="shared" si="96"/>
        <v>173.99850582760712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0.34854478072507072</v>
      </c>
      <c r="DH116" s="21">
        <f>EXP(-LN(2)/2)*DH115+(1-EXP(-LN(2)/2))/(LN(2)/2)*DB116*DE116*VLOOKUP('Données projet'!$B$13,Paramètres!$A$1:$I$89,3,0)*0.475*44/12</f>
        <v>2.2304137547089705E-12</v>
      </c>
      <c r="DI116" s="22">
        <f t="shared" si="69"/>
        <v>0.34854478072730116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3.7</v>
      </c>
      <c r="DO116" s="12">
        <f>IF('Données projet'!$A$166&gt;35,DO115+DN116-DW115,IF(A116&lt;'Données projet'!$A$166,$DL$205^A116,IF(A116='Données projet'!$A$166,'Données projet'!$B$166,DO115+DN116-DW115)))</f>
        <v>277.09999999999997</v>
      </c>
      <c r="DP116" s="17">
        <f>DO116*VLOOKUP('Données projet'!$B$14,Paramètres!$A$1:$I$89,3,0)*VLOOKUP('Données projet'!$B$14,Paramètres!$A$1:$I$89,5,0)</f>
        <v>289.62491999999997</v>
      </c>
      <c r="DQ116" s="13">
        <f t="shared" si="97"/>
        <v>68.997013006046103</v>
      </c>
      <c r="DR116" s="20">
        <f t="shared" si="70"/>
        <v>624.59986665219697</v>
      </c>
      <c r="DS116" s="59">
        <f t="shared" si="71"/>
        <v>917.93319998553034</v>
      </c>
      <c r="DT116" s="59">
        <f ca="1">AVERAGE(OFFSET($DS$3,0,0,'Données projet'!$E$14+1,1))-AVERAGE(OFFSET($H$3,0,0,'Données projet'!$E$14+1,1))</f>
        <v>291.18074901939718</v>
      </c>
      <c r="DU116" s="59">
        <f t="shared" si="98"/>
        <v>181.05123751753774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0.35926923551661144</v>
      </c>
      <c r="EC116" s="21">
        <f>EXP(-LN(2)/2)*EC115+(1-EXP(-LN(2)/2))/(LN(2)/2)*DW116*DZ116*VLOOKUP('Données projet'!$B$14,Paramètres!$A$1:$I$89,3,0)*0.475*44/12</f>
        <v>2.2990418702384795E-12</v>
      </c>
      <c r="ED116" s="22">
        <f t="shared" si="72"/>
        <v>0.35926923551891049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168.08890945052406</v>
      </c>
      <c r="EP116" s="59">
        <f t="shared" si="100"/>
        <v>182.52462557642343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1.2005459455441421</v>
      </c>
      <c r="EW116" s="21">
        <f>EXP(-LN(2)/25)*EW115+(1-EXP(-LN(2)/25))/(LN(2)/25)*Calculateur!ER116*Calculateur!ET116*VLOOKUP('Données projet'!$B$15,Paramètres!$A$1:$I$89,3,0)*0.475*44/12</f>
        <v>1.2347372920182857</v>
      </c>
      <c r="EX116" s="21">
        <f>EXP(-LN(2)/2)*EX115+(1-EXP(-LN(2)/2))/(LN(2)/2)*ER116*EU116*VLOOKUP('Données projet'!$B$15,Paramètres!$A$1:$I$89,3,0)*0.475*44/12</f>
        <v>1.7510892603075787E-12</v>
      </c>
      <c r="EY116" s="22">
        <f t="shared" si="75"/>
        <v>2.4352832375641786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3.813056537183002E-14</v>
      </c>
      <c r="FG116" s="13">
        <f t="shared" si="101"/>
        <v>6.4086286045526829E-13</v>
      </c>
      <c r="FH116" s="20">
        <f t="shared" si="76"/>
        <v>1.1825802166488628E-12</v>
      </c>
      <c r="FI116" s="59">
        <f t="shared" si="77"/>
        <v>293.33333333333451</v>
      </c>
      <c r="FJ116" s="59">
        <f ca="1">AVERAGE(OFFSET($FI$3,0,0,'Données projet'!$E$16+1,1))-AVERAGE(OFFSET($H$3,0,0,'Données projet'!$E$16+1,1))</f>
        <v>156.63226020379989</v>
      </c>
      <c r="FK116" s="59">
        <f t="shared" si="102"/>
        <v>196.0481096619543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0.86815552982640709</v>
      </c>
      <c r="FS116" s="21">
        <f>EXP(-LN(2)/2)*FS115+(1-EXP(-LN(2)/2))/(LN(2)/2)*FM116*FP116*VLOOKUP('Données projet'!$B$16,Paramètres!$A$1:$I$89,3,0)*0.475*44/12</f>
        <v>2.9176193188877886E-12</v>
      </c>
      <c r="FT116" s="22">
        <f t="shared" si="78"/>
        <v>0.86815552982932476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-4.5474735088646412E-13</v>
      </c>
      <c r="GA116" s="17">
        <f>FZ116*VLOOKUP('Données projet'!$B$17,Paramètres!$A$1:$I$89,3,0)*VLOOKUP('Données projet'!$B$17,Paramètres!$A$1:$I$89,5,0)</f>
        <v>-2.7193891583010558E-13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216.94426559495264</v>
      </c>
      <c r="GF116" s="59">
        <f t="shared" si="104"/>
        <v>225.33715877618704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1.2866447475746841</v>
      </c>
      <c r="GN116" s="21">
        <f>EXP(-LN(2)/2)*GN115+(1-EXP(-LN(2)/2))/(LN(2)/2)*GH116*GK116*VLOOKUP('Données projet'!$B$17,Paramètres!$A$1:$I$89,3,0)*0.475*44/12</f>
        <v>7.6302927845942359E-12</v>
      </c>
      <c r="GO116" s="21">
        <f t="shared" si="81"/>
        <v>1.2866447475823144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3.7</v>
      </c>
      <c r="GU116" s="12">
        <f>IF('Données projet'!$A$270&gt;35,GU115+GT116-HC115,IF(A116&lt;'Données projet'!$A$270,$GR$205^A116,IF(A116='Données projet'!$A$270,'Données projet'!$B$270,GU115+GT116-HC115)))</f>
        <v>277.09999999999997</v>
      </c>
      <c r="GV116" s="17">
        <f>GU116*VLOOKUP('Données projet'!$B$18,Paramètres!$A$1:$I$89,3,0)*VLOOKUP('Données projet'!$B$18,Paramètres!$A$1:$I$89,5,0)</f>
        <v>268.01111999999995</v>
      </c>
      <c r="GW116" s="13">
        <f t="shared" si="105"/>
        <v>64.426997301716909</v>
      </c>
      <c r="GX116" s="20">
        <f t="shared" si="82"/>
        <v>578.99638763382347</v>
      </c>
      <c r="GY116" s="59">
        <f t="shared" si="83"/>
        <v>872.32972096715685</v>
      </c>
      <c r="GZ116" s="59">
        <f ca="1">AVERAGE(OFFSET($GY$3,0,0,'Données projet'!$E$18+1,1))-AVERAGE(OFFSET($H$3,0,0,'Données projet'!$E$18+1,1))</f>
        <v>261.22357949323879</v>
      </c>
      <c r="HA116" s="59">
        <f t="shared" si="106"/>
        <v>163.41029152029387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0.33245809853775982</v>
      </c>
      <c r="HI116" s="21">
        <f>EXP(-LN(2)/2)*HI115+(1-EXP(-LN(2)/2))/(LN(2)/2)*HC116*HF116*VLOOKUP('Données projet'!$B$18,Paramètres!$A$1:$I$89,3,0)*0.475*44/12</f>
        <v>2.1274715814147102E-12</v>
      </c>
      <c r="HJ116" s="22">
        <f t="shared" si="84"/>
        <v>0.33245809853988728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237.22177246688199</v>
      </c>
      <c r="T117" s="59">
        <f t="shared" si="88"/>
        <v>149.27472147904302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227.99999999999986</v>
      </c>
      <c r="AJ117" s="13">
        <f>AI117*VLOOKUP('Données projet'!$B$10,Paramètres!$A$1:$I$89,3,0)*VLOOKUP('Données projet'!$B$10,Paramètres!$A$1:$I$89,5,0)</f>
        <v>199.18079999999992</v>
      </c>
      <c r="AK117" s="13">
        <f t="shared" si="89"/>
        <v>49.564089376413683</v>
      </c>
      <c r="AL117" s="20">
        <f t="shared" si="58"/>
        <v>433.23068233058694</v>
      </c>
      <c r="AM117" s="59">
        <f t="shared" si="59"/>
        <v>726.56401566392026</v>
      </c>
      <c r="AN117" s="59">
        <f ca="1">AVERAGE(OFFSET($AM$3,0,0,'Données projet'!$E$10+1,1))-AVERAGE(OFFSET($H$3,0,0,'Données projet'!$E$10+1,1))</f>
        <v>210.07838338464626</v>
      </c>
      <c r="AO117" s="59">
        <f t="shared" si="90"/>
        <v>241.76003724236273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1.0042034978277132</v>
      </c>
      <c r="AV117" s="21">
        <f>EXP(-LN(2)/25)*AV116+(1-EXP(-LN(2)/25))/(LN(2)/25)*Calculateur!AQ117*Calculateur!AS117*VLOOKUP('Données projet'!$B$10,Paramètres!$A$1:$I$89,3,0)*0.475*44/12</f>
        <v>1.3206748977980678</v>
      </c>
      <c r="AW117" s="21">
        <f>EXP(-LN(2)/2)*AW116+(1-EXP(-LN(2)/2))/(LN(2)/2)*AQ117*AT117*VLOOKUP('Données projet'!$B$10,Paramètres!$A$1:$I$89,3,0)*0.475*44/12</f>
        <v>3.6314814840009927E-12</v>
      </c>
      <c r="AX117" s="21">
        <f t="shared" si="60"/>
        <v>2.3248783956294123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6.2527760746888816E-13</v>
      </c>
      <c r="BE117" s="13">
        <f>BD117*VLOOKUP('Données projet'!$B$11,Paramètres!$A$1:$I$89,3,0)*VLOOKUP('Données projet'!$B$11,Paramètres!$A$1:$I$89,5,0)</f>
        <v>3.9017322706058616E-13</v>
      </c>
      <c r="BF117" s="13">
        <f t="shared" si="91"/>
        <v>5.0025007393608908E-12</v>
      </c>
      <c r="BG117" s="20">
        <f t="shared" si="61"/>
        <v>9.3922404915174053E-12</v>
      </c>
      <c r="BH117" s="59">
        <f t="shared" si="62"/>
        <v>293.33333333334269</v>
      </c>
      <c r="BI117" s="59">
        <f ca="1">AVERAGE(OFFSET($BH$3,0,0,'Données projet'!$E$11+1,1))-AVERAGE(OFFSET($H$3,0,0,'Données projet'!$E$11+1,1))</f>
        <v>209.93608079129638</v>
      </c>
      <c r="BJ117" s="59">
        <f t="shared" si="92"/>
        <v>240.15652428700969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1.3174078368274049</v>
      </c>
      <c r="BQ117" s="21">
        <f>EXP(-LN(2)/25)*BQ116+(1-EXP(-LN(2)/25))/(LN(2)/25)*Calculateur!BL117*Calculateur!BN117*VLOOKUP('Données projet'!$B$11,Paramètres!$A$1:$I$89,3,0)*0.475*44/12</f>
        <v>2.0246502444468191</v>
      </c>
      <c r="BR117" s="21">
        <f>EXP(-LN(2)/2)*BR116+(1-EXP(-LN(2)/2))/(LN(2)/2)*BL117*BO117*VLOOKUP('Données projet'!$B$11,Paramètres!$A$1:$I$89,3,0)*0.475*44/12</f>
        <v>4.5908599312758961E-12</v>
      </c>
      <c r="BS117" s="22">
        <f t="shared" si="63"/>
        <v>3.342058081278815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215.23235148064941</v>
      </c>
      <c r="CE117" s="59">
        <f t="shared" si="94"/>
        <v>184.07239726900434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0.59389215786978322</v>
      </c>
      <c r="CL117" s="21">
        <f>EXP(-LN(2)/25)*CL116+(1-EXP(-LN(2)/25))/(LN(2)/25)*Calculateur!CG117*Calculateur!CI117*VLOOKUP('Données projet'!$B$12,Paramètres!$A$1:$I$89,3,0)*0.475*44/12</f>
        <v>0.76508744767714665</v>
      </c>
      <c r="CM117" s="21">
        <f>EXP(-LN(2)/2)*CM116+(1-EXP(-LN(2)/2))/(LN(2)/2)*CG117*CJ117*VLOOKUP('Données projet'!$B$12,Paramètres!$A$1:$I$89,3,0)*0.475*44/12</f>
        <v>2.2355781039314006E-12</v>
      </c>
      <c r="CN117" s="22">
        <f t="shared" si="66"/>
        <v>1.3589796055491654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3.7</v>
      </c>
      <c r="CT117" s="12">
        <f>IF('Données projet'!$A$140&gt;35,CT116+CS117-DB116,IF(A117&lt;'Données projet'!$A$140,$CQ$205^A117,IF(A117='Données projet'!$A$140,'Données projet'!$B$140,CT116+CS117-DB116)))</f>
        <v>280.79999999999995</v>
      </c>
      <c r="CU117" s="17">
        <f>CT117*VLOOKUP('Données projet'!$B$13,Paramètres!$A$1:$I$89,3,0)*VLOOKUP('Données projet'!$B$13,Paramètres!$A$1:$I$89,5,0)</f>
        <v>284.7312</v>
      </c>
      <c r="CV117" s="13">
        <f t="shared" si="95"/>
        <v>67.96587032005101</v>
      </c>
      <c r="CW117" s="20">
        <f t="shared" si="67"/>
        <v>614.28073080742217</v>
      </c>
      <c r="CX117" s="59">
        <f t="shared" si="68"/>
        <v>907.61406414075554</v>
      </c>
      <c r="CY117" s="59">
        <f ca="1">AVERAGE(OFFSET($CX$3,0,0,'Données projet'!$E$13+1,1))-AVERAGE(OFFSET($H$3,0,0,'Données projet'!$E$13+1,1))</f>
        <v>279.20364724206644</v>
      </c>
      <c r="CZ117" s="59">
        <f t="shared" si="96"/>
        <v>173.99850582760712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0.33901380536697023</v>
      </c>
      <c r="DH117" s="21">
        <f>EXP(-LN(2)/2)*DH116+(1-EXP(-LN(2)/2))/(LN(2)/2)*DB117*DE117*VLOOKUP('Données projet'!$B$13,Paramètres!$A$1:$I$89,3,0)*0.475*44/12</f>
        <v>1.5771406908064619E-12</v>
      </c>
      <c r="DI117" s="22">
        <f t="shared" si="69"/>
        <v>0.33901380536854736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3.7</v>
      </c>
      <c r="DO117" s="12">
        <f>IF('Données projet'!$A$166&gt;35,DO116+DN117-DW116,IF(A117&lt;'Données projet'!$A$166,$DL$205^A117,IF(A117='Données projet'!$A$166,'Données projet'!$B$166,DO116+DN117-DW116)))</f>
        <v>280.79999999999995</v>
      </c>
      <c r="DP117" s="17">
        <f>DO117*VLOOKUP('Données projet'!$B$14,Paramètres!$A$1:$I$89,3,0)*VLOOKUP('Données projet'!$B$14,Paramètres!$A$1:$I$89,5,0)</f>
        <v>293.49215999999996</v>
      </c>
      <c r="DQ117" s="13">
        <f t="shared" si="97"/>
        <v>69.810433727546524</v>
      </c>
      <c r="DR117" s="20">
        <f t="shared" si="70"/>
        <v>632.75201740881005</v>
      </c>
      <c r="DS117" s="59">
        <f t="shared" si="71"/>
        <v>926.08535074214342</v>
      </c>
      <c r="DT117" s="59">
        <f ca="1">AVERAGE(OFFSET($DS$3,0,0,'Données projet'!$E$14+1,1))-AVERAGE(OFFSET($H$3,0,0,'Données projet'!$E$14+1,1))</f>
        <v>291.18074901939718</v>
      </c>
      <c r="DU117" s="59">
        <f t="shared" si="98"/>
        <v>181.05123751753774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0.34944499937826173</v>
      </c>
      <c r="EC117" s="21">
        <f>EXP(-LN(2)/2)*EC116+(1-EXP(-LN(2)/2))/(LN(2)/2)*DW117*DZ117*VLOOKUP('Données projet'!$B$14,Paramètres!$A$1:$I$89,3,0)*0.475*44/12</f>
        <v>1.6256680966774316E-12</v>
      </c>
      <c r="ED117" s="22">
        <f t="shared" si="72"/>
        <v>0.34944499937988738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168.08890945052406</v>
      </c>
      <c r="EP117" s="59">
        <f t="shared" si="100"/>
        <v>182.52462557642343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1.1770039718127434</v>
      </c>
      <c r="EW117" s="21">
        <f>EXP(-LN(2)/25)*EW116+(1-EXP(-LN(2)/25))/(LN(2)/25)*Calculateur!ER117*Calculateur!ET117*VLOOKUP('Données projet'!$B$15,Paramètres!$A$1:$I$89,3,0)*0.475*44/12</f>
        <v>1.2009733358360335</v>
      </c>
      <c r="EX117" s="21">
        <f>EXP(-LN(2)/2)*EX116+(1-EXP(-LN(2)/2))/(LN(2)/2)*ER117*EU117*VLOOKUP('Données projet'!$B$15,Paramètres!$A$1:$I$89,3,0)*0.475*44/12</f>
        <v>1.2382070904264244E-12</v>
      </c>
      <c r="EY117" s="22">
        <f t="shared" si="75"/>
        <v>2.3779773076500152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3.813056537183002E-14</v>
      </c>
      <c r="FG117" s="13">
        <f t="shared" si="101"/>
        <v>6.4086286045526829E-13</v>
      </c>
      <c r="FH117" s="20">
        <f t="shared" si="76"/>
        <v>1.1825802166488628E-12</v>
      </c>
      <c r="FI117" s="59">
        <f t="shared" si="77"/>
        <v>293.33333333333451</v>
      </c>
      <c r="FJ117" s="59">
        <f ca="1">AVERAGE(OFFSET($FI$3,0,0,'Données projet'!$E$16+1,1))-AVERAGE(OFFSET($H$3,0,0,'Données projet'!$E$16+1,1))</f>
        <v>156.63226020379989</v>
      </c>
      <c r="FK117" s="59">
        <f t="shared" si="102"/>
        <v>196.0481096619543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0.84441577120898892</v>
      </c>
      <c r="FS117" s="21">
        <f>EXP(-LN(2)/2)*FS116+(1-EXP(-LN(2)/2))/(LN(2)/2)*FM117*FP117*VLOOKUP('Données projet'!$B$16,Paramètres!$A$1:$I$89,3,0)*0.475*44/12</f>
        <v>2.0630684053064314E-12</v>
      </c>
      <c r="FT117" s="22">
        <f t="shared" si="78"/>
        <v>0.84441577121105194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-4.5474735088646412E-13</v>
      </c>
      <c r="GA117" s="17">
        <f>FZ117*VLOOKUP('Données projet'!$B$17,Paramètres!$A$1:$I$89,3,0)*VLOOKUP('Données projet'!$B$17,Paramètres!$A$1:$I$89,5,0)</f>
        <v>-2.7193891583010558E-13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216.94426559495264</v>
      </c>
      <c r="GF117" s="59">
        <f t="shared" si="104"/>
        <v>225.33715877618704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1.2514613792905478</v>
      </c>
      <c r="GN117" s="21">
        <f>EXP(-LN(2)/2)*GN116+(1-EXP(-LN(2)/2))/(LN(2)/2)*GH117*GK117*VLOOKUP('Données projet'!$B$17,Paramètres!$A$1:$I$89,3,0)*0.475*44/12</f>
        <v>5.3954317704253689E-12</v>
      </c>
      <c r="GO117" s="21">
        <f t="shared" si="81"/>
        <v>1.2514613792959433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3.7</v>
      </c>
      <c r="GU117" s="12">
        <f>IF('Données projet'!$A$270&gt;35,GU116+GT117-HC116,IF(A117&lt;'Données projet'!$A$270,$GR$205^A117,IF(A117='Données projet'!$A$270,'Données projet'!$B$270,GU116+GT117-HC116)))</f>
        <v>280.79999999999995</v>
      </c>
      <c r="GV117" s="17">
        <f>GU117*VLOOKUP('Données projet'!$B$18,Paramètres!$A$1:$I$89,3,0)*VLOOKUP('Données projet'!$B$18,Paramètres!$A$1:$I$89,5,0)</f>
        <v>271.58975999999996</v>
      </c>
      <c r="GW117" s="13">
        <f t="shared" si="105"/>
        <v>65.186541118848126</v>
      </c>
      <c r="GX117" s="20">
        <f t="shared" si="82"/>
        <v>586.55205778199377</v>
      </c>
      <c r="GY117" s="59">
        <f t="shared" si="83"/>
        <v>879.88539111532714</v>
      </c>
      <c r="GZ117" s="59">
        <f ca="1">AVERAGE(OFFSET($GY$3,0,0,'Données projet'!$E$18+1,1))-AVERAGE(OFFSET($H$3,0,0,'Données projet'!$E$18+1,1))</f>
        <v>261.22357949323879</v>
      </c>
      <c r="HA117" s="59">
        <f t="shared" si="106"/>
        <v>163.41029152029387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0.32336701435003323</v>
      </c>
      <c r="HI117" s="21">
        <f>EXP(-LN(2)/2)*HI116+(1-EXP(-LN(2)/2))/(LN(2)/2)*HC117*HF117*VLOOKUP('Données projet'!$B$18,Paramètres!$A$1:$I$89,3,0)*0.475*44/12</f>
        <v>1.5043495820000098E-12</v>
      </c>
      <c r="HJ117" s="22">
        <f t="shared" si="84"/>
        <v>0.32336701435153758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237.22177246688199</v>
      </c>
      <c r="T118" s="59">
        <f t="shared" si="88"/>
        <v>149.27472147904302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227.99999999999986</v>
      </c>
      <c r="AJ118" s="13">
        <f>AI118*VLOOKUP('Données projet'!$B$10,Paramètres!$A$1:$I$89,3,0)*VLOOKUP('Données projet'!$B$10,Paramètres!$A$1:$I$89,5,0)</f>
        <v>199.18079999999992</v>
      </c>
      <c r="AK118" s="13">
        <f t="shared" si="89"/>
        <v>49.564089376413683</v>
      </c>
      <c r="AL118" s="20">
        <f t="shared" si="58"/>
        <v>433.23068233058694</v>
      </c>
      <c r="AM118" s="59">
        <f t="shared" si="59"/>
        <v>726.56401566392026</v>
      </c>
      <c r="AN118" s="59">
        <f ca="1">AVERAGE(OFFSET($AM$3,0,0,'Données projet'!$E$10+1,1))-AVERAGE(OFFSET($H$3,0,0,'Données projet'!$E$10+1,1))</f>
        <v>210.07838338464626</v>
      </c>
      <c r="AO118" s="59">
        <f t="shared" si="90"/>
        <v>241.76003724236273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0.98451167973896569</v>
      </c>
      <c r="AV118" s="21">
        <f>EXP(-LN(2)/25)*AV117+(1-EXP(-LN(2)/25))/(LN(2)/25)*Calculateur!AQ118*Calculateur!AS118*VLOOKUP('Données projet'!$B$10,Paramètres!$A$1:$I$89,3,0)*0.475*44/12</f>
        <v>1.2845609732665051</v>
      </c>
      <c r="AW118" s="21">
        <f>EXP(-LN(2)/2)*AW117+(1-EXP(-LN(2)/2))/(LN(2)/2)*AQ118*AT118*VLOOKUP('Données projet'!$B$10,Paramètres!$A$1:$I$89,3,0)*0.475*44/12</f>
        <v>2.567845183090489E-12</v>
      </c>
      <c r="AX118" s="21">
        <f t="shared" si="60"/>
        <v>2.2690726530080383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6.2527760746888816E-13</v>
      </c>
      <c r="BE118" s="13">
        <f>BD118*VLOOKUP('Données projet'!$B$11,Paramètres!$A$1:$I$89,3,0)*VLOOKUP('Données projet'!$B$11,Paramètres!$A$1:$I$89,5,0)</f>
        <v>3.9017322706058616E-13</v>
      </c>
      <c r="BF118" s="13">
        <f t="shared" si="91"/>
        <v>5.0025007393608908E-12</v>
      </c>
      <c r="BG118" s="20">
        <f t="shared" si="61"/>
        <v>9.3922404915174053E-12</v>
      </c>
      <c r="BH118" s="59">
        <f t="shared" si="62"/>
        <v>293.33333333334269</v>
      </c>
      <c r="BI118" s="59">
        <f ca="1">AVERAGE(OFFSET($BH$3,0,0,'Données projet'!$E$11+1,1))-AVERAGE(OFFSET($H$3,0,0,'Données projet'!$E$11+1,1))</f>
        <v>209.93608079129638</v>
      </c>
      <c r="BJ118" s="59">
        <f t="shared" si="92"/>
        <v>240.15652428700969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1.291574272686657</v>
      </c>
      <c r="BQ118" s="21">
        <f>EXP(-LN(2)/25)*BQ117+(1-EXP(-LN(2)/25))/(LN(2)/25)*Calculateur!BL118*Calculateur!BN118*VLOOKUP('Données projet'!$B$11,Paramètres!$A$1:$I$89,3,0)*0.475*44/12</f>
        <v>1.9692860770406919</v>
      </c>
      <c r="BR118" s="21">
        <f>EXP(-LN(2)/2)*BR117+(1-EXP(-LN(2)/2))/(LN(2)/2)*BL118*BO118*VLOOKUP('Données projet'!$B$11,Paramètres!$A$1:$I$89,3,0)*0.475*44/12</f>
        <v>3.2462281888827937E-12</v>
      </c>
      <c r="BS118" s="22">
        <f t="shared" si="63"/>
        <v>3.2608603497305952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215.23235148064941</v>
      </c>
      <c r="CE118" s="59">
        <f t="shared" si="94"/>
        <v>184.07239726900434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0.58224629489240498</v>
      </c>
      <c r="CL118" s="21">
        <f>EXP(-LN(2)/25)*CL117+(1-EXP(-LN(2)/25))/(LN(2)/25)*Calculateur!CG118*Calculateur!CI118*VLOOKUP('Données projet'!$B$12,Paramètres!$A$1:$I$89,3,0)*0.475*44/12</f>
        <v>0.7441660911862148</v>
      </c>
      <c r="CM118" s="21">
        <f>EXP(-LN(2)/2)*CM117+(1-EXP(-LN(2)/2))/(LN(2)/2)*CG118*CJ118*VLOOKUP('Données projet'!$B$12,Paramètres!$A$1:$I$89,3,0)*0.475*44/12</f>
        <v>1.5807924371620577E-12</v>
      </c>
      <c r="CN118" s="22">
        <f t="shared" si="66"/>
        <v>1.3264123860802004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3.7</v>
      </c>
      <c r="CT118" s="12">
        <f>IF('Données projet'!$A$140&gt;35,CT117+CS118-DB117,IF(A118&lt;'Données projet'!$A$140,$CQ$205^A118,IF(A118='Données projet'!$A$140,'Données projet'!$B$140,CT117+CS118-DB117)))</f>
        <v>284.49999999999994</v>
      </c>
      <c r="CU118" s="17">
        <f>CT118*VLOOKUP('Données projet'!$B$13,Paramètres!$A$1:$I$89,3,0)*VLOOKUP('Données projet'!$B$13,Paramètres!$A$1:$I$89,5,0)</f>
        <v>288.483</v>
      </c>
      <c r="CV118" s="13">
        <f t="shared" si="95"/>
        <v>68.756584730508692</v>
      </c>
      <c r="CW118" s="20">
        <f t="shared" si="67"/>
        <v>622.19227673896933</v>
      </c>
      <c r="CX118" s="59">
        <f t="shared" si="68"/>
        <v>915.5256100723027</v>
      </c>
      <c r="CY118" s="59">
        <f ca="1">AVERAGE(OFFSET($CX$3,0,0,'Données projet'!$E$13+1,1))-AVERAGE(OFFSET($H$3,0,0,'Données projet'!$E$13+1,1))</f>
        <v>279.20364724206644</v>
      </c>
      <c r="CZ118" s="59">
        <f t="shared" si="96"/>
        <v>173.99850582760712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0.32974345503124924</v>
      </c>
      <c r="DH118" s="21">
        <f>EXP(-LN(2)/2)*DH117+(1-EXP(-LN(2)/2))/(LN(2)/2)*DB118*DE118*VLOOKUP('Données projet'!$B$13,Paramètres!$A$1:$I$89,3,0)*0.475*44/12</f>
        <v>1.1152068773544853E-12</v>
      </c>
      <c r="DI118" s="22">
        <f t="shared" si="69"/>
        <v>0.32974345503236446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3.7</v>
      </c>
      <c r="DO118" s="12">
        <f>IF('Données projet'!$A$166&gt;35,DO117+DN118-DW117,IF(A118&lt;'Données projet'!$A$166,$DL$205^A118,IF(A118='Données projet'!$A$166,'Données projet'!$B$166,DO117+DN118-DW117)))</f>
        <v>284.49999999999994</v>
      </c>
      <c r="DP118" s="17">
        <f>DO118*VLOOKUP('Données projet'!$B$14,Paramètres!$A$1:$I$89,3,0)*VLOOKUP('Données projet'!$B$14,Paramètres!$A$1:$I$89,5,0)</f>
        <v>297.35939999999999</v>
      </c>
      <c r="DQ118" s="13">
        <f t="shared" si="97"/>
        <v>70.62260777444294</v>
      </c>
      <c r="DR118" s="20">
        <f t="shared" si="70"/>
        <v>640.90199687382142</v>
      </c>
      <c r="DS118" s="59">
        <f t="shared" si="71"/>
        <v>934.23533020715468</v>
      </c>
      <c r="DT118" s="59">
        <f ca="1">AVERAGE(OFFSET($DS$3,0,0,'Données projet'!$E$14+1,1))-AVERAGE(OFFSET($H$3,0,0,'Données projet'!$E$14+1,1))</f>
        <v>291.18074901939718</v>
      </c>
      <c r="DU118" s="59">
        <f t="shared" si="98"/>
        <v>181.05123751753774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0.3398894074937493</v>
      </c>
      <c r="EC118" s="21">
        <f>EXP(-LN(2)/2)*EC117+(1-EXP(-LN(2)/2))/(LN(2)/2)*DW118*DZ118*VLOOKUP('Données projet'!$B$14,Paramètres!$A$1:$I$89,3,0)*0.475*44/12</f>
        <v>1.1495209351192398E-12</v>
      </c>
      <c r="ED118" s="22">
        <f t="shared" si="72"/>
        <v>0.33988940749489882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168.08890945052406</v>
      </c>
      <c r="EP118" s="59">
        <f t="shared" si="100"/>
        <v>182.52462557642343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1.1539236418270313</v>
      </c>
      <c r="EW118" s="21">
        <f>EXP(-LN(2)/25)*EW117+(1-EXP(-LN(2)/25))/(LN(2)/25)*Calculateur!ER118*Calculateur!ET118*VLOOKUP('Données projet'!$B$15,Paramètres!$A$1:$I$89,3,0)*0.475*44/12</f>
        <v>1.1681326568111543</v>
      </c>
      <c r="EX118" s="21">
        <f>EXP(-LN(2)/2)*EX117+(1-EXP(-LN(2)/2))/(LN(2)/2)*ER118*EU118*VLOOKUP('Données projet'!$B$15,Paramètres!$A$1:$I$89,3,0)*0.475*44/12</f>
        <v>8.7554463015378937E-13</v>
      </c>
      <c r="EY118" s="22">
        <f t="shared" si="75"/>
        <v>2.3220562986390614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3.813056537183002E-14</v>
      </c>
      <c r="FG118" s="13">
        <f t="shared" si="101"/>
        <v>6.4086286045526829E-13</v>
      </c>
      <c r="FH118" s="20">
        <f t="shared" si="76"/>
        <v>1.1825802166488628E-12</v>
      </c>
      <c r="FI118" s="59">
        <f t="shared" si="77"/>
        <v>293.33333333333451</v>
      </c>
      <c r="FJ118" s="59">
        <f ca="1">AVERAGE(OFFSET($FI$3,0,0,'Données projet'!$E$16+1,1))-AVERAGE(OFFSET($H$3,0,0,'Données projet'!$E$16+1,1))</f>
        <v>156.63226020379989</v>
      </c>
      <c r="FK118" s="59">
        <f t="shared" si="102"/>
        <v>196.0481096619543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0.82132517753938361</v>
      </c>
      <c r="FS118" s="21">
        <f>EXP(-LN(2)/2)*FS117+(1-EXP(-LN(2)/2))/(LN(2)/2)*FM118*FP118*VLOOKUP('Données projet'!$B$16,Paramètres!$A$1:$I$89,3,0)*0.475*44/12</f>
        <v>1.4588096594438943E-12</v>
      </c>
      <c r="FT118" s="22">
        <f t="shared" si="78"/>
        <v>0.82132517754084244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-4.5474735088646412E-13</v>
      </c>
      <c r="GA118" s="17">
        <f>FZ118*VLOOKUP('Données projet'!$B$17,Paramètres!$A$1:$I$89,3,0)*VLOOKUP('Données projet'!$B$17,Paramètres!$A$1:$I$89,5,0)</f>
        <v>-2.7193891583010558E-13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216.94426559495264</v>
      </c>
      <c r="GF118" s="59">
        <f t="shared" si="104"/>
        <v>225.33715877618704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1.217240102062354</v>
      </c>
      <c r="GN118" s="21">
        <f>EXP(-LN(2)/2)*GN117+(1-EXP(-LN(2)/2))/(LN(2)/2)*GH118*GK118*VLOOKUP('Données projet'!$B$17,Paramètres!$A$1:$I$89,3,0)*0.475*44/12</f>
        <v>3.8151463922971179E-12</v>
      </c>
      <c r="GO118" s="21">
        <f t="shared" si="81"/>
        <v>1.2172401020661692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3.7</v>
      </c>
      <c r="GU118" s="12">
        <f>IF('Données projet'!$A$270&gt;35,GU117+GT118-HC117,IF(A118&lt;'Données projet'!$A$270,$GR$205^A118,IF(A118='Données projet'!$A$270,'Données projet'!$B$270,GU117+GT118-HC117)))</f>
        <v>284.49999999999994</v>
      </c>
      <c r="GV118" s="17">
        <f>GU118*VLOOKUP('Données projet'!$B$18,Paramètres!$A$1:$I$89,3,0)*VLOOKUP('Données projet'!$B$18,Paramètres!$A$1:$I$89,5,0)</f>
        <v>275.16839999999996</v>
      </c>
      <c r="GW118" s="13">
        <f t="shared" si="105"/>
        <v>65.944920834841611</v>
      </c>
      <c r="GX118" s="20">
        <f t="shared" si="82"/>
        <v>594.10570045401585</v>
      </c>
      <c r="GY118" s="59">
        <f t="shared" si="83"/>
        <v>887.43903378734922</v>
      </c>
      <c r="GZ118" s="59">
        <f ca="1">AVERAGE(OFFSET($GY$3,0,0,'Données projet'!$E$18+1,1))-AVERAGE(OFFSET($H$3,0,0,'Données projet'!$E$18+1,1))</f>
        <v>261.22357949323879</v>
      </c>
      <c r="HA118" s="59">
        <f t="shared" si="106"/>
        <v>163.41029152029387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0.31452452633749933</v>
      </c>
      <c r="HI118" s="21">
        <f>EXP(-LN(2)/2)*HI117+(1-EXP(-LN(2)/2))/(LN(2)/2)*HC118*HF118*VLOOKUP('Données projet'!$B$18,Paramètres!$A$1:$I$89,3,0)*0.475*44/12</f>
        <v>1.0637357907073551E-12</v>
      </c>
      <c r="HJ118" s="22">
        <f t="shared" si="84"/>
        <v>0.31452452633856309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237.22177246688199</v>
      </c>
      <c r="T119" s="59">
        <f t="shared" si="88"/>
        <v>149.27472147904302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227.99999999999986</v>
      </c>
      <c r="AJ119" s="13">
        <f>AI119*VLOOKUP('Données projet'!$B$10,Paramètres!$A$1:$I$89,3,0)*VLOOKUP('Données projet'!$B$10,Paramètres!$A$1:$I$89,5,0)</f>
        <v>199.18079999999992</v>
      </c>
      <c r="AK119" s="13">
        <f t="shared" si="89"/>
        <v>49.564089376413683</v>
      </c>
      <c r="AL119" s="20">
        <f t="shared" si="58"/>
        <v>433.23068233058694</v>
      </c>
      <c r="AM119" s="59">
        <f t="shared" si="59"/>
        <v>726.56401566392026</v>
      </c>
      <c r="AN119" s="59">
        <f ca="1">AVERAGE(OFFSET($AM$3,0,0,'Données projet'!$E$10+1,1))-AVERAGE(OFFSET($H$3,0,0,'Données projet'!$E$10+1,1))</f>
        <v>210.07838338464626</v>
      </c>
      <c r="AO119" s="59">
        <f t="shared" si="90"/>
        <v>241.76003724236273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0.9652060061921155</v>
      </c>
      <c r="AV119" s="21">
        <f>EXP(-LN(2)/25)*AV118+(1-EXP(-LN(2)/25))/(LN(2)/25)*Calculateur!AQ119*Calculateur!AS119*VLOOKUP('Données projet'!$B$10,Paramètres!$A$1:$I$89,3,0)*0.475*44/12</f>
        <v>1.2494345859004068</v>
      </c>
      <c r="AW119" s="21">
        <f>EXP(-LN(2)/2)*AW118+(1-EXP(-LN(2)/2))/(LN(2)/2)*AQ119*AT119*VLOOKUP('Données projet'!$B$10,Paramètres!$A$1:$I$89,3,0)*0.475*44/12</f>
        <v>1.8157407420004966E-12</v>
      </c>
      <c r="AX119" s="21">
        <f t="shared" si="60"/>
        <v>2.2146405920943382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6.2527760746888816E-13</v>
      </c>
      <c r="BE119" s="13">
        <f>BD119*VLOOKUP('Données projet'!$B$11,Paramètres!$A$1:$I$89,3,0)*VLOOKUP('Données projet'!$B$11,Paramètres!$A$1:$I$89,5,0)</f>
        <v>3.9017322706058616E-13</v>
      </c>
      <c r="BF119" s="13">
        <f t="shared" si="91"/>
        <v>5.0025007393608908E-12</v>
      </c>
      <c r="BG119" s="20">
        <f t="shared" si="61"/>
        <v>9.3922404915174053E-12</v>
      </c>
      <c r="BH119" s="59">
        <f t="shared" si="62"/>
        <v>293.33333333334269</v>
      </c>
      <c r="BI119" s="59">
        <f ca="1">AVERAGE(OFFSET($BH$3,0,0,'Données projet'!$E$11+1,1))-AVERAGE(OFFSET($H$3,0,0,'Données projet'!$E$11+1,1))</f>
        <v>209.93608079129638</v>
      </c>
      <c r="BJ119" s="59">
        <f t="shared" si="92"/>
        <v>240.15652428700969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1.2662472889817911</v>
      </c>
      <c r="BQ119" s="21">
        <f>EXP(-LN(2)/25)*BQ118+(1-EXP(-LN(2)/25))/(LN(2)/25)*Calculateur!BL119*Calculateur!BN119*VLOOKUP('Données projet'!$B$11,Paramètres!$A$1:$I$89,3,0)*0.475*44/12</f>
        <v>1.9154358457037604</v>
      </c>
      <c r="BR119" s="21">
        <f>EXP(-LN(2)/2)*BR118+(1-EXP(-LN(2)/2))/(LN(2)/2)*BL119*BO119*VLOOKUP('Données projet'!$B$11,Paramètres!$A$1:$I$89,3,0)*0.475*44/12</f>
        <v>2.295429965637948E-12</v>
      </c>
      <c r="BS119" s="22">
        <f t="shared" si="63"/>
        <v>3.1816831346878467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215.23235148064941</v>
      </c>
      <c r="CE119" s="59">
        <f t="shared" si="94"/>
        <v>184.07239726900434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0.57082880018473814</v>
      </c>
      <c r="CL119" s="21">
        <f>EXP(-LN(2)/25)*CL118+(1-EXP(-LN(2)/25))/(LN(2)/25)*Calculateur!CG119*Calculateur!CI119*VLOOKUP('Données projet'!$B$12,Paramètres!$A$1:$I$89,3,0)*0.475*44/12</f>
        <v>0.72381683028873378</v>
      </c>
      <c r="CM119" s="21">
        <f>EXP(-LN(2)/2)*CM118+(1-EXP(-LN(2)/2))/(LN(2)/2)*CG119*CJ119*VLOOKUP('Données projet'!$B$12,Paramètres!$A$1:$I$89,3,0)*0.475*44/12</f>
        <v>1.1177890519657003E-12</v>
      </c>
      <c r="CN119" s="22">
        <f t="shared" si="66"/>
        <v>1.2946456304745897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3.7</v>
      </c>
      <c r="CT119" s="12">
        <f>IF('Données projet'!$A$140&gt;35,CT118+CS119-DB118,IF(A119&lt;'Données projet'!$A$140,$CQ$205^A119,IF(A119='Données projet'!$A$140,'Données projet'!$B$140,CT118+CS119-DB118)))</f>
        <v>288.19999999999993</v>
      </c>
      <c r="CU119" s="17">
        <f>CT119*VLOOKUP('Données projet'!$B$13,Paramètres!$A$1:$I$89,3,0)*VLOOKUP('Données projet'!$B$13,Paramètres!$A$1:$I$89,5,0)</f>
        <v>292.23479999999995</v>
      </c>
      <c r="CV119" s="13">
        <f t="shared" si="95"/>
        <v>69.546103016553758</v>
      </c>
      <c r="CW119" s="20">
        <f t="shared" si="67"/>
        <v>630.10173942049767</v>
      </c>
      <c r="CX119" s="59">
        <f t="shared" si="68"/>
        <v>923.43507275383104</v>
      </c>
      <c r="CY119" s="59">
        <f ca="1">AVERAGE(OFFSET($CX$3,0,0,'Données projet'!$E$13+1,1))-AVERAGE(OFFSET($H$3,0,0,'Données projet'!$E$13+1,1))</f>
        <v>279.20364724206644</v>
      </c>
      <c r="CZ119" s="59">
        <f t="shared" si="96"/>
        <v>173.99850582760712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0.32072660291296506</v>
      </c>
      <c r="DH119" s="21">
        <f>EXP(-LN(2)/2)*DH118+(1-EXP(-LN(2)/2))/(LN(2)/2)*DB119*DE119*VLOOKUP('Données projet'!$B$13,Paramètres!$A$1:$I$89,3,0)*0.475*44/12</f>
        <v>7.8857034540323096E-13</v>
      </c>
      <c r="DI119" s="22">
        <f t="shared" si="69"/>
        <v>0.32072660291375366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3.7</v>
      </c>
      <c r="DO119" s="12">
        <f>IF('Données projet'!$A$166&gt;35,DO118+DN119-DW118,IF(A119&lt;'Données projet'!$A$166,$DL$205^A119,IF(A119='Données projet'!$A$166,'Données projet'!$B$166,DO118+DN119-DW118)))</f>
        <v>288.19999999999993</v>
      </c>
      <c r="DP119" s="17">
        <f>DO119*VLOOKUP('Données projet'!$B$14,Paramètres!$A$1:$I$89,3,0)*VLOOKUP('Données projet'!$B$14,Paramètres!$A$1:$I$89,5,0)</f>
        <v>301.22663999999997</v>
      </c>
      <c r="DQ119" s="13">
        <f t="shared" si="97"/>
        <v>71.433553234643639</v>
      </c>
      <c r="DR119" s="20">
        <f t="shared" si="70"/>
        <v>649.04983655033755</v>
      </c>
      <c r="DS119" s="59">
        <f t="shared" si="71"/>
        <v>942.38316988367092</v>
      </c>
      <c r="DT119" s="59">
        <f ca="1">AVERAGE(OFFSET($DS$3,0,0,'Données projet'!$E$14+1,1))-AVERAGE(OFFSET($H$3,0,0,'Données projet'!$E$14+1,1))</f>
        <v>291.18074901939718</v>
      </c>
      <c r="DU119" s="59">
        <f t="shared" si="98"/>
        <v>181.05123751753774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0.3305951137718256</v>
      </c>
      <c r="EC119" s="21">
        <f>EXP(-LN(2)/2)*EC118+(1-EXP(-LN(2)/2))/(LN(2)/2)*DW119*DZ119*VLOOKUP('Données projet'!$B$14,Paramètres!$A$1:$I$89,3,0)*0.475*44/12</f>
        <v>8.1283404833871578E-13</v>
      </c>
      <c r="ED119" s="22">
        <f t="shared" si="72"/>
        <v>0.33059511377263845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168.08890945052406</v>
      </c>
      <c r="EP119" s="59">
        <f t="shared" si="100"/>
        <v>182.52462557642343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1.1312959030347278</v>
      </c>
      <c r="EW119" s="21">
        <f>EXP(-LN(2)/25)*EW118+(1-EXP(-LN(2)/25))/(LN(2)/25)*Calculateur!ER119*Calculateur!ET119*VLOOKUP('Données projet'!$B$15,Paramètres!$A$1:$I$89,3,0)*0.475*44/12</f>
        <v>1.1361900078812266</v>
      </c>
      <c r="EX119" s="21">
        <f>EXP(-LN(2)/2)*EX118+(1-EXP(-LN(2)/2))/(LN(2)/2)*ER119*EU119*VLOOKUP('Données projet'!$B$15,Paramètres!$A$1:$I$89,3,0)*0.475*44/12</f>
        <v>6.1910354521321221E-13</v>
      </c>
      <c r="EY119" s="22">
        <f t="shared" si="75"/>
        <v>2.2674859109165735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3.813056537183002E-14</v>
      </c>
      <c r="FG119" s="13">
        <f t="shared" si="101"/>
        <v>6.4086286045526829E-13</v>
      </c>
      <c r="FH119" s="20">
        <f t="shared" si="76"/>
        <v>1.1825802166488628E-12</v>
      </c>
      <c r="FI119" s="59">
        <f t="shared" si="77"/>
        <v>293.33333333333451</v>
      </c>
      <c r="FJ119" s="59">
        <f ca="1">AVERAGE(OFFSET($FI$3,0,0,'Données projet'!$E$16+1,1))-AVERAGE(OFFSET($H$3,0,0,'Données projet'!$E$16+1,1))</f>
        <v>156.63226020379989</v>
      </c>
      <c r="FK119" s="59">
        <f t="shared" si="102"/>
        <v>196.0481096619543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0.79886599736795527</v>
      </c>
      <c r="FS119" s="21">
        <f>EXP(-LN(2)/2)*FS118+(1-EXP(-LN(2)/2))/(LN(2)/2)*FM119*FP119*VLOOKUP('Données projet'!$B$16,Paramètres!$A$1:$I$89,3,0)*0.475*44/12</f>
        <v>1.0315342026532157E-12</v>
      </c>
      <c r="FT119" s="22">
        <f t="shared" si="78"/>
        <v>0.79886599736898678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-4.5474735088646412E-13</v>
      </c>
      <c r="GA119" s="17">
        <f>FZ119*VLOOKUP('Données projet'!$B$17,Paramètres!$A$1:$I$89,3,0)*VLOOKUP('Données projet'!$B$17,Paramètres!$A$1:$I$89,5,0)</f>
        <v>-2.7193891583010558E-13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216.94426559495264</v>
      </c>
      <c r="GF119" s="59">
        <f t="shared" si="104"/>
        <v>225.33715877618704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1.1839546074595839</v>
      </c>
      <c r="GN119" s="21">
        <f>EXP(-LN(2)/2)*GN118+(1-EXP(-LN(2)/2))/(LN(2)/2)*GH119*GK119*VLOOKUP('Données projet'!$B$17,Paramètres!$A$1:$I$89,3,0)*0.475*44/12</f>
        <v>2.6977158852126844E-12</v>
      </c>
      <c r="GO119" s="21">
        <f t="shared" si="81"/>
        <v>1.1839546074622815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3.7</v>
      </c>
      <c r="GU119" s="12">
        <f>IF('Données projet'!$A$270&gt;35,GU118+GT119-HC118,IF(A119&lt;'Données projet'!$A$270,$GR$205^A119,IF(A119='Données projet'!$A$270,'Données projet'!$B$270,GU118+GT119-HC118)))</f>
        <v>288.19999999999993</v>
      </c>
      <c r="GV119" s="17">
        <f>GU119*VLOOKUP('Données projet'!$B$18,Paramètres!$A$1:$I$89,3,0)*VLOOKUP('Données projet'!$B$18,Paramètres!$A$1:$I$89,5,0)</f>
        <v>278.74703999999997</v>
      </c>
      <c r="GW119" s="13">
        <f t="shared" si="105"/>
        <v>66.702153339553263</v>
      </c>
      <c r="GX119" s="20">
        <f t="shared" si="82"/>
        <v>601.65734506638853</v>
      </c>
      <c r="GY119" s="59">
        <f t="shared" si="83"/>
        <v>894.9906783997219</v>
      </c>
      <c r="GZ119" s="59">
        <f ca="1">AVERAGE(OFFSET($GY$3,0,0,'Données projet'!$E$18+1,1))-AVERAGE(OFFSET($H$3,0,0,'Données projet'!$E$18+1,1))</f>
        <v>261.22357949323879</v>
      </c>
      <c r="HA119" s="59">
        <f t="shared" si="106"/>
        <v>163.41029152029387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0.30592383662467443</v>
      </c>
      <c r="HI119" s="21">
        <f>EXP(-LN(2)/2)*HI118+(1-EXP(-LN(2)/2))/(LN(2)/2)*HC119*HF119*VLOOKUP('Données projet'!$B$18,Paramètres!$A$1:$I$89,3,0)*0.475*44/12</f>
        <v>7.5217479100000489E-13</v>
      </c>
      <c r="HJ119" s="22">
        <f t="shared" si="84"/>
        <v>0.3059238366254266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237.22177246688199</v>
      </c>
      <c r="T120" s="59">
        <f t="shared" si="88"/>
        <v>149.27472147904302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227.99999999999986</v>
      </c>
      <c r="AJ120" s="13">
        <f>AI120*VLOOKUP('Données projet'!$B$10,Paramètres!$A$1:$I$89,3,0)*VLOOKUP('Données projet'!$B$10,Paramètres!$A$1:$I$89,5,0)</f>
        <v>199.18079999999992</v>
      </c>
      <c r="AK120" s="13">
        <f t="shared" si="89"/>
        <v>49.564089376413683</v>
      </c>
      <c r="AL120" s="20">
        <f t="shared" si="58"/>
        <v>433.23068233058694</v>
      </c>
      <c r="AM120" s="59">
        <f t="shared" si="59"/>
        <v>726.56401566392026</v>
      </c>
      <c r="AN120" s="59">
        <f ca="1">AVERAGE(OFFSET($AM$3,0,0,'Données projet'!$E$10+1,1))-AVERAGE(OFFSET($H$3,0,0,'Données projet'!$E$10+1,1))</f>
        <v>210.07838338464626</v>
      </c>
      <c r="AO120" s="59">
        <f t="shared" si="90"/>
        <v>241.76003724236273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0.94627890512822088</v>
      </c>
      <c r="AV120" s="21">
        <f>EXP(-LN(2)/25)*AV119+(1-EXP(-LN(2)/25))/(LN(2)/25)*Calculateur!AQ120*Calculateur!AS120*VLOOKUP('Données projet'!$B$10,Paramètres!$A$1:$I$89,3,0)*0.475*44/12</f>
        <v>1.2152687314440509</v>
      </c>
      <c r="AW120" s="21">
        <f>EXP(-LN(2)/2)*AW119+(1-EXP(-LN(2)/2))/(LN(2)/2)*AQ120*AT120*VLOOKUP('Données projet'!$B$10,Paramètres!$A$1:$I$89,3,0)*0.475*44/12</f>
        <v>1.2839225915452447E-12</v>
      </c>
      <c r="AX120" s="21">
        <f t="shared" si="60"/>
        <v>2.1615476365735558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6.2527760746888816E-13</v>
      </c>
      <c r="BE120" s="13">
        <f>BD120*VLOOKUP('Données projet'!$B$11,Paramètres!$A$1:$I$89,3,0)*VLOOKUP('Données projet'!$B$11,Paramètres!$A$1:$I$89,5,0)</f>
        <v>3.9017322706058616E-13</v>
      </c>
      <c r="BF120" s="13">
        <f t="shared" si="91"/>
        <v>5.0025007393608908E-12</v>
      </c>
      <c r="BG120" s="20">
        <f t="shared" si="61"/>
        <v>9.3922404915174053E-12</v>
      </c>
      <c r="BH120" s="59">
        <f t="shared" si="62"/>
        <v>293.33333333334269</v>
      </c>
      <c r="BI120" s="59">
        <f ca="1">AVERAGE(OFFSET($BH$3,0,0,'Données projet'!$E$11+1,1))-AVERAGE(OFFSET($H$3,0,0,'Données projet'!$E$11+1,1))</f>
        <v>209.93608079129638</v>
      </c>
      <c r="BJ120" s="59">
        <f t="shared" si="92"/>
        <v>240.15652428700969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1.2414169519794427</v>
      </c>
      <c r="BQ120" s="21">
        <f>EXP(-LN(2)/25)*BQ119+(1-EXP(-LN(2)/25))/(LN(2)/25)*Calculateur!BL120*Calculateur!BN120*VLOOKUP('Données projet'!$B$11,Paramètres!$A$1:$I$89,3,0)*0.475*44/12</f>
        <v>1.8630581517745977</v>
      </c>
      <c r="BR120" s="21">
        <f>EXP(-LN(2)/2)*BR119+(1-EXP(-LN(2)/2))/(LN(2)/2)*BL120*BO120*VLOOKUP('Données projet'!$B$11,Paramètres!$A$1:$I$89,3,0)*0.475*44/12</f>
        <v>1.6231140944413969E-12</v>
      </c>
      <c r="BS120" s="22">
        <f t="shared" si="63"/>
        <v>3.1044751037556635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215.23235148064941</v>
      </c>
      <c r="CE120" s="59">
        <f t="shared" si="94"/>
        <v>184.07239726900434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0.55963519558430452</v>
      </c>
      <c r="CL120" s="21">
        <f>EXP(-LN(2)/25)*CL119+(1-EXP(-LN(2)/25))/(LN(2)/25)*Calculateur!CG120*Calculateur!CI120*VLOOKUP('Données projet'!$B$12,Paramètres!$A$1:$I$89,3,0)*0.475*44/12</f>
        <v>0.70402402100061556</v>
      </c>
      <c r="CM120" s="21">
        <f>EXP(-LN(2)/2)*CM119+(1-EXP(-LN(2)/2))/(LN(2)/2)*CG120*CJ120*VLOOKUP('Données projet'!$B$12,Paramètres!$A$1:$I$89,3,0)*0.475*44/12</f>
        <v>7.9039621858102885E-13</v>
      </c>
      <c r="CN120" s="22">
        <f t="shared" si="66"/>
        <v>1.2636592165857106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3.7</v>
      </c>
      <c r="CT120" s="12">
        <f>IF('Données projet'!$A$140&gt;35,CT119+CS120-DB119,IF(A120&lt;'Données projet'!$A$140,$CQ$205^A120,IF(A120='Données projet'!$A$140,'Données projet'!$B$140,CT119+CS120-DB119)))</f>
        <v>291.89999999999992</v>
      </c>
      <c r="CU120" s="17">
        <f>CT120*VLOOKUP('Données projet'!$B$13,Paramètres!$A$1:$I$89,3,0)*VLOOKUP('Données projet'!$B$13,Paramètres!$A$1:$I$89,5,0)</f>
        <v>295.98659999999995</v>
      </c>
      <c r="CV120" s="13">
        <f t="shared" si="95"/>
        <v>70.334442310004732</v>
      </c>
      <c r="CW120" s="20">
        <f t="shared" si="67"/>
        <v>638.00914868992481</v>
      </c>
      <c r="CX120" s="59">
        <f t="shared" si="68"/>
        <v>931.34248202325807</v>
      </c>
      <c r="CY120" s="59">
        <f ca="1">AVERAGE(OFFSET($CX$3,0,0,'Données projet'!$E$13+1,1))-AVERAGE(OFFSET($H$3,0,0,'Données projet'!$E$13+1,1))</f>
        <v>279.20364724206644</v>
      </c>
      <c r="CZ120" s="59">
        <f t="shared" si="96"/>
        <v>173.99850582760712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0.31195631709003102</v>
      </c>
      <c r="DH120" s="21">
        <f>EXP(-LN(2)/2)*DH119+(1-EXP(-LN(2)/2))/(LN(2)/2)*DB120*DE120*VLOOKUP('Données projet'!$B$13,Paramètres!$A$1:$I$89,3,0)*0.475*44/12</f>
        <v>5.5760343867724263E-13</v>
      </c>
      <c r="DI120" s="22">
        <f t="shared" si="69"/>
        <v>0.31195631709058863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3.7</v>
      </c>
      <c r="DO120" s="12">
        <f>IF('Données projet'!$A$166&gt;35,DO119+DN120-DW119,IF(A120&lt;'Données projet'!$A$166,$DL$205^A120,IF(A120='Données projet'!$A$166,'Données projet'!$B$166,DO119+DN120-DW119)))</f>
        <v>291.89999999999992</v>
      </c>
      <c r="DP120" s="17">
        <f>DO120*VLOOKUP('Données projet'!$B$14,Paramètres!$A$1:$I$89,3,0)*VLOOKUP('Données projet'!$B$14,Paramètres!$A$1:$I$89,5,0)</f>
        <v>305.09387999999996</v>
      </c>
      <c r="DQ120" s="13">
        <f t="shared" si="97"/>
        <v>72.24328770491708</v>
      </c>
      <c r="DR120" s="20">
        <f t="shared" si="70"/>
        <v>657.19556708606376</v>
      </c>
      <c r="DS120" s="59">
        <f t="shared" si="71"/>
        <v>950.52890041939713</v>
      </c>
      <c r="DT120" s="59">
        <f ca="1">AVERAGE(OFFSET($DS$3,0,0,'Données projet'!$E$14+1,1))-AVERAGE(OFFSET($H$3,0,0,'Données projet'!$E$14+1,1))</f>
        <v>291.18074901939718</v>
      </c>
      <c r="DU120" s="59">
        <f t="shared" si="98"/>
        <v>181.05123751753774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0.32155497300049357</v>
      </c>
      <c r="EC120" s="21">
        <f>EXP(-LN(2)/2)*EC119+(1-EXP(-LN(2)/2))/(LN(2)/2)*DW120*DZ120*VLOOKUP('Données projet'!$B$14,Paramètres!$A$1:$I$89,3,0)*0.475*44/12</f>
        <v>5.7476046755961988E-13</v>
      </c>
      <c r="ED120" s="22">
        <f t="shared" si="72"/>
        <v>0.32155497300106833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168.08890945052406</v>
      </c>
      <c r="EP120" s="59">
        <f t="shared" si="100"/>
        <v>182.52462557642343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1.1091118803985835</v>
      </c>
      <c r="EW120" s="21">
        <f>EXP(-LN(2)/25)*EW119+(1-EXP(-LN(2)/25))/(LN(2)/25)*Calculateur!ER120*Calculateur!ET120*VLOOKUP('Données projet'!$B$15,Paramètres!$A$1:$I$89,3,0)*0.475*44/12</f>
        <v>1.1051208323660788</v>
      </c>
      <c r="EX120" s="21">
        <f>EXP(-LN(2)/2)*EX119+(1-EXP(-LN(2)/2))/(LN(2)/2)*ER120*EU120*VLOOKUP('Données projet'!$B$15,Paramètres!$A$1:$I$89,3,0)*0.475*44/12</f>
        <v>4.3777231507689468E-13</v>
      </c>
      <c r="EY120" s="22">
        <f t="shared" si="75"/>
        <v>2.2142327127651003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3.813056537183002E-14</v>
      </c>
      <c r="FG120" s="13">
        <f t="shared" si="101"/>
        <v>6.4086286045526829E-13</v>
      </c>
      <c r="FH120" s="20">
        <f t="shared" si="76"/>
        <v>1.1825802166488628E-12</v>
      </c>
      <c r="FI120" s="59">
        <f t="shared" si="77"/>
        <v>293.33333333333451</v>
      </c>
      <c r="FJ120" s="59">
        <f ca="1">AVERAGE(OFFSET($FI$3,0,0,'Données projet'!$E$16+1,1))-AVERAGE(OFFSET($H$3,0,0,'Données projet'!$E$16+1,1))</f>
        <v>156.63226020379989</v>
      </c>
      <c r="FK120" s="59">
        <f t="shared" si="102"/>
        <v>196.0481096619543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0.77702096465939152</v>
      </c>
      <c r="FS120" s="21">
        <f>EXP(-LN(2)/2)*FS119+(1-EXP(-LN(2)/2))/(LN(2)/2)*FM120*FP120*VLOOKUP('Données projet'!$B$16,Paramètres!$A$1:$I$89,3,0)*0.475*44/12</f>
        <v>7.2940482972194716E-13</v>
      </c>
      <c r="FT120" s="22">
        <f t="shared" si="78"/>
        <v>0.77702096466012094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-4.5474735088646412E-13</v>
      </c>
      <c r="GA120" s="17">
        <f>FZ120*VLOOKUP('Données projet'!$B$17,Paramètres!$A$1:$I$89,3,0)*VLOOKUP('Données projet'!$B$17,Paramètres!$A$1:$I$89,5,0)</f>
        <v>-2.7193891583010558E-13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216.94426559495264</v>
      </c>
      <c r="GF120" s="59">
        <f t="shared" si="104"/>
        <v>225.33715877618704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1.1515793064571347</v>
      </c>
      <c r="GN120" s="21">
        <f>EXP(-LN(2)/2)*GN119+(1-EXP(-LN(2)/2))/(LN(2)/2)*GH120*GK120*VLOOKUP('Données projet'!$B$17,Paramètres!$A$1:$I$89,3,0)*0.475*44/12</f>
        <v>1.907573196148559E-12</v>
      </c>
      <c r="GO120" s="21">
        <f t="shared" si="81"/>
        <v>1.1515793064590423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3.7</v>
      </c>
      <c r="GU120" s="12">
        <f>IF('Données projet'!$A$270&gt;35,GU119+GT120-HC119,IF(A120&lt;'Données projet'!$A$270,$GR$205^A120,IF(A120='Données projet'!$A$270,'Données projet'!$B$270,GU119+GT120-HC119)))</f>
        <v>291.89999999999992</v>
      </c>
      <c r="GV120" s="17">
        <f>GU120*VLOOKUP('Données projet'!$B$18,Paramètres!$A$1:$I$89,3,0)*VLOOKUP('Données projet'!$B$18,Paramètres!$A$1:$I$89,5,0)</f>
        <v>282.32567999999992</v>
      </c>
      <c r="GW120" s="13">
        <f t="shared" si="105"/>
        <v>67.458255064230045</v>
      </c>
      <c r="GX120" s="20">
        <f t="shared" si="82"/>
        <v>609.20702023686715</v>
      </c>
      <c r="GY120" s="59">
        <f t="shared" si="83"/>
        <v>902.54035357020052</v>
      </c>
      <c r="GZ120" s="59">
        <f ca="1">AVERAGE(OFFSET($GY$3,0,0,'Données projet'!$E$18+1,1))-AVERAGE(OFFSET($H$3,0,0,'Données projet'!$E$18+1,1))</f>
        <v>261.22357949323879</v>
      </c>
      <c r="HA120" s="59">
        <f t="shared" si="106"/>
        <v>163.41029152029387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0.29755833322433733</v>
      </c>
      <c r="HI120" s="21">
        <f>EXP(-LN(2)/2)*HI119+(1-EXP(-LN(2)/2))/(LN(2)/2)*HC120*HF120*VLOOKUP('Données projet'!$B$18,Paramètres!$A$1:$I$89,3,0)*0.475*44/12</f>
        <v>5.3186789535367756E-13</v>
      </c>
      <c r="HJ120" s="22">
        <f t="shared" si="84"/>
        <v>0.29755833322486919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237.22177246688199</v>
      </c>
      <c r="T121" s="59">
        <f t="shared" si="88"/>
        <v>149.27472147904302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227.99999999999986</v>
      </c>
      <c r="AJ121" s="13">
        <f>AI121*VLOOKUP('Données projet'!$B$10,Paramètres!$A$1:$I$89,3,0)*VLOOKUP('Données projet'!$B$10,Paramètres!$A$1:$I$89,5,0)</f>
        <v>199.18079999999992</v>
      </c>
      <c r="AK121" s="13">
        <f t="shared" si="89"/>
        <v>49.564089376413683</v>
      </c>
      <c r="AL121" s="20">
        <f t="shared" si="58"/>
        <v>433.23068233058694</v>
      </c>
      <c r="AM121" s="59">
        <f t="shared" si="59"/>
        <v>726.56401566392026</v>
      </c>
      <c r="AN121" s="59">
        <f ca="1">AVERAGE(OFFSET($AM$3,0,0,'Données projet'!$E$10+1,1))-AVERAGE(OFFSET($H$3,0,0,'Données projet'!$E$10+1,1))</f>
        <v>210.07838338464626</v>
      </c>
      <c r="AO121" s="59">
        <f t="shared" si="90"/>
        <v>241.76003724236273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0.92772295297179752</v>
      </c>
      <c r="AV121" s="21">
        <f>EXP(-LN(2)/25)*AV120+(1-EXP(-LN(2)/25))/(LN(2)/25)*Calculateur!AQ121*Calculateur!AS121*VLOOKUP('Données projet'!$B$10,Paramètres!$A$1:$I$89,3,0)*0.475*44/12</f>
        <v>1.1820371440745083</v>
      </c>
      <c r="AW121" s="21">
        <f>EXP(-LN(2)/2)*AW120+(1-EXP(-LN(2)/2))/(LN(2)/2)*AQ121*AT121*VLOOKUP('Données projet'!$B$10,Paramètres!$A$1:$I$89,3,0)*0.475*44/12</f>
        <v>9.0787037100024849E-13</v>
      </c>
      <c r="AX121" s="21">
        <f t="shared" si="60"/>
        <v>2.1097600970472135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6.2527760746888816E-13</v>
      </c>
      <c r="BE121" s="13">
        <f>BD121*VLOOKUP('Données projet'!$B$11,Paramètres!$A$1:$I$89,3,0)*VLOOKUP('Données projet'!$B$11,Paramètres!$A$1:$I$89,5,0)</f>
        <v>3.9017322706058616E-13</v>
      </c>
      <c r="BF121" s="13">
        <f t="shared" si="91"/>
        <v>5.0025007393608908E-12</v>
      </c>
      <c r="BG121" s="20">
        <f t="shared" si="61"/>
        <v>9.3922404915174053E-12</v>
      </c>
      <c r="BH121" s="59">
        <f t="shared" si="62"/>
        <v>293.33333333334269</v>
      </c>
      <c r="BI121" s="59">
        <f ca="1">AVERAGE(OFFSET($BH$3,0,0,'Données projet'!$E$11+1,1))-AVERAGE(OFFSET($H$3,0,0,'Données projet'!$E$11+1,1))</f>
        <v>209.93608079129638</v>
      </c>
      <c r="BJ121" s="59">
        <f t="shared" si="92"/>
        <v>240.15652428700969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1.2170735227407004</v>
      </c>
      <c r="BQ121" s="21">
        <f>EXP(-LN(2)/25)*BQ120+(1-EXP(-LN(2)/25))/(LN(2)/25)*Calculateur!BL121*Calculateur!BN121*VLOOKUP('Données projet'!$B$11,Paramètres!$A$1:$I$89,3,0)*0.475*44/12</f>
        <v>1.8121127286403511</v>
      </c>
      <c r="BR121" s="21">
        <f>EXP(-LN(2)/2)*BR120+(1-EXP(-LN(2)/2))/(LN(2)/2)*BL121*BO121*VLOOKUP('Données projet'!$B$11,Paramètres!$A$1:$I$89,3,0)*0.475*44/12</f>
        <v>1.147714982818974E-12</v>
      </c>
      <c r="BS121" s="22">
        <f t="shared" si="63"/>
        <v>3.0291862513821988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215.23235148064941</v>
      </c>
      <c r="CE121" s="59">
        <f t="shared" si="94"/>
        <v>184.07239726900434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0.54866109074266067</v>
      </c>
      <c r="CL121" s="21">
        <f>EXP(-LN(2)/25)*CL120+(1-EXP(-LN(2)/25))/(LN(2)/25)*Calculateur!CG121*Calculateur!CI121*VLOOKUP('Données projet'!$B$12,Paramètres!$A$1:$I$89,3,0)*0.475*44/12</f>
        <v>0.68477244712333951</v>
      </c>
      <c r="CM121" s="21">
        <f>EXP(-LN(2)/2)*CM120+(1-EXP(-LN(2)/2))/(LN(2)/2)*CG121*CJ121*VLOOKUP('Données projet'!$B$12,Paramètres!$A$1:$I$89,3,0)*0.475*44/12</f>
        <v>5.5889452598285015E-13</v>
      </c>
      <c r="CN121" s="22">
        <f t="shared" si="66"/>
        <v>1.2334335378665591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3.7</v>
      </c>
      <c r="CT121" s="12">
        <f>IF('Données projet'!$A$140&gt;35,CT120+CS121-DB120,IF(A121&lt;'Données projet'!$A$140,$CQ$205^A121,IF(A121='Données projet'!$A$140,'Données projet'!$B$140,CT120+CS121-DB120)))</f>
        <v>295.59999999999991</v>
      </c>
      <c r="CU121" s="17">
        <f>CT121*VLOOKUP('Données projet'!$B$13,Paramètres!$A$1:$I$89,3,0)*VLOOKUP('Données projet'!$B$13,Paramètres!$A$1:$I$89,5,0)</f>
        <v>299.73839999999996</v>
      </c>
      <c r="CV121" s="13">
        <f t="shared" si="95"/>
        <v>71.12161928339448</v>
      </c>
      <c r="CW121" s="20">
        <f t="shared" si="67"/>
        <v>645.91453358524529</v>
      </c>
      <c r="CX121" s="59">
        <f t="shared" si="68"/>
        <v>939.24786691857867</v>
      </c>
      <c r="CY121" s="59">
        <f ca="1">AVERAGE(OFFSET($CX$3,0,0,'Données projet'!$E$13+1,1))-AVERAGE(OFFSET($H$3,0,0,'Données projet'!$E$13+1,1))</f>
        <v>279.20364724206644</v>
      </c>
      <c r="CZ121" s="59">
        <f t="shared" si="96"/>
        <v>173.99850582760712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0.3034258551941344</v>
      </c>
      <c r="DH121" s="21">
        <f>EXP(-LN(2)/2)*DH120+(1-EXP(-LN(2)/2))/(LN(2)/2)*DB121*DE121*VLOOKUP('Données projet'!$B$13,Paramètres!$A$1:$I$89,3,0)*0.475*44/12</f>
        <v>3.9428517270161548E-13</v>
      </c>
      <c r="DI121" s="22">
        <f t="shared" si="69"/>
        <v>0.30342585519452869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3.7</v>
      </c>
      <c r="DO121" s="12">
        <f>IF('Données projet'!$A$166&gt;35,DO120+DN121-DW120,IF(A121&lt;'Données projet'!$A$166,$DL$205^A121,IF(A121='Données projet'!$A$166,'Données projet'!$B$166,DO120+DN121-DW120)))</f>
        <v>295.59999999999991</v>
      </c>
      <c r="DP121" s="17">
        <f>DO121*VLOOKUP('Données projet'!$B$14,Paramètres!$A$1:$I$89,3,0)*VLOOKUP('Données projet'!$B$14,Paramètres!$A$1:$I$89,5,0)</f>
        <v>308.96111999999994</v>
      </c>
      <c r="DQ121" s="13">
        <f t="shared" si="97"/>
        <v>73.051828310281181</v>
      </c>
      <c r="DR121" s="20">
        <f t="shared" si="70"/>
        <v>665.33921830707288</v>
      </c>
      <c r="DS121" s="59">
        <f t="shared" si="71"/>
        <v>958.67255164040625</v>
      </c>
      <c r="DT121" s="59">
        <f ca="1">AVERAGE(OFFSET($DS$3,0,0,'Données projet'!$E$14+1,1))-AVERAGE(OFFSET($H$3,0,0,'Données projet'!$E$14+1,1))</f>
        <v>291.18074901939718</v>
      </c>
      <c r="DU121" s="59">
        <f t="shared" si="98"/>
        <v>181.05123751753774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0.31276203535395397</v>
      </c>
      <c r="EC121" s="21">
        <f>EXP(-LN(2)/2)*EC120+(1-EXP(-LN(2)/2))/(LN(2)/2)*DW121*DZ121*VLOOKUP('Données projet'!$B$14,Paramètres!$A$1:$I$89,3,0)*0.475*44/12</f>
        <v>4.0641702416935789E-13</v>
      </c>
      <c r="ED121" s="22">
        <f t="shared" si="72"/>
        <v>0.31276203535436037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168.08890945052406</v>
      </c>
      <c r="EP121" s="59">
        <f t="shared" si="100"/>
        <v>182.52462557642343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1.0873628729154163</v>
      </c>
      <c r="EW121" s="21">
        <f>EXP(-LN(2)/25)*EW120+(1-EXP(-LN(2)/25))/(LN(2)/25)*Calculateur!ER121*Calculateur!ET121*VLOOKUP('Données projet'!$B$15,Paramètres!$A$1:$I$89,3,0)*0.475*44/12</f>
        <v>1.0749012450892497</v>
      </c>
      <c r="EX121" s="21">
        <f>EXP(-LN(2)/2)*EX120+(1-EXP(-LN(2)/2))/(LN(2)/2)*ER121*EU121*VLOOKUP('Données projet'!$B$15,Paramètres!$A$1:$I$89,3,0)*0.475*44/12</f>
        <v>3.095517726066061E-13</v>
      </c>
      <c r="EY121" s="22">
        <f t="shared" si="75"/>
        <v>2.1622641180049755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3.813056537183002E-14</v>
      </c>
      <c r="FG121" s="13">
        <f t="shared" si="101"/>
        <v>6.4086286045526829E-13</v>
      </c>
      <c r="FH121" s="20">
        <f t="shared" si="76"/>
        <v>1.1825802166488628E-12</v>
      </c>
      <c r="FI121" s="59">
        <f t="shared" si="77"/>
        <v>293.33333333333451</v>
      </c>
      <c r="FJ121" s="59">
        <f ca="1">AVERAGE(OFFSET($FI$3,0,0,'Données projet'!$E$16+1,1))-AVERAGE(OFFSET($H$3,0,0,'Données projet'!$E$16+1,1))</f>
        <v>156.63226020379989</v>
      </c>
      <c r="FK121" s="59">
        <f t="shared" si="102"/>
        <v>196.0481096619543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0.75577328551902379</v>
      </c>
      <c r="FS121" s="21">
        <f>EXP(-LN(2)/2)*FS120+(1-EXP(-LN(2)/2))/(LN(2)/2)*FM121*FP121*VLOOKUP('Données projet'!$B$16,Paramètres!$A$1:$I$89,3,0)*0.475*44/12</f>
        <v>5.1576710132660785E-13</v>
      </c>
      <c r="FT121" s="22">
        <f t="shared" si="78"/>
        <v>0.75577328551953959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-4.5474735088646412E-13</v>
      </c>
      <c r="GA121" s="17">
        <f>FZ121*VLOOKUP('Données projet'!$B$17,Paramètres!$A$1:$I$89,3,0)*VLOOKUP('Données projet'!$B$17,Paramètres!$A$1:$I$89,5,0)</f>
        <v>-2.7193891583010558E-13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216.94426559495264</v>
      </c>
      <c r="GF121" s="59">
        <f t="shared" si="104"/>
        <v>225.33715877618704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1.1200893097631406</v>
      </c>
      <c r="GN121" s="21">
        <f>EXP(-LN(2)/2)*GN120+(1-EXP(-LN(2)/2))/(LN(2)/2)*GH121*GK121*VLOOKUP('Données projet'!$B$17,Paramètres!$A$1:$I$89,3,0)*0.475*44/12</f>
        <v>1.3488579426063422E-12</v>
      </c>
      <c r="GO121" s="21">
        <f t="shared" si="81"/>
        <v>1.1200893097644895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3.7</v>
      </c>
      <c r="GU121" s="12">
        <f>IF('Données projet'!$A$270&gt;35,GU120+GT121-HC120,IF(A121&lt;'Données projet'!$A$270,$GR$205^A121,IF(A121='Données projet'!$A$270,'Données projet'!$B$270,GU120+GT121-HC120)))</f>
        <v>295.59999999999991</v>
      </c>
      <c r="GV121" s="17">
        <f>GU121*VLOOKUP('Données projet'!$B$18,Paramètres!$A$1:$I$89,3,0)*VLOOKUP('Données projet'!$B$18,Paramètres!$A$1:$I$89,5,0)</f>
        <v>285.90431999999993</v>
      </c>
      <c r="GW121" s="13">
        <f t="shared" si="105"/>
        <v>68.21324199961451</v>
      </c>
      <c r="GX121" s="20">
        <f t="shared" si="82"/>
        <v>616.75475381599517</v>
      </c>
      <c r="GY121" s="59">
        <f t="shared" si="83"/>
        <v>910.08808714932843</v>
      </c>
      <c r="GZ121" s="59">
        <f ca="1">AVERAGE(OFFSET($GY$3,0,0,'Données projet'!$E$18+1,1))-AVERAGE(OFFSET($H$3,0,0,'Données projet'!$E$18+1,1))</f>
        <v>261.22357949323879</v>
      </c>
      <c r="HA121" s="59">
        <f t="shared" si="106"/>
        <v>163.41029152029387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0.28942158495440518</v>
      </c>
      <c r="HI121" s="21">
        <f>EXP(-LN(2)/2)*HI120+(1-EXP(-LN(2)/2))/(LN(2)/2)*HC121*HF121*VLOOKUP('Données projet'!$B$18,Paramètres!$A$1:$I$89,3,0)*0.475*44/12</f>
        <v>3.7608739550000244E-13</v>
      </c>
      <c r="HJ121" s="22">
        <f t="shared" si="84"/>
        <v>0.28942158495478126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237.22177246688199</v>
      </c>
      <c r="T122" s="59">
        <f t="shared" si="88"/>
        <v>149.27472147904302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227.99999999999986</v>
      </c>
      <c r="AJ122" s="13">
        <f>AI122*VLOOKUP('Données projet'!$B$10,Paramètres!$A$1:$I$89,3,0)*VLOOKUP('Données projet'!$B$10,Paramètres!$A$1:$I$89,5,0)</f>
        <v>199.18079999999992</v>
      </c>
      <c r="AK122" s="13">
        <f t="shared" si="89"/>
        <v>49.564089376413683</v>
      </c>
      <c r="AL122" s="20">
        <f t="shared" si="58"/>
        <v>433.23068233058694</v>
      </c>
      <c r="AM122" s="59">
        <f t="shared" si="59"/>
        <v>726.56401566392026</v>
      </c>
      <c r="AN122" s="59">
        <f ca="1">AVERAGE(OFFSET($AM$3,0,0,'Données projet'!$E$10+1,1))-AVERAGE(OFFSET($H$3,0,0,'Données projet'!$E$10+1,1))</f>
        <v>210.07838338464626</v>
      </c>
      <c r="AO122" s="59">
        <f t="shared" si="90"/>
        <v>241.76003724236273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0.90953087171914837</v>
      </c>
      <c r="AV122" s="21">
        <f>EXP(-LN(2)/25)*AV121+(1-EXP(-LN(2)/25))/(LN(2)/25)*Calculateur!AQ122*Calculateur!AS122*VLOOKUP('Données projet'!$B$10,Paramètres!$A$1:$I$89,3,0)*0.475*44/12</f>
        <v>1.149714276209159</v>
      </c>
      <c r="AW122" s="21">
        <f>EXP(-LN(2)/2)*AW121+(1-EXP(-LN(2)/2))/(LN(2)/2)*AQ122*AT122*VLOOKUP('Données projet'!$B$10,Paramètres!$A$1:$I$89,3,0)*0.475*44/12</f>
        <v>6.4196129577262246E-13</v>
      </c>
      <c r="AX122" s="21">
        <f t="shared" si="60"/>
        <v>2.0592451479289497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6.2527760746888816E-13</v>
      </c>
      <c r="BE122" s="13">
        <f>BD122*VLOOKUP('Données projet'!$B$11,Paramètres!$A$1:$I$89,3,0)*VLOOKUP('Données projet'!$B$11,Paramètres!$A$1:$I$89,5,0)</f>
        <v>3.9017322706058616E-13</v>
      </c>
      <c r="BF122" s="13">
        <f t="shared" si="91"/>
        <v>5.0025007393608908E-12</v>
      </c>
      <c r="BG122" s="20">
        <f t="shared" si="61"/>
        <v>9.3922404915174053E-12</v>
      </c>
      <c r="BH122" s="59">
        <f t="shared" si="62"/>
        <v>293.33333333334269</v>
      </c>
      <c r="BI122" s="59">
        <f ca="1">AVERAGE(OFFSET($BH$3,0,0,'Données projet'!$E$11+1,1))-AVERAGE(OFFSET($H$3,0,0,'Données projet'!$E$11+1,1))</f>
        <v>209.93608079129638</v>
      </c>
      <c r="BJ122" s="59">
        <f t="shared" si="92"/>
        <v>240.15652428700969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1.193207453301304</v>
      </c>
      <c r="BQ122" s="21">
        <f>EXP(-LN(2)/25)*BQ121+(1-EXP(-LN(2)/25))/(LN(2)/25)*Calculateur!BL122*Calculateur!BN122*VLOOKUP('Données projet'!$B$11,Paramètres!$A$1:$I$89,3,0)*0.475*44/12</f>
        <v>1.7625604107808139</v>
      </c>
      <c r="BR122" s="21">
        <f>EXP(-LN(2)/2)*BR121+(1-EXP(-LN(2)/2))/(LN(2)/2)*BL122*BO122*VLOOKUP('Données projet'!$B$11,Paramètres!$A$1:$I$89,3,0)*0.475*44/12</f>
        <v>8.1155704722069843E-13</v>
      </c>
      <c r="BS122" s="22">
        <f t="shared" si="63"/>
        <v>2.955767864082929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215.23235148064941</v>
      </c>
      <c r="CE122" s="59">
        <f t="shared" si="94"/>
        <v>184.07239726900434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0.5379021814034185</v>
      </c>
      <c r="CL122" s="21">
        <f>EXP(-LN(2)/25)*CL121+(1-EXP(-LN(2)/25))/(LN(2)/25)*Calculateur!CG122*Calculateur!CI122*VLOOKUP('Données projet'!$B$12,Paramètres!$A$1:$I$89,3,0)*0.475*44/12</f>
        <v>0.66604730854613392</v>
      </c>
      <c r="CM122" s="21">
        <f>EXP(-LN(2)/2)*CM121+(1-EXP(-LN(2)/2))/(LN(2)/2)*CG122*CJ122*VLOOKUP('Données projet'!$B$12,Paramètres!$A$1:$I$89,3,0)*0.475*44/12</f>
        <v>3.9519810929051443E-13</v>
      </c>
      <c r="CN122" s="22">
        <f t="shared" si="66"/>
        <v>1.2039494899499477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3.7</v>
      </c>
      <c r="CT122" s="12">
        <f>IF('Données projet'!$A$140&gt;35,CT121+CS122-DB121,IF(A122&lt;'Données projet'!$A$140,$CQ$205^A122,IF(A122='Données projet'!$A$140,'Données projet'!$B$140,CT121+CS122-DB121)))</f>
        <v>299.2999999999999</v>
      </c>
      <c r="CU122" s="17">
        <f>CT122*VLOOKUP('Données projet'!$B$13,Paramètres!$A$1:$I$89,3,0)*VLOOKUP('Données projet'!$B$13,Paramètres!$A$1:$I$89,5,0)</f>
        <v>303.4901999999999</v>
      </c>
      <c r="CV122" s="13">
        <f t="shared" si="95"/>
        <v>71.907650167874195</v>
      </c>
      <c r="CW122" s="20">
        <f t="shared" si="67"/>
        <v>653.81792237571403</v>
      </c>
      <c r="CX122" s="59">
        <f t="shared" si="68"/>
        <v>947.15125570904729</v>
      </c>
      <c r="CY122" s="59">
        <f ca="1">AVERAGE(OFFSET($CX$3,0,0,'Données projet'!$E$13+1,1))-AVERAGE(OFFSET($H$3,0,0,'Données projet'!$E$13+1,1))</f>
        <v>279.20364724206644</v>
      </c>
      <c r="CZ122" s="59">
        <f t="shared" si="96"/>
        <v>173.99850582760712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0.29512865922737858</v>
      </c>
      <c r="DH122" s="21">
        <f>EXP(-LN(2)/2)*DH121+(1-EXP(-LN(2)/2))/(LN(2)/2)*DB122*DE122*VLOOKUP('Données projet'!$B$13,Paramètres!$A$1:$I$89,3,0)*0.475*44/12</f>
        <v>2.7880171933862132E-13</v>
      </c>
      <c r="DI122" s="22">
        <f t="shared" si="69"/>
        <v>0.29512865922765735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3.7</v>
      </c>
      <c r="DO122" s="12">
        <f>IF('Données projet'!$A$166&gt;35,DO121+DN122-DW121,IF(A122&lt;'Données projet'!$A$166,$DL$205^A122,IF(A122='Données projet'!$A$166,'Données projet'!$B$166,DO121+DN122-DW121)))</f>
        <v>299.2999999999999</v>
      </c>
      <c r="DP122" s="17">
        <f>DO122*VLOOKUP('Données projet'!$B$14,Paramètres!$A$1:$I$89,3,0)*VLOOKUP('Données projet'!$B$14,Paramètres!$A$1:$I$89,5,0)</f>
        <v>312.82835999999992</v>
      </c>
      <c r="DQ122" s="13">
        <f t="shared" si="97"/>
        <v>73.859191722393504</v>
      </c>
      <c r="DR122" s="20">
        <f t="shared" si="70"/>
        <v>673.48081924983524</v>
      </c>
      <c r="DS122" s="59">
        <f t="shared" si="71"/>
        <v>966.81415258316861</v>
      </c>
      <c r="DT122" s="59">
        <f ca="1">AVERAGE(OFFSET($DS$3,0,0,'Données projet'!$E$14+1,1))-AVERAGE(OFFSET($H$3,0,0,'Données projet'!$E$14+1,1))</f>
        <v>291.18074901939718</v>
      </c>
      <c r="DU122" s="59">
        <f t="shared" si="98"/>
        <v>181.05123751753774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0.3042095410497595</v>
      </c>
      <c r="EC122" s="21">
        <f>EXP(-LN(2)/2)*EC121+(1-EXP(-LN(2)/2))/(LN(2)/2)*DW122*DZ122*VLOOKUP('Données projet'!$B$14,Paramètres!$A$1:$I$89,3,0)*0.475*44/12</f>
        <v>2.8738023377980994E-13</v>
      </c>
      <c r="ED122" s="22">
        <f t="shared" si="72"/>
        <v>0.30420954105004688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168.08890945052406</v>
      </c>
      <c r="EP122" s="59">
        <f t="shared" si="100"/>
        <v>182.52462557642343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1.0660403502034095</v>
      </c>
      <c r="EW122" s="21">
        <f>EXP(-LN(2)/25)*EW121+(1-EXP(-LN(2)/25))/(LN(2)/25)*Calculateur!ER122*Calculateur!ET122*VLOOKUP('Données projet'!$B$15,Paramètres!$A$1:$I$89,3,0)*0.475*44/12</f>
        <v>1.0455080140156843</v>
      </c>
      <c r="EX122" s="21">
        <f>EXP(-LN(2)/2)*EX121+(1-EXP(-LN(2)/2))/(LN(2)/2)*ER122*EU122*VLOOKUP('Données projet'!$B$15,Paramètres!$A$1:$I$89,3,0)*0.475*44/12</f>
        <v>2.1888615753844734E-13</v>
      </c>
      <c r="EY122" s="22">
        <f t="shared" si="75"/>
        <v>2.1115483642193129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3.813056537183002E-14</v>
      </c>
      <c r="FG122" s="13">
        <f t="shared" si="101"/>
        <v>6.4086286045526829E-13</v>
      </c>
      <c r="FH122" s="20">
        <f t="shared" si="76"/>
        <v>1.1825802166488628E-12</v>
      </c>
      <c r="FI122" s="59">
        <f t="shared" si="77"/>
        <v>293.33333333333451</v>
      </c>
      <c r="FJ122" s="59">
        <f ca="1">AVERAGE(OFFSET($FI$3,0,0,'Données projet'!$E$16+1,1))-AVERAGE(OFFSET($H$3,0,0,'Données projet'!$E$16+1,1))</f>
        <v>156.63226020379989</v>
      </c>
      <c r="FK122" s="59">
        <f t="shared" si="102"/>
        <v>196.0481096619543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0.73510662528211634</v>
      </c>
      <c r="FS122" s="21">
        <f>EXP(-LN(2)/2)*FS121+(1-EXP(-LN(2)/2))/(LN(2)/2)*FM122*FP122*VLOOKUP('Données projet'!$B$16,Paramètres!$A$1:$I$89,3,0)*0.475*44/12</f>
        <v>3.6470241486097358E-13</v>
      </c>
      <c r="FT122" s="22">
        <f t="shared" si="78"/>
        <v>0.73510662528248105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-4.5474735088646412E-13</v>
      </c>
      <c r="GA122" s="17">
        <f>FZ122*VLOOKUP('Données projet'!$B$17,Paramètres!$A$1:$I$89,3,0)*VLOOKUP('Données projet'!$B$17,Paramètres!$A$1:$I$89,5,0)</f>
        <v>-2.7193891583010558E-13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216.94426559495264</v>
      </c>
      <c r="GF122" s="59">
        <f t="shared" si="104"/>
        <v>225.33715877618704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1.0894604086847306</v>
      </c>
      <c r="GN122" s="21">
        <f>EXP(-LN(2)/2)*GN121+(1-EXP(-LN(2)/2))/(LN(2)/2)*GH122*GK122*VLOOKUP('Données projet'!$B$17,Paramètres!$A$1:$I$89,3,0)*0.475*44/12</f>
        <v>9.5378659807427948E-13</v>
      </c>
      <c r="GO122" s="21">
        <f t="shared" si="81"/>
        <v>1.0894604086856843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3.7</v>
      </c>
      <c r="GU122" s="12">
        <f>IF('Données projet'!$A$270&gt;35,GU121+GT122-HC121,IF(A122&lt;'Données projet'!$A$270,$GR$205^A122,IF(A122='Données projet'!$A$270,'Données projet'!$B$270,GU121+GT122-HC121)))</f>
        <v>299.2999999999999</v>
      </c>
      <c r="GV122" s="17">
        <f>GU122*VLOOKUP('Données projet'!$B$18,Paramètres!$A$1:$I$89,3,0)*VLOOKUP('Données projet'!$B$18,Paramètres!$A$1:$I$89,5,0)</f>
        <v>289.48295999999993</v>
      </c>
      <c r="GW122" s="13">
        <f t="shared" si="105"/>
        <v>68.967129713117529</v>
      </c>
      <c r="GX122" s="20">
        <f t="shared" si="82"/>
        <v>624.3005729170128</v>
      </c>
      <c r="GY122" s="59">
        <f t="shared" si="83"/>
        <v>917.63390625034617</v>
      </c>
      <c r="GZ122" s="59">
        <f ca="1">AVERAGE(OFFSET($GY$3,0,0,'Données projet'!$E$18+1,1))-AVERAGE(OFFSET($H$3,0,0,'Données projet'!$E$18+1,1))</f>
        <v>261.22357949323879</v>
      </c>
      <c r="HA122" s="59">
        <f t="shared" si="106"/>
        <v>163.41029152029387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0.28150733649380727</v>
      </c>
      <c r="HI122" s="21">
        <f>EXP(-LN(2)/2)*HI121+(1-EXP(-LN(2)/2))/(LN(2)/2)*HC122*HF122*VLOOKUP('Données projet'!$B$18,Paramètres!$A$1:$I$89,3,0)*0.475*44/12</f>
        <v>2.6593394767683878E-13</v>
      </c>
      <c r="HJ122" s="22">
        <f t="shared" si="84"/>
        <v>0.28150733649407322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237.22177246688199</v>
      </c>
      <c r="T123" s="59">
        <f t="shared" si="88"/>
        <v>149.27472147904302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227.99999999999986</v>
      </c>
      <c r="AJ123" s="13">
        <f>AI123*VLOOKUP('Données projet'!$B$10,Paramètres!$A$1:$I$89,3,0)*VLOOKUP('Données projet'!$B$10,Paramètres!$A$1:$I$89,5,0)</f>
        <v>199.18079999999992</v>
      </c>
      <c r="AK123" s="13">
        <f t="shared" si="89"/>
        <v>49.564089376413683</v>
      </c>
      <c r="AL123" s="20">
        <f t="shared" si="58"/>
        <v>433.23068233058694</v>
      </c>
      <c r="AM123" s="59">
        <f t="shared" si="59"/>
        <v>726.56401566392026</v>
      </c>
      <c r="AN123" s="59">
        <f ca="1">AVERAGE(OFFSET($AM$3,0,0,'Données projet'!$E$10+1,1))-AVERAGE(OFFSET($H$3,0,0,'Données projet'!$E$10+1,1))</f>
        <v>210.07838338464626</v>
      </c>
      <c r="AO123" s="59">
        <f t="shared" si="90"/>
        <v>241.76003724236273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0.89169552608378966</v>
      </c>
      <c r="AV123" s="21">
        <f>EXP(-LN(2)/25)*AV122+(1-EXP(-LN(2)/25))/(LN(2)/25)*Calculateur!AQ123*Calculateur!AS123*VLOOKUP('Données projet'!$B$10,Paramètres!$A$1:$I$89,3,0)*0.475*44/12</f>
        <v>1.1182752788653734</v>
      </c>
      <c r="AW123" s="21">
        <f>EXP(-LN(2)/2)*AW122+(1-EXP(-LN(2)/2))/(LN(2)/2)*AQ123*AT123*VLOOKUP('Données projet'!$B$10,Paramètres!$A$1:$I$89,3,0)*0.475*44/12</f>
        <v>4.5393518550012429E-13</v>
      </c>
      <c r="AX123" s="21">
        <f t="shared" si="60"/>
        <v>2.0099708049496168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6.2527760746888816E-13</v>
      </c>
      <c r="BE123" s="13">
        <f>BD123*VLOOKUP('Données projet'!$B$11,Paramètres!$A$1:$I$89,3,0)*VLOOKUP('Données projet'!$B$11,Paramètres!$A$1:$I$89,5,0)</f>
        <v>3.9017322706058616E-13</v>
      </c>
      <c r="BF123" s="13">
        <f t="shared" si="91"/>
        <v>5.0025007393608908E-12</v>
      </c>
      <c r="BG123" s="20">
        <f t="shared" si="61"/>
        <v>9.3922404915174053E-12</v>
      </c>
      <c r="BH123" s="59">
        <f t="shared" si="62"/>
        <v>293.33333333334269</v>
      </c>
      <c r="BI123" s="59">
        <f ca="1">AVERAGE(OFFSET($BH$3,0,0,'Données projet'!$E$11+1,1))-AVERAGE(OFFSET($H$3,0,0,'Données projet'!$E$11+1,1))</f>
        <v>209.93608079129638</v>
      </c>
      <c r="BJ123" s="59">
        <f t="shared" si="92"/>
        <v>240.15652428700969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1.1698093829267491</v>
      </c>
      <c r="BQ123" s="21">
        <f>EXP(-LN(2)/25)*BQ122+(1-EXP(-LN(2)/25))/(LN(2)/25)*Calculateur!BL123*Calculateur!BN123*VLOOKUP('Données projet'!$B$11,Paramètres!$A$1:$I$89,3,0)*0.475*44/12</f>
        <v>1.714363103658989</v>
      </c>
      <c r="BR123" s="21">
        <f>EXP(-LN(2)/2)*BR122+(1-EXP(-LN(2)/2))/(LN(2)/2)*BL123*BO123*VLOOKUP('Données projet'!$B$11,Paramètres!$A$1:$I$89,3,0)*0.475*44/12</f>
        <v>5.7385749140948701E-13</v>
      </c>
      <c r="BS123" s="22">
        <f t="shared" si="63"/>
        <v>2.8841724865863121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215.23235148064941</v>
      </c>
      <c r="CE123" s="59">
        <f t="shared" si="94"/>
        <v>184.07239726900434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0.52735424771403216</v>
      </c>
      <c r="CL123" s="21">
        <f>EXP(-LN(2)/25)*CL122+(1-EXP(-LN(2)/25))/(LN(2)/25)*Calculateur!CG123*Calculateur!CI123*VLOOKUP('Données projet'!$B$12,Paramètres!$A$1:$I$89,3,0)*0.475*44/12</f>
        <v>0.64783420986803419</v>
      </c>
      <c r="CM123" s="21">
        <f>EXP(-LN(2)/2)*CM122+(1-EXP(-LN(2)/2))/(LN(2)/2)*CG123*CJ123*VLOOKUP('Données projet'!$B$12,Paramètres!$A$1:$I$89,3,0)*0.475*44/12</f>
        <v>2.7944726299142507E-13</v>
      </c>
      <c r="CN123" s="22">
        <f t="shared" si="66"/>
        <v>1.1751884575823459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303</v>
      </c>
      <c r="CR123" s="12">
        <f>VLOOKUP(A123,'Données projet'!$A$139:$I$159,9,0)</f>
        <v>3.7</v>
      </c>
      <c r="CS123" s="12">
        <f t="array" ref="CS123">INDEX(CR:CR,MIN(IF(ISNUMBER(CR123:CR319),ROW(CR123:CR319),"")))</f>
        <v>3.7</v>
      </c>
      <c r="CT123" s="12">
        <f>IF('Données projet'!$A$140&gt;35,CT122+CS123-DB122,IF(A123&lt;'Données projet'!$A$140,$CQ$205^A123,IF(A123='Données projet'!$A$140,'Données projet'!$B$140,CT122+CS123-DB122)))</f>
        <v>302.99999999999989</v>
      </c>
      <c r="CU123" s="17">
        <f>CT123*VLOOKUP('Données projet'!$B$13,Paramètres!$A$1:$I$89,3,0)*VLOOKUP('Données projet'!$B$13,Paramètres!$A$1:$I$89,5,0)</f>
        <v>307.2419999999999</v>
      </c>
      <c r="CV123" s="13">
        <f t="shared" si="95"/>
        <v>72.692550770207774</v>
      </c>
      <c r="CW123" s="20">
        <f t="shared" si="67"/>
        <v>661.71934259144507</v>
      </c>
      <c r="CX123" s="59">
        <f t="shared" si="68"/>
        <v>955.05267592477844</v>
      </c>
      <c r="CY123" s="59">
        <f ca="1">AVERAGE(OFFSET($CX$3,0,0,'Données projet'!$E$13+1,1))-AVERAGE(OFFSET($H$3,0,0,'Données projet'!$E$13+1,1))</f>
        <v>279.20364724206644</v>
      </c>
      <c r="CZ123" s="59">
        <f t="shared" si="96"/>
        <v>173.99850582760712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303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0.28705835052066425</v>
      </c>
      <c r="DH123" s="21">
        <f>EXP(-LN(2)/2)*DH122+(1-EXP(-LN(2)/2))/(LN(2)/2)*DB123*DE123*VLOOKUP('Données projet'!$B$13,Paramètres!$A$1:$I$89,3,0)*0.475*44/12</f>
        <v>1.9714258635080774E-13</v>
      </c>
      <c r="DI123" s="22">
        <f t="shared" si="69"/>
        <v>0.28705835052086137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303</v>
      </c>
      <c r="DM123" s="12">
        <f>VLOOKUP(A123,'Données projet'!$A$165:$I$185,9,0)</f>
        <v>3.7</v>
      </c>
      <c r="DN123" s="12">
        <f t="array" ref="DN123">INDEX(DM:DM,MIN(IF(ISNUMBER(DM123:DM319),ROW(DM123:DM319),"")))</f>
        <v>3.7</v>
      </c>
      <c r="DO123" s="12">
        <f>IF('Données projet'!$A$166&gt;35,DO122+DN123-DW122,IF(A123&lt;'Données projet'!$A$166,$DL$205^A123,IF(A123='Données projet'!$A$166,'Données projet'!$B$166,DO122+DN123-DW122)))</f>
        <v>302.99999999999989</v>
      </c>
      <c r="DP123" s="17">
        <f>DO123*VLOOKUP('Données projet'!$B$14,Paramètres!$A$1:$I$89,3,0)*VLOOKUP('Données projet'!$B$14,Paramètres!$A$1:$I$89,5,0)</f>
        <v>316.6955999999999</v>
      </c>
      <c r="DQ123" s="13">
        <f t="shared" si="97"/>
        <v>74.665394177006291</v>
      </c>
      <c r="DR123" s="20">
        <f t="shared" si="70"/>
        <v>681.62039819161907</v>
      </c>
      <c r="DS123" s="59">
        <f t="shared" si="71"/>
        <v>974.95373152495245</v>
      </c>
      <c r="DT123" s="59">
        <f ca="1">AVERAGE(OFFSET($DS$3,0,0,'Données projet'!$E$14+1,1))-AVERAGE(OFFSET($H$3,0,0,'Données projet'!$E$14+1,1))</f>
        <v>291.18074901939718</v>
      </c>
      <c r="DU123" s="59">
        <f t="shared" si="98"/>
        <v>181.05123751753774</v>
      </c>
      <c r="DV123" s="15">
        <f>IF(ISNA(VLOOKUP(A123,'Données projet'!$A$165:$I$185,3,0)),0,VLOOKUP(A123,'Données projet'!$A$165:$I$185,3,0))</f>
        <v>10</v>
      </c>
      <c r="DW123" s="15">
        <f>IF(ISNA(VLOOKUP(A123,'Données projet'!$A$165:$I$185,4,0)),0,VLOOKUP(A123,'Données projet'!$A$165:$I$185,4,0))</f>
        <v>303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0.29589091515206933</v>
      </c>
      <c r="EC123" s="21">
        <f>EXP(-LN(2)/2)*EC122+(1-EXP(-LN(2)/2))/(LN(2)/2)*DW123*DZ123*VLOOKUP('Données projet'!$B$14,Paramètres!$A$1:$I$89,3,0)*0.475*44/12</f>
        <v>2.0320851208467894E-13</v>
      </c>
      <c r="ED123" s="22">
        <f t="shared" si="72"/>
        <v>0.29589091515227256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168.08890945052406</v>
      </c>
      <c r="EP123" s="59">
        <f t="shared" si="100"/>
        <v>182.52462557642343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1.0451359491563303</v>
      </c>
      <c r="EW123" s="21">
        <f>EXP(-LN(2)/25)*EW122+(1-EXP(-LN(2)/25))/(LN(2)/25)*Calculateur!ER123*Calculateur!ET123*VLOOKUP('Données projet'!$B$15,Paramètres!$A$1:$I$89,3,0)*0.475*44/12</f>
        <v>1.0169185423915486</v>
      </c>
      <c r="EX123" s="21">
        <f>EXP(-LN(2)/2)*EX122+(1-EXP(-LN(2)/2))/(LN(2)/2)*ER123*EU123*VLOOKUP('Données projet'!$B$15,Paramètres!$A$1:$I$89,3,0)*0.475*44/12</f>
        <v>1.5477588630330305E-13</v>
      </c>
      <c r="EY123" s="22">
        <f t="shared" si="75"/>
        <v>2.0620544915480337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3.813056537183002E-14</v>
      </c>
      <c r="FG123" s="13">
        <f t="shared" si="101"/>
        <v>6.4086286045526829E-13</v>
      </c>
      <c r="FH123" s="20">
        <f t="shared" si="76"/>
        <v>1.1825802166488628E-12</v>
      </c>
      <c r="FI123" s="59">
        <f t="shared" si="77"/>
        <v>293.33333333333451</v>
      </c>
      <c r="FJ123" s="59">
        <f ca="1">AVERAGE(OFFSET($FI$3,0,0,'Données projet'!$E$16+1,1))-AVERAGE(OFFSET($H$3,0,0,'Données projet'!$E$16+1,1))</f>
        <v>156.63226020379989</v>
      </c>
      <c r="FK123" s="59">
        <f t="shared" si="102"/>
        <v>196.0481096619543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0.71500509595619954</v>
      </c>
      <c r="FS123" s="21">
        <f>EXP(-LN(2)/2)*FS122+(1-EXP(-LN(2)/2))/(LN(2)/2)*FM123*FP123*VLOOKUP('Données projet'!$B$16,Paramètres!$A$1:$I$89,3,0)*0.475*44/12</f>
        <v>2.5788355066330392E-13</v>
      </c>
      <c r="FT123" s="22">
        <f t="shared" si="78"/>
        <v>0.71500509595645745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-4.5474735088646412E-13</v>
      </c>
      <c r="GA123" s="17">
        <f>FZ123*VLOOKUP('Données projet'!$B$17,Paramètres!$A$1:$I$89,3,0)*VLOOKUP('Données projet'!$B$17,Paramètres!$A$1:$I$89,5,0)</f>
        <v>-2.7193891583010558E-13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216.94426559495264</v>
      </c>
      <c r="GF123" s="59">
        <f t="shared" si="104"/>
        <v>225.33715877618704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1.0596690565170137</v>
      </c>
      <c r="GN123" s="21">
        <f>EXP(-LN(2)/2)*GN122+(1-EXP(-LN(2)/2))/(LN(2)/2)*GH123*GK123*VLOOKUP('Données projet'!$B$17,Paramètres!$A$1:$I$89,3,0)*0.475*44/12</f>
        <v>6.7442897130317111E-13</v>
      </c>
      <c r="GO123" s="21">
        <f t="shared" si="81"/>
        <v>1.0596690565176881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>
        <f>VLOOKUP(A123,'Données projet'!$A$269:$I$289,2,0)</f>
        <v>303</v>
      </c>
      <c r="GS123" s="12">
        <f>VLOOKUP(A123,'Données projet'!$A$269:$I$289,9,0)</f>
        <v>3.7</v>
      </c>
      <c r="GT123" s="12">
        <f t="array" ref="GT123">INDEX(GS:GS,MIN(IF(ISNUMBER(GS123:GS319),ROW(GS123:GS319),"")))</f>
        <v>3.7</v>
      </c>
      <c r="GU123" s="12">
        <f>IF('Données projet'!$A$270&gt;35,GU122+GT123-HC122,IF(A123&lt;'Données projet'!$A$270,$GR$205^A123,IF(A123='Données projet'!$A$270,'Données projet'!$B$270,GU122+GT123-HC122)))</f>
        <v>302.99999999999989</v>
      </c>
      <c r="GV123" s="17">
        <f>GU123*VLOOKUP('Données projet'!$B$18,Paramètres!$A$1:$I$89,3,0)*VLOOKUP('Données projet'!$B$18,Paramètres!$A$1:$I$89,5,0)</f>
        <v>293.06159999999988</v>
      </c>
      <c r="GW123" s="13">
        <f t="shared" si="105"/>
        <v>69.719933365116546</v>
      </c>
      <c r="GX123" s="20">
        <f t="shared" si="82"/>
        <v>631.84450394424448</v>
      </c>
      <c r="GY123" s="59">
        <f t="shared" si="83"/>
        <v>925.17783727757774</v>
      </c>
      <c r="GZ123" s="59">
        <f ca="1">AVERAGE(OFFSET($GY$3,0,0,'Données projet'!$E$18+1,1))-AVERAGE(OFFSET($H$3,0,0,'Données projet'!$E$18+1,1))</f>
        <v>261.22357949323879</v>
      </c>
      <c r="HA123" s="59">
        <f t="shared" si="106"/>
        <v>163.41029152029387</v>
      </c>
      <c r="HB123" s="15">
        <f>IF(ISNA(VLOOKUP(A123,'Données projet'!$A$269:$I$289,3,0)),0,VLOOKUP(A123,'Données projet'!$A$269:$I$289,3,0))</f>
        <v>10</v>
      </c>
      <c r="HC123" s="15">
        <f>IF(ISNA(VLOOKUP(A123,'Données projet'!$A$269:$I$289,4,0)),0,VLOOKUP(A123,'Données projet'!$A$269:$I$289,4,0))</f>
        <v>303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0.27380950357355666</v>
      </c>
      <c r="HI123" s="21">
        <f>EXP(-LN(2)/2)*HI122+(1-EXP(-LN(2)/2))/(LN(2)/2)*HC123*HF123*VLOOKUP('Données projet'!$B$18,Paramètres!$A$1:$I$89,3,0)*0.475*44/12</f>
        <v>1.8804369775000122E-13</v>
      </c>
      <c r="HJ123" s="22">
        <f t="shared" si="84"/>
        <v>0.27380950357374467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237.22177246688199</v>
      </c>
      <c r="T124" s="59">
        <f t="shared" si="88"/>
        <v>149.27472147904302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227.99999999999986</v>
      </c>
      <c r="AJ124" s="13">
        <f>AI124*VLOOKUP('Données projet'!$B$10,Paramètres!$A$1:$I$89,3,0)*VLOOKUP('Données projet'!$B$10,Paramètres!$A$1:$I$89,5,0)</f>
        <v>199.18079999999992</v>
      </c>
      <c r="AK124" s="13">
        <f t="shared" si="89"/>
        <v>49.564089376413683</v>
      </c>
      <c r="AL124" s="20">
        <f t="shared" si="58"/>
        <v>433.23068233058694</v>
      </c>
      <c r="AM124" s="59">
        <f t="shared" si="59"/>
        <v>726.56401566392026</v>
      </c>
      <c r="AN124" s="59">
        <f ca="1">AVERAGE(OFFSET($AM$3,0,0,'Données projet'!$E$10+1,1))-AVERAGE(OFFSET($H$3,0,0,'Données projet'!$E$10+1,1))</f>
        <v>210.07838338464626</v>
      </c>
      <c r="AO124" s="59">
        <f t="shared" si="90"/>
        <v>241.76003724236273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0.87420992069785375</v>
      </c>
      <c r="AV124" s="21">
        <f>EXP(-LN(2)/25)*AV123+(1-EXP(-LN(2)/25))/(LN(2)/25)*Calculateur!AQ124*Calculateur!AS124*VLOOKUP('Données projet'!$B$10,Paramètres!$A$1:$I$89,3,0)*0.475*44/12</f>
        <v>1.0876959825572587</v>
      </c>
      <c r="AW124" s="21">
        <f>EXP(-LN(2)/2)*AW123+(1-EXP(-LN(2)/2))/(LN(2)/2)*AQ124*AT124*VLOOKUP('Données projet'!$B$10,Paramètres!$A$1:$I$89,3,0)*0.475*44/12</f>
        <v>3.2098064788631128E-13</v>
      </c>
      <c r="AX124" s="21">
        <f t="shared" si="60"/>
        <v>1.9619059032554336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6.2527760746888816E-13</v>
      </c>
      <c r="BE124" s="13">
        <f>BD124*VLOOKUP('Données projet'!$B$11,Paramètres!$A$1:$I$89,3,0)*VLOOKUP('Données projet'!$B$11,Paramètres!$A$1:$I$89,5,0)</f>
        <v>3.9017322706058616E-13</v>
      </c>
      <c r="BF124" s="13">
        <f t="shared" si="91"/>
        <v>5.0025007393608908E-12</v>
      </c>
      <c r="BG124" s="20">
        <f t="shared" si="61"/>
        <v>9.3922404915174053E-12</v>
      </c>
      <c r="BH124" s="59">
        <f t="shared" si="62"/>
        <v>293.33333333334269</v>
      </c>
      <c r="BI124" s="59">
        <f ca="1">AVERAGE(OFFSET($BH$3,0,0,'Données projet'!$E$11+1,1))-AVERAGE(OFFSET($H$3,0,0,'Données projet'!$E$11+1,1))</f>
        <v>209.93608079129638</v>
      </c>
      <c r="BJ124" s="59">
        <f t="shared" si="92"/>
        <v>240.15652428700969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1.1468701344408254</v>
      </c>
      <c r="BQ124" s="21">
        <f>EXP(-LN(2)/25)*BQ123+(1-EXP(-LN(2)/25))/(LN(2)/25)*Calculateur!BL124*Calculateur!BN124*VLOOKUP('Données projet'!$B$11,Paramètres!$A$1:$I$89,3,0)*0.475*44/12</f>
        <v>1.6674837544349965</v>
      </c>
      <c r="BR124" s="21">
        <f>EXP(-LN(2)/2)*BR123+(1-EXP(-LN(2)/2))/(LN(2)/2)*BL124*BO124*VLOOKUP('Données projet'!$B$11,Paramètres!$A$1:$I$89,3,0)*0.475*44/12</f>
        <v>4.0577852361034921E-13</v>
      </c>
      <c r="BS124" s="22">
        <f t="shared" si="63"/>
        <v>2.8143538888762278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215.23235148064941</v>
      </c>
      <c r="CE124" s="59">
        <f t="shared" si="94"/>
        <v>184.07239726900434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0.51701315257069036</v>
      </c>
      <c r="CL124" s="21">
        <f>EXP(-LN(2)/25)*CL123+(1-EXP(-LN(2)/25))/(LN(2)/25)*Calculateur!CG124*Calculateur!CI124*VLOOKUP('Données projet'!$B$12,Paramètres!$A$1:$I$89,3,0)*0.475*44/12</f>
        <v>0.63011914933107238</v>
      </c>
      <c r="CM124" s="21">
        <f>EXP(-LN(2)/2)*CM123+(1-EXP(-LN(2)/2))/(LN(2)/2)*CG124*CJ124*VLOOKUP('Données projet'!$B$12,Paramètres!$A$1:$I$89,3,0)*0.475*44/12</f>
        <v>1.9759905464525721E-13</v>
      </c>
      <c r="CN124" s="22">
        <f t="shared" si="66"/>
        <v>1.1471323019019604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-1.1527845344971866E-13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279.20364724206644</v>
      </c>
      <c r="CZ124" s="59">
        <f t="shared" si="96"/>
        <v>173.99850582760712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0.27920872482993414</v>
      </c>
      <c r="DH124" s="21">
        <f>EXP(-LN(2)/2)*DH123+(1-EXP(-LN(2)/2))/(LN(2)/2)*DB124*DE124*VLOOKUP('Données projet'!$B$13,Paramètres!$A$1:$I$89,3,0)*0.475*44/12</f>
        <v>1.3940085966931066E-13</v>
      </c>
      <c r="DI124" s="22">
        <f t="shared" si="69"/>
        <v>0.27920872483007353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-1.1882548278663309E-13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291.18074901939718</v>
      </c>
      <c r="DU124" s="59">
        <f t="shared" si="98"/>
        <v>181.05123751753774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0.28779976251700906</v>
      </c>
      <c r="EC124" s="21">
        <f>EXP(-LN(2)/2)*EC123+(1-EXP(-LN(2)/2))/(LN(2)/2)*DW124*DZ124*VLOOKUP('Données projet'!$B$14,Paramètres!$A$1:$I$89,3,0)*0.475*44/12</f>
        <v>1.4369011688990497E-13</v>
      </c>
      <c r="ED124" s="22">
        <f t="shared" si="72"/>
        <v>0.28779976251715272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168.08890945052406</v>
      </c>
      <c r="EP124" s="59">
        <f t="shared" si="100"/>
        <v>182.52462557642343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1.0246414706633589</v>
      </c>
      <c r="EW124" s="21">
        <f>EXP(-LN(2)/25)*EW123+(1-EXP(-LN(2)/25))/(LN(2)/25)*Calculateur!ER124*Calculateur!ET124*VLOOKUP('Données projet'!$B$15,Paramètres!$A$1:$I$89,3,0)*0.475*44/12</f>
        <v>0.98911085137242971</v>
      </c>
      <c r="EX124" s="21">
        <f>EXP(-LN(2)/2)*EX123+(1-EXP(-LN(2)/2))/(LN(2)/2)*ER124*EU124*VLOOKUP('Données projet'!$B$15,Paramètres!$A$1:$I$89,3,0)*0.475*44/12</f>
        <v>1.0944307876922367E-13</v>
      </c>
      <c r="EY124" s="22">
        <f t="shared" si="75"/>
        <v>2.0137523220358977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3.813056537183002E-14</v>
      </c>
      <c r="FG124" s="13">
        <f t="shared" si="101"/>
        <v>6.4086286045526829E-13</v>
      </c>
      <c r="FH124" s="20">
        <f t="shared" si="76"/>
        <v>1.1825802166488628E-12</v>
      </c>
      <c r="FI124" s="59">
        <f t="shared" si="77"/>
        <v>293.33333333333451</v>
      </c>
      <c r="FJ124" s="59">
        <f ca="1">AVERAGE(OFFSET($FI$3,0,0,'Données projet'!$E$16+1,1))-AVERAGE(OFFSET($H$3,0,0,'Données projet'!$E$16+1,1))</f>
        <v>156.63226020379989</v>
      </c>
      <c r="FK124" s="59">
        <f t="shared" si="102"/>
        <v>196.0481096619543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0.69545324400679343</v>
      </c>
      <c r="FS124" s="21">
        <f>EXP(-LN(2)/2)*FS123+(1-EXP(-LN(2)/2))/(LN(2)/2)*FM124*FP124*VLOOKUP('Données projet'!$B$16,Paramètres!$A$1:$I$89,3,0)*0.475*44/12</f>
        <v>1.8235120743048679E-13</v>
      </c>
      <c r="FT124" s="22">
        <f t="shared" si="78"/>
        <v>0.69545324400697572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-4.5474735088646412E-13</v>
      </c>
      <c r="GA124" s="17">
        <f>FZ124*VLOOKUP('Données projet'!$B$17,Paramètres!$A$1:$I$89,3,0)*VLOOKUP('Données projet'!$B$17,Paramètres!$A$1:$I$89,5,0)</f>
        <v>-2.7193891583010558E-13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216.94426559495264</v>
      </c>
      <c r="GF124" s="59">
        <f t="shared" si="104"/>
        <v>225.33715877618704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1.0306923504409822</v>
      </c>
      <c r="GN124" s="21">
        <f>EXP(-LN(2)/2)*GN123+(1-EXP(-LN(2)/2))/(LN(2)/2)*GH124*GK124*VLOOKUP('Données projet'!$B$17,Paramètres!$A$1:$I$89,3,0)*0.475*44/12</f>
        <v>4.7689329903713974E-13</v>
      </c>
      <c r="GO124" s="21">
        <f t="shared" si="81"/>
        <v>1.0306923504414591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-1.1368683772161603E-13</v>
      </c>
      <c r="GV124" s="17">
        <f>GU124*VLOOKUP('Données projet'!$B$18,Paramètres!$A$1:$I$89,3,0)*VLOOKUP('Données projet'!$B$18,Paramètres!$A$1:$I$89,5,0)</f>
        <v>-1.0995790944434703E-13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261.22357949323879</v>
      </c>
      <c r="HA124" s="59">
        <f t="shared" si="106"/>
        <v>163.41029152029387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0.26632216829932176</v>
      </c>
      <c r="HI124" s="21">
        <f>EXP(-LN(2)/2)*HI123+(1-EXP(-LN(2)/2))/(LN(2)/2)*HC124*HF124*VLOOKUP('Données projet'!$B$18,Paramètres!$A$1:$I$89,3,0)*0.475*44/12</f>
        <v>1.3296697383841939E-13</v>
      </c>
      <c r="HJ124" s="22">
        <f t="shared" si="84"/>
        <v>0.26632216829945471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237.22177246688199</v>
      </c>
      <c r="T125" s="59">
        <f t="shared" si="88"/>
        <v>149.27472147904302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227.99999999999986</v>
      </c>
      <c r="AJ125" s="13">
        <f>AI125*VLOOKUP('Données projet'!$B$10,Paramètres!$A$1:$I$89,3,0)*VLOOKUP('Données projet'!$B$10,Paramètres!$A$1:$I$89,5,0)</f>
        <v>199.18079999999992</v>
      </c>
      <c r="AK125" s="13">
        <f t="shared" si="89"/>
        <v>49.564089376413683</v>
      </c>
      <c r="AL125" s="20">
        <f t="shared" si="58"/>
        <v>433.23068233058694</v>
      </c>
      <c r="AM125" s="59">
        <f t="shared" si="59"/>
        <v>726.56401566392026</v>
      </c>
      <c r="AN125" s="59">
        <f ca="1">AVERAGE(OFFSET($AM$3,0,0,'Données projet'!$E$10+1,1))-AVERAGE(OFFSET($H$3,0,0,'Données projet'!$E$10+1,1))</f>
        <v>210.07838338464626</v>
      </c>
      <c r="AO125" s="59">
        <f t="shared" si="90"/>
        <v>241.76003724236273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0.85706719736836978</v>
      </c>
      <c r="AV125" s="21">
        <f>EXP(-LN(2)/25)*AV124+(1-EXP(-LN(2)/25))/(LN(2)/25)*Calculateur!AQ125*Calculateur!AS125*VLOOKUP('Données projet'!$B$10,Paramètres!$A$1:$I$89,3,0)*0.475*44/12</f>
        <v>1.0579528787147847</v>
      </c>
      <c r="AW125" s="21">
        <f>EXP(-LN(2)/2)*AW124+(1-EXP(-LN(2)/2))/(LN(2)/2)*AQ125*AT125*VLOOKUP('Données projet'!$B$10,Paramètres!$A$1:$I$89,3,0)*0.475*44/12</f>
        <v>2.269675927500622E-13</v>
      </c>
      <c r="AX125" s="21">
        <f t="shared" si="60"/>
        <v>1.9150200760833815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6.2527760746888816E-13</v>
      </c>
      <c r="BE125" s="13">
        <f>BD125*VLOOKUP('Données projet'!$B$11,Paramètres!$A$1:$I$89,3,0)*VLOOKUP('Données projet'!$B$11,Paramètres!$A$1:$I$89,5,0)</f>
        <v>3.9017322706058616E-13</v>
      </c>
      <c r="BF125" s="13">
        <f t="shared" si="91"/>
        <v>5.0025007393608908E-12</v>
      </c>
      <c r="BG125" s="20">
        <f t="shared" si="61"/>
        <v>9.3922404915174053E-12</v>
      </c>
      <c r="BH125" s="59">
        <f t="shared" si="62"/>
        <v>293.33333333334269</v>
      </c>
      <c r="BI125" s="59">
        <f ca="1">AVERAGE(OFFSET($BH$3,0,0,'Données projet'!$E$11+1,1))-AVERAGE(OFFSET($H$3,0,0,'Données projet'!$E$11+1,1))</f>
        <v>209.93608079129638</v>
      </c>
      <c r="BJ125" s="59">
        <f t="shared" si="92"/>
        <v>240.15652428700969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1.1243807106261507</v>
      </c>
      <c r="BQ125" s="21">
        <f>EXP(-LN(2)/25)*BQ124+(1-EXP(-LN(2)/25))/(LN(2)/25)*Calculateur!BL125*Calculateur!BN125*VLOOKUP('Données projet'!$B$11,Paramètres!$A$1:$I$89,3,0)*0.475*44/12</f>
        <v>1.6218863234808121</v>
      </c>
      <c r="BR125" s="21">
        <f>EXP(-LN(2)/2)*BR124+(1-EXP(-LN(2)/2))/(LN(2)/2)*BL125*BO125*VLOOKUP('Données projet'!$B$11,Paramètres!$A$1:$I$89,3,0)*0.475*44/12</f>
        <v>2.8692874570474351E-13</v>
      </c>
      <c r="BS125" s="22">
        <f t="shared" si="63"/>
        <v>2.7462670341072499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215.23235148064941</v>
      </c>
      <c r="CE125" s="59">
        <f t="shared" si="94"/>
        <v>184.07239726900434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0.50687483999566429</v>
      </c>
      <c r="CL125" s="21">
        <f>EXP(-LN(2)/25)*CL124+(1-EXP(-LN(2)/25))/(LN(2)/25)*Calculateur!CG125*Calculateur!CI125*VLOOKUP('Données projet'!$B$12,Paramètres!$A$1:$I$89,3,0)*0.475*44/12</f>
        <v>0.6128885080560883</v>
      </c>
      <c r="CM125" s="21">
        <f>EXP(-LN(2)/2)*CM124+(1-EXP(-LN(2)/2))/(LN(2)/2)*CG125*CJ125*VLOOKUP('Données projet'!$B$12,Paramètres!$A$1:$I$89,3,0)*0.475*44/12</f>
        <v>1.3972363149571254E-13</v>
      </c>
      <c r="CN125" s="22">
        <f t="shared" si="66"/>
        <v>1.1197633480518923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-1.1527845344971866E-13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279.20364724206644</v>
      </c>
      <c r="CZ125" s="59">
        <f t="shared" si="96"/>
        <v>173.99850582760712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0.27157374756651087</v>
      </c>
      <c r="DH125" s="21">
        <f>EXP(-LN(2)/2)*DH124+(1-EXP(-LN(2)/2))/(LN(2)/2)*DB125*DE125*VLOOKUP('Données projet'!$B$13,Paramètres!$A$1:$I$89,3,0)*0.475*44/12</f>
        <v>9.857129317540387E-14</v>
      </c>
      <c r="DI125" s="22">
        <f t="shared" si="69"/>
        <v>0.27157374756660946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-1.1882548278663309E-13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291.18074901939718</v>
      </c>
      <c r="DU125" s="59">
        <f t="shared" si="98"/>
        <v>181.05123751753774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0.27992986287624971</v>
      </c>
      <c r="EC125" s="21">
        <f>EXP(-LN(2)/2)*EC124+(1-EXP(-LN(2)/2))/(LN(2)/2)*DW125*DZ125*VLOOKUP('Données projet'!$B$14,Paramètres!$A$1:$I$89,3,0)*0.475*44/12</f>
        <v>1.0160425604233947E-13</v>
      </c>
      <c r="ED125" s="22">
        <f t="shared" si="72"/>
        <v>0.2799298628763513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168.08890945052406</v>
      </c>
      <c r="EP125" s="59">
        <f t="shared" si="100"/>
        <v>182.52462557642343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1.0045488763932369</v>
      </c>
      <c r="EW125" s="21">
        <f>EXP(-LN(2)/25)*EW124+(1-EXP(-LN(2)/25))/(LN(2)/25)*Calculateur!ER125*Calculateur!ET125*VLOOKUP('Données projet'!$B$15,Paramètres!$A$1:$I$89,3,0)*0.475*44/12</f>
        <v>0.9620635631265716</v>
      </c>
      <c r="EX125" s="21">
        <f>EXP(-LN(2)/2)*EX124+(1-EXP(-LN(2)/2))/(LN(2)/2)*ER125*EU125*VLOOKUP('Données projet'!$B$15,Paramètres!$A$1:$I$89,3,0)*0.475*44/12</f>
        <v>7.7387943151651526E-14</v>
      </c>
      <c r="EY125" s="22">
        <f t="shared" si="75"/>
        <v>1.9666124395198861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3.813056537183002E-14</v>
      </c>
      <c r="FG125" s="13">
        <f t="shared" si="101"/>
        <v>6.4086286045526829E-13</v>
      </c>
      <c r="FH125" s="20">
        <f t="shared" si="76"/>
        <v>1.1825802166488628E-12</v>
      </c>
      <c r="FI125" s="59">
        <f t="shared" si="77"/>
        <v>293.33333333333451</v>
      </c>
      <c r="FJ125" s="59">
        <f ca="1">AVERAGE(OFFSET($FI$3,0,0,'Données projet'!$E$16+1,1))-AVERAGE(OFFSET($H$3,0,0,'Données projet'!$E$16+1,1))</f>
        <v>156.63226020379989</v>
      </c>
      <c r="FK125" s="59">
        <f t="shared" si="102"/>
        <v>196.0481096619543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0.67643603847713107</v>
      </c>
      <c r="FS125" s="21">
        <f>EXP(-LN(2)/2)*FS124+(1-EXP(-LN(2)/2))/(LN(2)/2)*FM125*FP125*VLOOKUP('Données projet'!$B$16,Paramètres!$A$1:$I$89,3,0)*0.475*44/12</f>
        <v>1.2894177533165196E-13</v>
      </c>
      <c r="FT125" s="22">
        <f t="shared" si="78"/>
        <v>0.67643603847725997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-4.5474735088646412E-13</v>
      </c>
      <c r="GA125" s="17">
        <f>FZ125*VLOOKUP('Données projet'!$B$17,Paramètres!$A$1:$I$89,3,0)*VLOOKUP('Données projet'!$B$17,Paramètres!$A$1:$I$89,5,0)</f>
        <v>-2.7193891583010558E-13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216.94426559495264</v>
      </c>
      <c r="GF125" s="59">
        <f t="shared" si="104"/>
        <v>225.33715877618704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1.0025080139164184</v>
      </c>
      <c r="GN125" s="21">
        <f>EXP(-LN(2)/2)*GN124+(1-EXP(-LN(2)/2))/(LN(2)/2)*GH125*GK125*VLOOKUP('Données projet'!$B$17,Paramètres!$A$1:$I$89,3,0)*0.475*44/12</f>
        <v>3.3721448565158556E-13</v>
      </c>
      <c r="GO125" s="21">
        <f t="shared" si="81"/>
        <v>1.0025080139167557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-1.1368683772161603E-13</v>
      </c>
      <c r="GV125" s="17">
        <f>GU125*VLOOKUP('Données projet'!$B$18,Paramètres!$A$1:$I$89,3,0)*VLOOKUP('Données projet'!$B$18,Paramètres!$A$1:$I$89,5,0)</f>
        <v>-1.0995790944434703E-13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261.22357949323879</v>
      </c>
      <c r="HA125" s="59">
        <f t="shared" si="106"/>
        <v>163.41029152029387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0.25903957460190269</v>
      </c>
      <c r="HI125" s="21">
        <f>EXP(-LN(2)/2)*HI124+(1-EXP(-LN(2)/2))/(LN(2)/2)*HC125*HF125*VLOOKUP('Données projet'!$B$18,Paramètres!$A$1:$I$89,3,0)*0.475*44/12</f>
        <v>9.4021848875000611E-14</v>
      </c>
      <c r="HJ125" s="22">
        <f t="shared" si="84"/>
        <v>0.25903957460199672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237.22177246688199</v>
      </c>
      <c r="T126" s="59">
        <f t="shared" si="88"/>
        <v>149.27472147904302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227.99999999999986</v>
      </c>
      <c r="AJ126" s="13">
        <f>AI126*VLOOKUP('Données projet'!$B$10,Paramètres!$A$1:$I$89,3,0)*VLOOKUP('Données projet'!$B$10,Paramètres!$A$1:$I$89,5,0)</f>
        <v>199.18079999999992</v>
      </c>
      <c r="AK126" s="13">
        <f t="shared" si="89"/>
        <v>49.564089376413683</v>
      </c>
      <c r="AL126" s="20">
        <f t="shared" si="58"/>
        <v>433.23068233058694</v>
      </c>
      <c r="AM126" s="59">
        <f t="shared" si="59"/>
        <v>726.56401566392026</v>
      </c>
      <c r="AN126" s="59">
        <f ca="1">AVERAGE(OFFSET($AM$3,0,0,'Données projet'!$E$10+1,1))-AVERAGE(OFFSET($H$3,0,0,'Données projet'!$E$10+1,1))</f>
        <v>210.07838338464626</v>
      </c>
      <c r="AO126" s="59">
        <f t="shared" si="90"/>
        <v>241.76003724236273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0.84026063238734827</v>
      </c>
      <c r="AV126" s="21">
        <f>EXP(-LN(2)/25)*AV125+(1-EXP(-LN(2)/25))/(LN(2)/25)*Calculateur!AQ126*Calculateur!AS126*VLOOKUP('Données projet'!$B$10,Paramètres!$A$1:$I$89,3,0)*0.475*44/12</f>
        <v>1.029023101611005</v>
      </c>
      <c r="AW126" s="21">
        <f>EXP(-LN(2)/2)*AW125+(1-EXP(-LN(2)/2))/(LN(2)/2)*AQ126*AT126*VLOOKUP('Données projet'!$B$10,Paramètres!$A$1:$I$89,3,0)*0.475*44/12</f>
        <v>1.6049032394315567E-13</v>
      </c>
      <c r="AX126" s="21">
        <f t="shared" si="60"/>
        <v>1.8692837339985138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6.2527760746888816E-13</v>
      </c>
      <c r="BE126" s="13">
        <f>BD126*VLOOKUP('Données projet'!$B$11,Paramètres!$A$1:$I$89,3,0)*VLOOKUP('Données projet'!$B$11,Paramètres!$A$1:$I$89,5,0)</f>
        <v>3.9017322706058616E-13</v>
      </c>
      <c r="BF126" s="13">
        <f t="shared" si="91"/>
        <v>5.0025007393608908E-12</v>
      </c>
      <c r="BG126" s="20">
        <f t="shared" si="61"/>
        <v>9.3922404915174053E-12</v>
      </c>
      <c r="BH126" s="59">
        <f t="shared" si="62"/>
        <v>293.33333333334269</v>
      </c>
      <c r="BI126" s="59">
        <f ca="1">AVERAGE(OFFSET($BH$3,0,0,'Données projet'!$E$11+1,1))-AVERAGE(OFFSET($H$3,0,0,'Données projet'!$E$11+1,1))</f>
        <v>209.93608079129638</v>
      </c>
      <c r="BJ126" s="59">
        <f t="shared" si="92"/>
        <v>240.15652428700969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1.1023322906952879</v>
      </c>
      <c r="BQ126" s="21">
        <f>EXP(-LN(2)/25)*BQ125+(1-EXP(-LN(2)/25))/(LN(2)/25)*Calculateur!BL126*Calculateur!BN126*VLOOKUP('Données projet'!$B$11,Paramètres!$A$1:$I$89,3,0)*0.475*44/12</f>
        <v>1.5775357566739343</v>
      </c>
      <c r="BR126" s="21">
        <f>EXP(-LN(2)/2)*BR125+(1-EXP(-LN(2)/2))/(LN(2)/2)*BL126*BO126*VLOOKUP('Données projet'!$B$11,Paramètres!$A$1:$I$89,3,0)*0.475*44/12</f>
        <v>2.0288926180517461E-13</v>
      </c>
      <c r="BS126" s="22">
        <f t="shared" si="63"/>
        <v>2.6798680473694252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215.23235148064941</v>
      </c>
      <c r="CE126" s="59">
        <f t="shared" si="94"/>
        <v>184.07239726900434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0.4969353335464744</v>
      </c>
      <c r="CL126" s="21">
        <f>EXP(-LN(2)/25)*CL125+(1-EXP(-LN(2)/25))/(LN(2)/25)*Calculateur!CG126*Calculateur!CI126*VLOOKUP('Données projet'!$B$12,Paramètres!$A$1:$I$89,3,0)*0.475*44/12</f>
        <v>0.59612903957288865</v>
      </c>
      <c r="CM126" s="21">
        <f>EXP(-LN(2)/2)*CM125+(1-EXP(-LN(2)/2))/(LN(2)/2)*CG126*CJ126*VLOOKUP('Données projet'!$B$12,Paramètres!$A$1:$I$89,3,0)*0.475*44/12</f>
        <v>9.8799527322628607E-14</v>
      </c>
      <c r="CN126" s="22">
        <f t="shared" si="66"/>
        <v>1.0930643731194618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-1.1527845344971866E-13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279.20364724206644</v>
      </c>
      <c r="CZ126" s="59">
        <f t="shared" si="96"/>
        <v>173.99850582760712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0.26414754915786193</v>
      </c>
      <c r="DH126" s="21">
        <f>EXP(-LN(2)/2)*DH125+(1-EXP(-LN(2)/2))/(LN(2)/2)*DB126*DE126*VLOOKUP('Données projet'!$B$13,Paramètres!$A$1:$I$89,3,0)*0.475*44/12</f>
        <v>6.9700429834655329E-14</v>
      </c>
      <c r="DI126" s="22">
        <f t="shared" si="69"/>
        <v>0.26414754915793165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-1.1882548278663309E-13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291.18074901939718</v>
      </c>
      <c r="DU126" s="59">
        <f t="shared" si="98"/>
        <v>181.05123751753774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0.27227516605502694</v>
      </c>
      <c r="EC126" s="21">
        <f>EXP(-LN(2)/2)*EC125+(1-EXP(-LN(2)/2))/(LN(2)/2)*DW126*DZ126*VLOOKUP('Données projet'!$B$14,Paramètres!$A$1:$I$89,3,0)*0.475*44/12</f>
        <v>7.1845058444952486E-14</v>
      </c>
      <c r="ED126" s="22">
        <f t="shared" si="72"/>
        <v>0.27227516605509877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168.08890945052406</v>
      </c>
      <c r="EP126" s="59">
        <f t="shared" si="100"/>
        <v>182.52462557642343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0.98485028564147958</v>
      </c>
      <c r="EW126" s="21">
        <f>EXP(-LN(2)/25)*EW125+(1-EXP(-LN(2)/25))/(LN(2)/25)*Calculateur!ER126*Calculateur!ET126*VLOOKUP('Données projet'!$B$15,Paramètres!$A$1:$I$89,3,0)*0.475*44/12</f>
        <v>0.93575588440015156</v>
      </c>
      <c r="EX126" s="21">
        <f>EXP(-LN(2)/2)*EX125+(1-EXP(-LN(2)/2))/(LN(2)/2)*ER126*EU126*VLOOKUP('Données projet'!$B$15,Paramètres!$A$1:$I$89,3,0)*0.475*44/12</f>
        <v>5.4721539384611835E-14</v>
      </c>
      <c r="EY126" s="22">
        <f t="shared" si="75"/>
        <v>1.9206061700416859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3.813056537183002E-14</v>
      </c>
      <c r="FG126" s="13">
        <f t="shared" si="101"/>
        <v>6.4086286045526829E-13</v>
      </c>
      <c r="FH126" s="20">
        <f t="shared" si="76"/>
        <v>1.1825802166488628E-12</v>
      </c>
      <c r="FI126" s="59">
        <f t="shared" si="77"/>
        <v>293.33333333333451</v>
      </c>
      <c r="FJ126" s="59">
        <f ca="1">AVERAGE(OFFSET($FI$3,0,0,'Données projet'!$E$16+1,1))-AVERAGE(OFFSET($H$3,0,0,'Données projet'!$E$16+1,1))</f>
        <v>156.63226020379989</v>
      </c>
      <c r="FK126" s="59">
        <f t="shared" si="102"/>
        <v>196.0481096619543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0.65793885943274866</v>
      </c>
      <c r="FS126" s="21">
        <f>EXP(-LN(2)/2)*FS125+(1-EXP(-LN(2)/2))/(LN(2)/2)*FM126*FP126*VLOOKUP('Données projet'!$B$16,Paramètres!$A$1:$I$89,3,0)*0.475*44/12</f>
        <v>9.1175603715243395E-14</v>
      </c>
      <c r="FT126" s="22">
        <f t="shared" si="78"/>
        <v>0.65793885943283981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-4.5474735088646412E-13</v>
      </c>
      <c r="GA126" s="17">
        <f>FZ126*VLOOKUP('Données projet'!$B$17,Paramètres!$A$1:$I$89,3,0)*VLOOKUP('Données projet'!$B$17,Paramètres!$A$1:$I$89,5,0)</f>
        <v>-2.7193891583010558E-13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216.94426559495264</v>
      </c>
      <c r="GF126" s="59">
        <f t="shared" si="104"/>
        <v>225.33715877618704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0.97509437955626876</v>
      </c>
      <c r="GN126" s="21">
        <f>EXP(-LN(2)/2)*GN125+(1-EXP(-LN(2)/2))/(LN(2)/2)*GH126*GK126*VLOOKUP('Données projet'!$B$17,Paramètres!$A$1:$I$89,3,0)*0.475*44/12</f>
        <v>2.3844664951856987E-13</v>
      </c>
      <c r="GO126" s="21">
        <f t="shared" si="81"/>
        <v>0.97509437955650724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-1.1368683772161603E-13</v>
      </c>
      <c r="GV126" s="17">
        <f>GU126*VLOOKUP('Données projet'!$B$18,Paramètres!$A$1:$I$89,3,0)*VLOOKUP('Données projet'!$B$18,Paramètres!$A$1:$I$89,5,0)</f>
        <v>-1.0995790944434703E-13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261.22357949323879</v>
      </c>
      <c r="HA126" s="59">
        <f t="shared" si="106"/>
        <v>163.41029152029387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0.25195612381211446</v>
      </c>
      <c r="HI126" s="21">
        <f>EXP(-LN(2)/2)*HI125+(1-EXP(-LN(2)/2))/(LN(2)/2)*HC126*HF126*VLOOKUP('Données projet'!$B$18,Paramètres!$A$1:$I$89,3,0)*0.475*44/12</f>
        <v>6.6483486919209695E-14</v>
      </c>
      <c r="HJ126" s="22">
        <f t="shared" si="84"/>
        <v>0.25195612381218097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237.22177246688199</v>
      </c>
      <c r="T127" s="59">
        <f t="shared" si="88"/>
        <v>149.27472147904302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227.99999999999986</v>
      </c>
      <c r="AJ127" s="13">
        <f>AI127*VLOOKUP('Données projet'!$B$10,Paramètres!$A$1:$I$89,3,0)*VLOOKUP('Données projet'!$B$10,Paramètres!$A$1:$I$89,5,0)</f>
        <v>199.18079999999992</v>
      </c>
      <c r="AK127" s="13">
        <f t="shared" si="89"/>
        <v>49.564089376413683</v>
      </c>
      <c r="AL127" s="20">
        <f t="shared" si="58"/>
        <v>433.23068233058694</v>
      </c>
      <c r="AM127" s="59">
        <f t="shared" si="59"/>
        <v>726.56401566392026</v>
      </c>
      <c r="AN127" s="59">
        <f ca="1">AVERAGE(OFFSET($AM$3,0,0,'Données projet'!$E$10+1,1))-AVERAGE(OFFSET($H$3,0,0,'Données projet'!$E$10+1,1))</f>
        <v>210.07838338464626</v>
      </c>
      <c r="AO127" s="59">
        <f t="shared" si="90"/>
        <v>241.76003724236273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0.82378363389461218</v>
      </c>
      <c r="AV127" s="21">
        <f>EXP(-LN(2)/25)*AV126+(1-EXP(-LN(2)/25))/(LN(2)/25)*Calculateur!AQ127*Calculateur!AS127*VLOOKUP('Données projet'!$B$10,Paramètres!$A$1:$I$89,3,0)*0.475*44/12</f>
        <v>1.0008844107834789</v>
      </c>
      <c r="AW127" s="21">
        <f>EXP(-LN(2)/2)*AW126+(1-EXP(-LN(2)/2))/(LN(2)/2)*AQ127*AT127*VLOOKUP('Données projet'!$B$10,Paramètres!$A$1:$I$89,3,0)*0.475*44/12</f>
        <v>1.1348379637503111E-13</v>
      </c>
      <c r="AX127" s="21">
        <f t="shared" si="60"/>
        <v>1.8246680446782044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6.2527760746888816E-13</v>
      </c>
      <c r="BE127" s="13">
        <f>BD127*VLOOKUP('Données projet'!$B$11,Paramètres!$A$1:$I$89,3,0)*VLOOKUP('Données projet'!$B$11,Paramètres!$A$1:$I$89,5,0)</f>
        <v>3.9017322706058616E-13</v>
      </c>
      <c r="BF127" s="13">
        <f t="shared" si="91"/>
        <v>5.0025007393608908E-12</v>
      </c>
      <c r="BG127" s="20">
        <f t="shared" si="61"/>
        <v>9.3922404915174053E-12</v>
      </c>
      <c r="BH127" s="59">
        <f t="shared" si="62"/>
        <v>293.33333333334269</v>
      </c>
      <c r="BI127" s="59">
        <f ca="1">AVERAGE(OFFSET($BH$3,0,0,'Données projet'!$E$11+1,1))-AVERAGE(OFFSET($H$3,0,0,'Données projet'!$E$11+1,1))</f>
        <v>209.93608079129638</v>
      </c>
      <c r="BJ127" s="59">
        <f t="shared" si="92"/>
        <v>240.15652428700969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1.0807162268310611</v>
      </c>
      <c r="BQ127" s="21">
        <f>EXP(-LN(2)/25)*BQ126+(1-EXP(-LN(2)/25))/(LN(2)/25)*Calculateur!BL127*Calculateur!BN127*VLOOKUP('Données projet'!$B$11,Paramètres!$A$1:$I$89,3,0)*0.475*44/12</f>
        <v>1.5343979584486855</v>
      </c>
      <c r="BR127" s="21">
        <f>EXP(-LN(2)/2)*BR126+(1-EXP(-LN(2)/2))/(LN(2)/2)*BL127*BO127*VLOOKUP('Données projet'!$B$11,Paramètres!$A$1:$I$89,3,0)*0.475*44/12</f>
        <v>1.4346437285237175E-13</v>
      </c>
      <c r="BS127" s="22">
        <f t="shared" si="63"/>
        <v>2.6151141852798898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215.23235148064941</v>
      </c>
      <c r="CE127" s="59">
        <f t="shared" si="94"/>
        <v>184.07239726900434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0.4871907347562528</v>
      </c>
      <c r="CL127" s="21">
        <f>EXP(-LN(2)/25)*CL126+(1-EXP(-LN(2)/25))/(LN(2)/25)*Calculateur!CG127*Calculateur!CI127*VLOOKUP('Données projet'!$B$12,Paramètres!$A$1:$I$89,3,0)*0.475*44/12</f>
        <v>0.57982785963670425</v>
      </c>
      <c r="CM127" s="21">
        <f>EXP(-LN(2)/2)*CM126+(1-EXP(-LN(2)/2))/(LN(2)/2)*CG127*CJ127*VLOOKUP('Données projet'!$B$12,Paramètres!$A$1:$I$89,3,0)*0.475*44/12</f>
        <v>6.9861815747856269E-14</v>
      </c>
      <c r="CN127" s="22">
        <f t="shared" si="66"/>
        <v>1.067018594393027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-1.1527845344971866E-13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279.20364724206644</v>
      </c>
      <c r="CZ127" s="59">
        <f t="shared" si="96"/>
        <v>173.99850582760712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0.2569244205352243</v>
      </c>
      <c r="DH127" s="21">
        <f>EXP(-LN(2)/2)*DH126+(1-EXP(-LN(2)/2))/(LN(2)/2)*DB127*DE127*VLOOKUP('Données projet'!$B$13,Paramètres!$A$1:$I$89,3,0)*0.475*44/12</f>
        <v>4.9285646587701935E-14</v>
      </c>
      <c r="DI127" s="22">
        <f t="shared" si="69"/>
        <v>0.25692442053527359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-1.1882548278663309E-13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291.18074901939718</v>
      </c>
      <c r="DU127" s="59">
        <f t="shared" si="98"/>
        <v>181.05123751753774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0.26482978732092355</v>
      </c>
      <c r="EC127" s="21">
        <f>EXP(-LN(2)/2)*EC126+(1-EXP(-LN(2)/2))/(LN(2)/2)*DW127*DZ127*VLOOKUP('Données projet'!$B$14,Paramètres!$A$1:$I$89,3,0)*0.475*44/12</f>
        <v>5.0802128021169736E-14</v>
      </c>
      <c r="ED127" s="22">
        <f t="shared" si="72"/>
        <v>0.26482978732097434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168.08890945052406</v>
      </c>
      <c r="EP127" s="59">
        <f t="shared" si="100"/>
        <v>182.52462557642343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0.96553797223941029</v>
      </c>
      <c r="EW127" s="21">
        <f>EXP(-LN(2)/25)*EW126+(1-EXP(-LN(2)/25))/(LN(2)/25)*Calculateur!ER127*Calculateur!ET127*VLOOKUP('Données projet'!$B$15,Paramètres!$A$1:$I$89,3,0)*0.475*44/12</f>
        <v>0.91016759053196616</v>
      </c>
      <c r="EX127" s="21">
        <f>EXP(-LN(2)/2)*EX126+(1-EXP(-LN(2)/2))/(LN(2)/2)*ER127*EU127*VLOOKUP('Données projet'!$B$15,Paramètres!$A$1:$I$89,3,0)*0.475*44/12</f>
        <v>3.8693971575825763E-14</v>
      </c>
      <c r="EY127" s="22">
        <f t="shared" si="75"/>
        <v>1.8757055627714152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3.813056537183002E-14</v>
      </c>
      <c r="FG127" s="13">
        <f t="shared" si="101"/>
        <v>6.4086286045526829E-13</v>
      </c>
      <c r="FH127" s="20">
        <f t="shared" si="76"/>
        <v>1.1825802166488628E-12</v>
      </c>
      <c r="FI127" s="59">
        <f t="shared" si="77"/>
        <v>293.33333333333451</v>
      </c>
      <c r="FJ127" s="59">
        <f ca="1">AVERAGE(OFFSET($FI$3,0,0,'Données projet'!$E$16+1,1))-AVERAGE(OFFSET($H$3,0,0,'Données projet'!$E$16+1,1))</f>
        <v>156.63226020379989</v>
      </c>
      <c r="FK127" s="59">
        <f t="shared" si="102"/>
        <v>196.0481096619543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0.63994748672205926</v>
      </c>
      <c r="FS127" s="21">
        <f>EXP(-LN(2)/2)*FS126+(1-EXP(-LN(2)/2))/(LN(2)/2)*FM127*FP127*VLOOKUP('Données projet'!$B$16,Paramètres!$A$1:$I$89,3,0)*0.475*44/12</f>
        <v>6.4470887665825981E-14</v>
      </c>
      <c r="FT127" s="22">
        <f t="shared" si="78"/>
        <v>0.63994748672212376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-4.5474735088646412E-13</v>
      </c>
      <c r="GA127" s="17">
        <f>FZ127*VLOOKUP('Données projet'!$B$17,Paramètres!$A$1:$I$89,3,0)*VLOOKUP('Données projet'!$B$17,Paramètres!$A$1:$I$89,5,0)</f>
        <v>-2.7193891583010558E-13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216.94426559495264</v>
      </c>
      <c r="GF127" s="59">
        <f t="shared" si="104"/>
        <v>225.33715877618704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0.94843037246931783</v>
      </c>
      <c r="GN127" s="21">
        <f>EXP(-LN(2)/2)*GN126+(1-EXP(-LN(2)/2))/(LN(2)/2)*GH127*GK127*VLOOKUP('Données projet'!$B$17,Paramètres!$A$1:$I$89,3,0)*0.475*44/12</f>
        <v>1.6860724282579278E-13</v>
      </c>
      <c r="GO127" s="21">
        <f t="shared" si="81"/>
        <v>0.94843037246948647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-1.1368683772161603E-13</v>
      </c>
      <c r="GV127" s="17">
        <f>GU127*VLOOKUP('Données projet'!$B$18,Paramètres!$A$1:$I$89,3,0)*VLOOKUP('Données projet'!$B$18,Paramètres!$A$1:$I$89,5,0)</f>
        <v>-1.0995790944434703E-13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261.22357949323879</v>
      </c>
      <c r="HA127" s="59">
        <f t="shared" si="106"/>
        <v>163.41029152029387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0.2450663703566755</v>
      </c>
      <c r="HI127" s="21">
        <f>EXP(-LN(2)/2)*HI126+(1-EXP(-LN(2)/2))/(LN(2)/2)*HC127*HF127*VLOOKUP('Données projet'!$B$18,Paramètres!$A$1:$I$89,3,0)*0.475*44/12</f>
        <v>4.7010924437500306E-14</v>
      </c>
      <c r="HJ127" s="22">
        <f t="shared" si="84"/>
        <v>0.24506637035672252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237.22177246688199</v>
      </c>
      <c r="T128" s="59">
        <f t="shared" si="88"/>
        <v>149.27472147904302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227.99999999999986</v>
      </c>
      <c r="AJ128" s="13">
        <f>AI128*VLOOKUP('Données projet'!$B$10,Paramètres!$A$1:$I$89,3,0)*VLOOKUP('Données projet'!$B$10,Paramètres!$A$1:$I$89,5,0)</f>
        <v>199.18079999999992</v>
      </c>
      <c r="AK128" s="13">
        <f t="shared" si="89"/>
        <v>49.564089376413683</v>
      </c>
      <c r="AL128" s="20">
        <f t="shared" si="58"/>
        <v>433.23068233058694</v>
      </c>
      <c r="AM128" s="59">
        <f t="shared" si="59"/>
        <v>726.56401566392026</v>
      </c>
      <c r="AN128" s="59">
        <f ca="1">AVERAGE(OFFSET($AM$3,0,0,'Données projet'!$E$10+1,1))-AVERAGE(OFFSET($H$3,0,0,'Données projet'!$E$10+1,1))</f>
        <v>210.07838338464626</v>
      </c>
      <c r="AO128" s="59">
        <f t="shared" si="90"/>
        <v>241.76003724236273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0.80762973929234183</v>
      </c>
      <c r="AV128" s="21">
        <f>EXP(-LN(2)/25)*AV127+(1-EXP(-LN(2)/25))/(LN(2)/25)*Calculateur!AQ128*Calculateur!AS128*VLOOKUP('Données projet'!$B$10,Paramètres!$A$1:$I$89,3,0)*0.475*44/12</f>
        <v>0.9735151739363811</v>
      </c>
      <c r="AW128" s="21">
        <f>EXP(-LN(2)/2)*AW127+(1-EXP(-LN(2)/2))/(LN(2)/2)*AQ128*AT128*VLOOKUP('Données projet'!$B$10,Paramètres!$A$1:$I$89,3,0)*0.475*44/12</f>
        <v>8.0245161971577845E-14</v>
      </c>
      <c r="AX128" s="21">
        <f t="shared" si="60"/>
        <v>1.7811449132288031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6.2527760746888816E-13</v>
      </c>
      <c r="BE128" s="13">
        <f>BD128*VLOOKUP('Données projet'!$B$11,Paramètres!$A$1:$I$89,3,0)*VLOOKUP('Données projet'!$B$11,Paramètres!$A$1:$I$89,5,0)</f>
        <v>3.9017322706058616E-13</v>
      </c>
      <c r="BF128" s="13">
        <f t="shared" si="91"/>
        <v>5.0025007393608908E-12</v>
      </c>
      <c r="BG128" s="20">
        <f t="shared" si="61"/>
        <v>9.3922404915174053E-12</v>
      </c>
      <c r="BH128" s="59">
        <f t="shared" si="62"/>
        <v>293.33333333334269</v>
      </c>
      <c r="BI128" s="59">
        <f ca="1">AVERAGE(OFFSET($BH$3,0,0,'Données projet'!$E$11+1,1))-AVERAGE(OFFSET($H$3,0,0,'Données projet'!$E$11+1,1))</f>
        <v>209.93608079129638</v>
      </c>
      <c r="BJ128" s="59">
        <f t="shared" si="92"/>
        <v>240.15652428700969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1.0595240407947144</v>
      </c>
      <c r="BQ128" s="21">
        <f>EXP(-LN(2)/25)*BQ127+(1-EXP(-LN(2)/25))/(LN(2)/25)*Calculateur!BL128*Calculateur!BN128*VLOOKUP('Données projet'!$B$11,Paramètres!$A$1:$I$89,3,0)*0.475*44/12</f>
        <v>1.4924397655844246</v>
      </c>
      <c r="BR128" s="21">
        <f>EXP(-LN(2)/2)*BR127+(1-EXP(-LN(2)/2))/(LN(2)/2)*BL128*BO128*VLOOKUP('Données projet'!$B$11,Paramètres!$A$1:$I$89,3,0)*0.475*44/12</f>
        <v>1.014446309025873E-13</v>
      </c>
      <c r="BS128" s="22">
        <f t="shared" si="63"/>
        <v>2.5519638063792405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215.23235148064941</v>
      </c>
      <c r="CE128" s="59">
        <f t="shared" si="94"/>
        <v>184.07239726900434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0.47763722160468908</v>
      </c>
      <c r="CL128" s="21">
        <f>EXP(-LN(2)/25)*CL127+(1-EXP(-LN(2)/25))/(LN(2)/25)*Calculateur!CG128*Calculateur!CI128*VLOOKUP('Données projet'!$B$12,Paramètres!$A$1:$I$89,3,0)*0.475*44/12</f>
        <v>0.56397243632311667</v>
      </c>
      <c r="CM128" s="21">
        <f>EXP(-LN(2)/2)*CM127+(1-EXP(-LN(2)/2))/(LN(2)/2)*CG128*CJ128*VLOOKUP('Données projet'!$B$12,Paramètres!$A$1:$I$89,3,0)*0.475*44/12</f>
        <v>4.9399763661314303E-14</v>
      </c>
      <c r="CN128" s="22">
        <f t="shared" si="66"/>
        <v>1.0416096579278551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-1.1527845344971866E-13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279.20364724206644</v>
      </c>
      <c r="CZ128" s="59">
        <f t="shared" si="96"/>
        <v>173.99850582760712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0.24989880874462053</v>
      </c>
      <c r="DH128" s="21">
        <f>EXP(-LN(2)/2)*DH127+(1-EXP(-LN(2)/2))/(LN(2)/2)*DB128*DE128*VLOOKUP('Données projet'!$B$13,Paramètres!$A$1:$I$89,3,0)*0.475*44/12</f>
        <v>3.4850214917327665E-14</v>
      </c>
      <c r="DI128" s="22">
        <f t="shared" si="69"/>
        <v>0.24989880874465539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-1.1882548278663309E-13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291.18074901939718</v>
      </c>
      <c r="DU128" s="59">
        <f t="shared" si="98"/>
        <v>181.05123751753774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0.25758800285983968</v>
      </c>
      <c r="EC128" s="21">
        <f>EXP(-LN(2)/2)*EC127+(1-EXP(-LN(2)/2))/(LN(2)/2)*DW128*DZ128*VLOOKUP('Données projet'!$B$14,Paramètres!$A$1:$I$89,3,0)*0.475*44/12</f>
        <v>3.5922529222476243E-14</v>
      </c>
      <c r="ED128" s="22">
        <f t="shared" si="72"/>
        <v>0.2575880028598756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168.08890945052406</v>
      </c>
      <c r="EP128" s="59">
        <f t="shared" si="100"/>
        <v>182.52462557642343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0.94660436152380745</v>
      </c>
      <c r="EW128" s="21">
        <f>EXP(-LN(2)/25)*EW127+(1-EXP(-LN(2)/25))/(LN(2)/25)*Calculateur!ER128*Calculateur!ET128*VLOOKUP('Données projet'!$B$15,Paramètres!$A$1:$I$89,3,0)*0.475*44/12</f>
        <v>0.88527900990523622</v>
      </c>
      <c r="EX128" s="21">
        <f>EXP(-LN(2)/2)*EX127+(1-EXP(-LN(2)/2))/(LN(2)/2)*ER128*EU128*VLOOKUP('Données projet'!$B$15,Paramètres!$A$1:$I$89,3,0)*0.475*44/12</f>
        <v>2.7360769692305918E-14</v>
      </c>
      <c r="EY128" s="22">
        <f t="shared" si="75"/>
        <v>1.831883371429071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3.813056537183002E-14</v>
      </c>
      <c r="FG128" s="13">
        <f t="shared" si="101"/>
        <v>6.4086286045526829E-13</v>
      </c>
      <c r="FH128" s="20">
        <f t="shared" si="76"/>
        <v>1.1825802166488628E-12</v>
      </c>
      <c r="FI128" s="59">
        <f t="shared" si="77"/>
        <v>293.33333333333451</v>
      </c>
      <c r="FJ128" s="59">
        <f ca="1">AVERAGE(OFFSET($FI$3,0,0,'Données projet'!$E$16+1,1))-AVERAGE(OFFSET($H$3,0,0,'Données projet'!$E$16+1,1))</f>
        <v>156.63226020379989</v>
      </c>
      <c r="FK128" s="59">
        <f t="shared" si="102"/>
        <v>196.0481096619543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0.62244808904426885</v>
      </c>
      <c r="FS128" s="21">
        <f>EXP(-LN(2)/2)*FS127+(1-EXP(-LN(2)/2))/(LN(2)/2)*FM128*FP128*VLOOKUP('Données projet'!$B$16,Paramètres!$A$1:$I$89,3,0)*0.475*44/12</f>
        <v>4.5587801857621697E-14</v>
      </c>
      <c r="FT128" s="22">
        <f t="shared" si="78"/>
        <v>0.62244808904431448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-4.5474735088646412E-13</v>
      </c>
      <c r="GA128" s="17">
        <f>FZ128*VLOOKUP('Données projet'!$B$17,Paramètres!$A$1:$I$89,3,0)*VLOOKUP('Données projet'!$B$17,Paramètres!$A$1:$I$89,5,0)</f>
        <v>-2.7193891583010558E-13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216.94426559495264</v>
      </c>
      <c r="GF128" s="59">
        <f t="shared" si="104"/>
        <v>225.33715877618704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0.92249549405835873</v>
      </c>
      <c r="GN128" s="21">
        <f>EXP(-LN(2)/2)*GN127+(1-EXP(-LN(2)/2))/(LN(2)/2)*GH128*GK128*VLOOKUP('Données projet'!$B$17,Paramètres!$A$1:$I$89,3,0)*0.475*44/12</f>
        <v>1.1922332475928494E-13</v>
      </c>
      <c r="GO128" s="21">
        <f t="shared" si="81"/>
        <v>0.92249549405847797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-1.1368683772161603E-13</v>
      </c>
      <c r="GV128" s="17">
        <f>GU128*VLOOKUP('Données projet'!$B$18,Paramètres!$A$1:$I$89,3,0)*VLOOKUP('Données projet'!$B$18,Paramètres!$A$1:$I$89,5,0)</f>
        <v>-1.0995790944434703E-13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261.22357949323879</v>
      </c>
      <c r="HA128" s="59">
        <f t="shared" si="106"/>
        <v>163.41029152029387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0.2383650175717919</v>
      </c>
      <c r="HI128" s="21">
        <f>EXP(-LN(2)/2)*HI127+(1-EXP(-LN(2)/2))/(LN(2)/2)*HC128*HF128*VLOOKUP('Données projet'!$B$18,Paramètres!$A$1:$I$89,3,0)*0.475*44/12</f>
        <v>3.3241743459604848E-14</v>
      </c>
      <c r="HJ128" s="22">
        <f t="shared" si="84"/>
        <v>0.23836501757182516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237.22177246688199</v>
      </c>
      <c r="T129" s="59">
        <f t="shared" si="88"/>
        <v>149.27472147904302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227.99999999999986</v>
      </c>
      <c r="AJ129" s="13">
        <f>AI129*VLOOKUP('Données projet'!$B$10,Paramètres!$A$1:$I$89,3,0)*VLOOKUP('Données projet'!$B$10,Paramètres!$A$1:$I$89,5,0)</f>
        <v>199.18079999999992</v>
      </c>
      <c r="AK129" s="13">
        <f t="shared" si="89"/>
        <v>49.564089376413683</v>
      </c>
      <c r="AL129" s="20">
        <f t="shared" si="58"/>
        <v>433.23068233058694</v>
      </c>
      <c r="AM129" s="59">
        <f t="shared" si="59"/>
        <v>726.56401566392026</v>
      </c>
      <c r="AN129" s="59">
        <f ca="1">AVERAGE(OFFSET($AM$3,0,0,'Données projet'!$E$10+1,1))-AVERAGE(OFFSET($H$3,0,0,'Données projet'!$E$10+1,1))</f>
        <v>210.07838338464626</v>
      </c>
      <c r="AO129" s="59">
        <f t="shared" si="90"/>
        <v>241.76003724236273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0.7917926127103192</v>
      </c>
      <c r="AV129" s="21">
        <f>EXP(-LN(2)/25)*AV128+(1-EXP(-LN(2)/25))/(LN(2)/25)*Calculateur!AQ129*Calculateur!AS129*VLOOKUP('Données projet'!$B$10,Paramètres!$A$1:$I$89,3,0)*0.475*44/12</f>
        <v>0.94689435031015279</v>
      </c>
      <c r="AW129" s="21">
        <f>EXP(-LN(2)/2)*AW128+(1-EXP(-LN(2)/2))/(LN(2)/2)*AQ129*AT129*VLOOKUP('Données projet'!$B$10,Paramètres!$A$1:$I$89,3,0)*0.475*44/12</f>
        <v>5.6741898187515562E-14</v>
      </c>
      <c r="AX129" s="21">
        <f t="shared" si="60"/>
        <v>1.7386869630205288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6.2527760746888816E-13</v>
      </c>
      <c r="BE129" s="13">
        <f>BD129*VLOOKUP('Données projet'!$B$11,Paramètres!$A$1:$I$89,3,0)*VLOOKUP('Données projet'!$B$11,Paramètres!$A$1:$I$89,5,0)</f>
        <v>3.9017322706058616E-13</v>
      </c>
      <c r="BF129" s="13">
        <f t="shared" si="91"/>
        <v>5.0025007393608908E-12</v>
      </c>
      <c r="BG129" s="20">
        <f t="shared" si="61"/>
        <v>9.3922404915174053E-12</v>
      </c>
      <c r="BH129" s="59">
        <f t="shared" si="62"/>
        <v>293.33333333334269</v>
      </c>
      <c r="BI129" s="59">
        <f ca="1">AVERAGE(OFFSET($BH$3,0,0,'Données projet'!$E$11+1,1))-AVERAGE(OFFSET($H$3,0,0,'Données projet'!$E$11+1,1))</f>
        <v>209.93608079129638</v>
      </c>
      <c r="BJ129" s="59">
        <f t="shared" si="92"/>
        <v>240.15652428700969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1.0387474206005836</v>
      </c>
      <c r="BQ129" s="21">
        <f>EXP(-LN(2)/25)*BQ128+(1-EXP(-LN(2)/25))/(LN(2)/25)*Calculateur!BL129*Calculateur!BN129*VLOOKUP('Données projet'!$B$11,Paramètres!$A$1:$I$89,3,0)*0.475*44/12</f>
        <v>1.4516289217105223</v>
      </c>
      <c r="BR129" s="21">
        <f>EXP(-LN(2)/2)*BR128+(1-EXP(-LN(2)/2))/(LN(2)/2)*BL129*BO129*VLOOKUP('Données projet'!$B$11,Paramètres!$A$1:$I$89,3,0)*0.475*44/12</f>
        <v>7.1732186426185876E-14</v>
      </c>
      <c r="BS129" s="22">
        <f t="shared" si="63"/>
        <v>2.490376342311178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215.23235148064941</v>
      </c>
      <c r="CE129" s="59">
        <f t="shared" si="94"/>
        <v>184.07239726900434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0.46827104701895989</v>
      </c>
      <c r="CL129" s="21">
        <f>EXP(-LN(2)/25)*CL128+(1-EXP(-LN(2)/25))/(LN(2)/25)*Calculateur!CG129*Calculateur!CI129*VLOOKUP('Données projet'!$B$12,Paramètres!$A$1:$I$89,3,0)*0.475*44/12</f>
        <v>0.54855058039383964</v>
      </c>
      <c r="CM129" s="21">
        <f>EXP(-LN(2)/2)*CM128+(1-EXP(-LN(2)/2))/(LN(2)/2)*CG129*CJ129*VLOOKUP('Données projet'!$B$12,Paramètres!$A$1:$I$89,3,0)*0.475*44/12</f>
        <v>3.4930907873928134E-14</v>
      </c>
      <c r="CN129" s="22">
        <f t="shared" si="66"/>
        <v>1.0168216274128343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-1.1527845344971866E-13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279.20364724206644</v>
      </c>
      <c r="CZ129" s="59">
        <f t="shared" si="96"/>
        <v>173.99850582760712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0.24306531267789169</v>
      </c>
      <c r="DH129" s="21">
        <f>EXP(-LN(2)/2)*DH128+(1-EXP(-LN(2)/2))/(LN(2)/2)*DB129*DE129*VLOOKUP('Données projet'!$B$13,Paramètres!$A$1:$I$89,3,0)*0.475*44/12</f>
        <v>2.4642823293850967E-14</v>
      </c>
      <c r="DI129" s="22">
        <f t="shared" si="69"/>
        <v>0.24306531267791634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-1.1882548278663309E-13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291.18074901939718</v>
      </c>
      <c r="DU129" s="59">
        <f t="shared" si="98"/>
        <v>181.05123751753774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0.25054424537567305</v>
      </c>
      <c r="EC129" s="21">
        <f>EXP(-LN(2)/2)*EC128+(1-EXP(-LN(2)/2))/(LN(2)/2)*DW129*DZ129*VLOOKUP('Données projet'!$B$14,Paramètres!$A$1:$I$89,3,0)*0.475*44/12</f>
        <v>2.5401064010584868E-14</v>
      </c>
      <c r="ED129" s="22">
        <f t="shared" si="72"/>
        <v>0.25054424537569847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168.08890945052406</v>
      </c>
      <c r="EP129" s="59">
        <f t="shared" si="100"/>
        <v>182.52462557642343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0.92804202736597541</v>
      </c>
      <c r="EW129" s="21">
        <f>EXP(-LN(2)/25)*EW128+(1-EXP(-LN(2)/25))/(LN(2)/25)*Calculateur!ER129*Calculateur!ET129*VLOOKUP('Données projet'!$B$15,Paramètres!$A$1:$I$89,3,0)*0.475*44/12</f>
        <v>0.86107100882457777</v>
      </c>
      <c r="EX129" s="21">
        <f>EXP(-LN(2)/2)*EX128+(1-EXP(-LN(2)/2))/(LN(2)/2)*ER129*EU129*VLOOKUP('Données projet'!$B$15,Paramètres!$A$1:$I$89,3,0)*0.475*44/12</f>
        <v>1.9346985787912882E-14</v>
      </c>
      <c r="EY129" s="22">
        <f t="shared" si="75"/>
        <v>1.7891130361905725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3.813056537183002E-14</v>
      </c>
      <c r="FG129" s="13">
        <f t="shared" si="101"/>
        <v>6.4086286045526829E-13</v>
      </c>
      <c r="FH129" s="20">
        <f t="shared" si="76"/>
        <v>1.1825802166488628E-12</v>
      </c>
      <c r="FI129" s="59">
        <f t="shared" si="77"/>
        <v>293.33333333333451</v>
      </c>
      <c r="FJ129" s="59">
        <f ca="1">AVERAGE(OFFSET($FI$3,0,0,'Données projet'!$E$16+1,1))-AVERAGE(OFFSET($H$3,0,0,'Données projet'!$E$16+1,1))</f>
        <v>156.63226020379989</v>
      </c>
      <c r="FK129" s="59">
        <f t="shared" si="102"/>
        <v>196.0481096619543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0.60542721331623095</v>
      </c>
      <c r="FS129" s="21">
        <f>EXP(-LN(2)/2)*FS128+(1-EXP(-LN(2)/2))/(LN(2)/2)*FM129*FP129*VLOOKUP('Données projet'!$B$16,Paramètres!$A$1:$I$89,3,0)*0.475*44/12</f>
        <v>3.223544383291299E-14</v>
      </c>
      <c r="FT129" s="22">
        <f t="shared" si="78"/>
        <v>0.60542721331626315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-4.5474735088646412E-13</v>
      </c>
      <c r="GA129" s="17">
        <f>FZ129*VLOOKUP('Données projet'!$B$17,Paramètres!$A$1:$I$89,3,0)*VLOOKUP('Données projet'!$B$17,Paramètres!$A$1:$I$89,5,0)</f>
        <v>-2.7193891583010558E-13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216.94426559495264</v>
      </c>
      <c r="GF129" s="59">
        <f t="shared" si="104"/>
        <v>225.33715877618704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0.89726980626140329</v>
      </c>
      <c r="GN129" s="21">
        <f>EXP(-LN(2)/2)*GN128+(1-EXP(-LN(2)/2))/(LN(2)/2)*GH129*GK129*VLOOKUP('Données projet'!$B$17,Paramètres!$A$1:$I$89,3,0)*0.475*44/12</f>
        <v>8.4303621412896389E-14</v>
      </c>
      <c r="GO129" s="21">
        <f t="shared" si="81"/>
        <v>0.89726980626148756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-1.1368683772161603E-13</v>
      </c>
      <c r="GV129" s="17">
        <f>GU129*VLOOKUP('Données projet'!$B$18,Paramètres!$A$1:$I$89,3,0)*VLOOKUP('Données projet'!$B$18,Paramètres!$A$1:$I$89,5,0)</f>
        <v>-1.0995790944434703E-13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261.22357949323879</v>
      </c>
      <c r="HA129" s="59">
        <f t="shared" si="106"/>
        <v>163.41029152029387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0.23184691363121976</v>
      </c>
      <c r="HI129" s="21">
        <f>EXP(-LN(2)/2)*HI128+(1-EXP(-LN(2)/2))/(LN(2)/2)*HC129*HF129*VLOOKUP('Données projet'!$B$18,Paramètres!$A$1:$I$89,3,0)*0.475*44/12</f>
        <v>2.3505462218750153E-14</v>
      </c>
      <c r="HJ129" s="22">
        <f t="shared" si="84"/>
        <v>0.23184691363124327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237.22177246688199</v>
      </c>
      <c r="T130" s="59">
        <f t="shared" si="88"/>
        <v>149.27472147904302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227.99999999999986</v>
      </c>
      <c r="AJ130" s="13">
        <f>AI130*VLOOKUP('Données projet'!$B$10,Paramètres!$A$1:$I$89,3,0)*VLOOKUP('Données projet'!$B$10,Paramètres!$A$1:$I$89,5,0)</f>
        <v>199.18079999999992</v>
      </c>
      <c r="AK130" s="13">
        <f t="shared" si="89"/>
        <v>49.564089376413683</v>
      </c>
      <c r="AL130" s="20">
        <f t="shared" si="58"/>
        <v>433.23068233058694</v>
      </c>
      <c r="AM130" s="59">
        <f t="shared" si="59"/>
        <v>726.56401566392026</v>
      </c>
      <c r="AN130" s="59">
        <f ca="1">AVERAGE(OFFSET($AM$3,0,0,'Données projet'!$E$10+1,1))-AVERAGE(OFFSET($H$3,0,0,'Données projet'!$E$10+1,1))</f>
        <v>210.07838338464626</v>
      </c>
      <c r="AO130" s="59">
        <f t="shared" si="90"/>
        <v>241.76003724236273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0.77626604252087661</v>
      </c>
      <c r="AV130" s="21">
        <f>EXP(-LN(2)/25)*AV129+(1-EXP(-LN(2)/25))/(LN(2)/25)*Calculateur!AQ130*Calculateur!AS130*VLOOKUP('Données projet'!$B$10,Paramètres!$A$1:$I$89,3,0)*0.475*44/12</f>
        <v>0.92100147450591197</v>
      </c>
      <c r="AW130" s="21">
        <f>EXP(-LN(2)/2)*AW129+(1-EXP(-LN(2)/2))/(LN(2)/2)*AQ130*AT130*VLOOKUP('Données projet'!$B$10,Paramètres!$A$1:$I$89,3,0)*0.475*44/12</f>
        <v>4.0122580985788929E-14</v>
      </c>
      <c r="AX130" s="21">
        <f t="shared" si="60"/>
        <v>1.6972675170268288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6.2527760746888816E-13</v>
      </c>
      <c r="BE130" s="13">
        <f>BD130*VLOOKUP('Données projet'!$B$11,Paramètres!$A$1:$I$89,3,0)*VLOOKUP('Données projet'!$B$11,Paramètres!$A$1:$I$89,5,0)</f>
        <v>3.9017322706058616E-13</v>
      </c>
      <c r="BF130" s="13">
        <f t="shared" si="91"/>
        <v>5.0025007393608908E-12</v>
      </c>
      <c r="BG130" s="20">
        <f t="shared" si="61"/>
        <v>9.3922404915174053E-12</v>
      </c>
      <c r="BH130" s="59">
        <f t="shared" si="62"/>
        <v>293.33333333334269</v>
      </c>
      <c r="BI130" s="59">
        <f ca="1">AVERAGE(OFFSET($BH$3,0,0,'Données projet'!$E$11+1,1))-AVERAGE(OFFSET($H$3,0,0,'Données projet'!$E$11+1,1))</f>
        <v>209.93608079129638</v>
      </c>
      <c r="BJ130" s="59">
        <f t="shared" si="92"/>
        <v>240.15652428700969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1.0183782172559726</v>
      </c>
      <c r="BQ130" s="21">
        <f>EXP(-LN(2)/25)*BQ129+(1-EXP(-LN(2)/25))/(LN(2)/25)*Calculateur!BL130*Calculateur!BN130*VLOOKUP('Données projet'!$B$11,Paramètres!$A$1:$I$89,3,0)*0.475*44/12</f>
        <v>1.4119340525085007</v>
      </c>
      <c r="BR130" s="21">
        <f>EXP(-LN(2)/2)*BR129+(1-EXP(-LN(2)/2))/(LN(2)/2)*BL130*BO130*VLOOKUP('Données projet'!$B$11,Paramètres!$A$1:$I$89,3,0)*0.475*44/12</f>
        <v>5.0722315451293652E-14</v>
      </c>
      <c r="BS130" s="22">
        <f t="shared" si="63"/>
        <v>2.4303122697645239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215.23235148064941</v>
      </c>
      <c r="CE130" s="59">
        <f t="shared" si="94"/>
        <v>184.07239726900434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0.45908853740405442</v>
      </c>
      <c r="CL130" s="21">
        <f>EXP(-LN(2)/25)*CL129+(1-EXP(-LN(2)/25))/(LN(2)/25)*Calculateur!CG130*Calculateur!CI130*VLOOKUP('Données projet'!$B$12,Paramètres!$A$1:$I$89,3,0)*0.475*44/12</f>
        <v>0.53355043592594875</v>
      </c>
      <c r="CM130" s="21">
        <f>EXP(-LN(2)/2)*CM129+(1-EXP(-LN(2)/2))/(LN(2)/2)*CG130*CJ130*VLOOKUP('Données projet'!$B$12,Paramètres!$A$1:$I$89,3,0)*0.475*44/12</f>
        <v>2.4699881830657152E-14</v>
      </c>
      <c r="CN130" s="22">
        <f t="shared" si="66"/>
        <v>0.99263897333002782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-1.1527845344971866E-13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279.20364724206644</v>
      </c>
      <c r="CZ130" s="59">
        <f t="shared" si="96"/>
        <v>173.99850582760712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0.23641867892046547</v>
      </c>
      <c r="DH130" s="21">
        <f>EXP(-LN(2)/2)*DH129+(1-EXP(-LN(2)/2))/(LN(2)/2)*DB130*DE130*VLOOKUP('Données projet'!$B$13,Paramètres!$A$1:$I$89,3,0)*0.475*44/12</f>
        <v>1.7425107458663832E-14</v>
      </c>
      <c r="DI130" s="22">
        <f t="shared" si="69"/>
        <v>0.23641867892048291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-1.1882548278663309E-13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291.18074901939718</v>
      </c>
      <c r="DU130" s="59">
        <f t="shared" si="98"/>
        <v>181.05123751753774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0.24369309981032602</v>
      </c>
      <c r="EC130" s="21">
        <f>EXP(-LN(2)/2)*EC129+(1-EXP(-LN(2)/2))/(LN(2)/2)*DW130*DZ130*VLOOKUP('Données projet'!$B$14,Paramètres!$A$1:$I$89,3,0)*0.475*44/12</f>
        <v>1.7961264611238121E-14</v>
      </c>
      <c r="ED130" s="22">
        <f t="shared" si="72"/>
        <v>0.24369309981034398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168.08890945052406</v>
      </c>
      <c r="EP130" s="59">
        <f t="shared" si="100"/>
        <v>182.52462557642343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0.90984368925907255</v>
      </c>
      <c r="EW130" s="21">
        <f>EXP(-LN(2)/25)*EW129+(1-EXP(-LN(2)/25))/(LN(2)/25)*Calculateur!ER130*Calculateur!ET130*VLOOKUP('Données projet'!$B$15,Paramètres!$A$1:$I$89,3,0)*0.475*44/12</f>
        <v>0.83752497680651339</v>
      </c>
      <c r="EX130" s="21">
        <f>EXP(-LN(2)/2)*EX129+(1-EXP(-LN(2)/2))/(LN(2)/2)*ER130*EU130*VLOOKUP('Données projet'!$B$15,Paramètres!$A$1:$I$89,3,0)*0.475*44/12</f>
        <v>1.3680384846152959E-14</v>
      </c>
      <c r="EY130" s="22">
        <f t="shared" si="75"/>
        <v>1.7473686660655998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3.813056537183002E-14</v>
      </c>
      <c r="FG130" s="13">
        <f t="shared" si="101"/>
        <v>6.4086286045526829E-13</v>
      </c>
      <c r="FH130" s="20">
        <f t="shared" si="76"/>
        <v>1.1825802166488628E-12</v>
      </c>
      <c r="FI130" s="59">
        <f t="shared" si="77"/>
        <v>293.33333333333451</v>
      </c>
      <c r="FJ130" s="59">
        <f ca="1">AVERAGE(OFFSET($FI$3,0,0,'Données projet'!$E$16+1,1))-AVERAGE(OFFSET($H$3,0,0,'Données projet'!$E$16+1,1))</f>
        <v>156.63226020379989</v>
      </c>
      <c r="FK130" s="59">
        <f t="shared" si="102"/>
        <v>196.0481096619543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0.58887177433006521</v>
      </c>
      <c r="FS130" s="21">
        <f>EXP(-LN(2)/2)*FS129+(1-EXP(-LN(2)/2))/(LN(2)/2)*FM130*FP130*VLOOKUP('Données projet'!$B$16,Paramètres!$A$1:$I$89,3,0)*0.475*44/12</f>
        <v>2.2793900928810849E-14</v>
      </c>
      <c r="FT130" s="22">
        <f t="shared" si="78"/>
        <v>0.58887177433008797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-4.5474735088646412E-13</v>
      </c>
      <c r="GA130" s="17">
        <f>FZ130*VLOOKUP('Données projet'!$B$17,Paramètres!$A$1:$I$89,3,0)*VLOOKUP('Données projet'!$B$17,Paramètres!$A$1:$I$89,5,0)</f>
        <v>-2.7193891583010558E-13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216.94426559495264</v>
      </c>
      <c r="GF130" s="59">
        <f t="shared" si="104"/>
        <v>225.33715877618704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0.8727339162238168</v>
      </c>
      <c r="GN130" s="21">
        <f>EXP(-LN(2)/2)*GN129+(1-EXP(-LN(2)/2))/(LN(2)/2)*GH130*GK130*VLOOKUP('Données projet'!$B$17,Paramètres!$A$1:$I$89,3,0)*0.475*44/12</f>
        <v>5.9611662379642468E-14</v>
      </c>
      <c r="GO130" s="21">
        <f t="shared" si="81"/>
        <v>0.87273391622387642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-1.1368683772161603E-13</v>
      </c>
      <c r="GV130" s="17">
        <f>GU130*VLOOKUP('Données projet'!$B$18,Paramètres!$A$1:$I$89,3,0)*VLOOKUP('Données projet'!$B$18,Paramètres!$A$1:$I$89,5,0)</f>
        <v>-1.0995790944434703E-13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261.22357949323879</v>
      </c>
      <c r="HA130" s="59">
        <f t="shared" si="106"/>
        <v>163.41029152029387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0.22550704758567475</v>
      </c>
      <c r="HI130" s="21">
        <f>EXP(-LN(2)/2)*HI129+(1-EXP(-LN(2)/2))/(LN(2)/2)*HC130*HF130*VLOOKUP('Données projet'!$B$18,Paramètres!$A$1:$I$89,3,0)*0.475*44/12</f>
        <v>1.6620871729802424E-14</v>
      </c>
      <c r="HJ130" s="22">
        <f t="shared" si="84"/>
        <v>0.22550704758569137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237.22177246688199</v>
      </c>
      <c r="T131" s="59">
        <f t="shared" si="88"/>
        <v>149.27472147904302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227.99999999999986</v>
      </c>
      <c r="AJ131" s="13">
        <f>AI131*VLOOKUP('Données projet'!$B$10,Paramètres!$A$1:$I$89,3,0)*VLOOKUP('Données projet'!$B$10,Paramètres!$A$1:$I$89,5,0)</f>
        <v>199.18079999999992</v>
      </c>
      <c r="AK131" s="13">
        <f t="shared" si="89"/>
        <v>49.564089376413683</v>
      </c>
      <c r="AL131" s="20">
        <f t="shared" si="58"/>
        <v>433.23068233058694</v>
      </c>
      <c r="AM131" s="59">
        <f t="shared" si="59"/>
        <v>726.56401566392026</v>
      </c>
      <c r="AN131" s="59">
        <f ca="1">AVERAGE(OFFSET($AM$3,0,0,'Données projet'!$E$10+1,1))-AVERAGE(OFFSET($H$3,0,0,'Données projet'!$E$10+1,1))</f>
        <v>210.07838338464626</v>
      </c>
      <c r="AO131" s="59">
        <f t="shared" si="90"/>
        <v>241.76003724236273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0.76104393890257638</v>
      </c>
      <c r="AV131" s="21">
        <f>EXP(-LN(2)/25)*AV130+(1-EXP(-LN(2)/25))/(LN(2)/25)*Calculateur!AQ131*Calculateur!AS131*VLOOKUP('Données projet'!$B$10,Paramètres!$A$1:$I$89,3,0)*0.475*44/12</f>
        <v>0.89581664075218526</v>
      </c>
      <c r="AW131" s="21">
        <f>EXP(-LN(2)/2)*AW130+(1-EXP(-LN(2)/2))/(LN(2)/2)*AQ131*AT131*VLOOKUP('Données projet'!$B$10,Paramètres!$A$1:$I$89,3,0)*0.475*44/12</f>
        <v>2.8370949093757787E-14</v>
      </c>
      <c r="AX131" s="21">
        <f t="shared" si="60"/>
        <v>1.6568605796547899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6.2527760746888816E-13</v>
      </c>
      <c r="BE131" s="13">
        <f>BD131*VLOOKUP('Données projet'!$B$11,Paramètres!$A$1:$I$89,3,0)*VLOOKUP('Données projet'!$B$11,Paramètres!$A$1:$I$89,5,0)</f>
        <v>3.9017322706058616E-13</v>
      </c>
      <c r="BF131" s="13">
        <f t="shared" si="91"/>
        <v>5.0025007393608908E-12</v>
      </c>
      <c r="BG131" s="20">
        <f t="shared" si="61"/>
        <v>9.3922404915174053E-12</v>
      </c>
      <c r="BH131" s="59">
        <f t="shared" si="62"/>
        <v>293.33333333334269</v>
      </c>
      <c r="BI131" s="59">
        <f ca="1">AVERAGE(OFFSET($BH$3,0,0,'Données projet'!$E$11+1,1))-AVERAGE(OFFSET($H$3,0,0,'Données projet'!$E$11+1,1))</f>
        <v>209.93608079129638</v>
      </c>
      <c r="BJ131" s="59">
        <f t="shared" si="92"/>
        <v>240.15652428700969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0.998408441564962</v>
      </c>
      <c r="BQ131" s="21">
        <f>EXP(-LN(2)/25)*BQ130+(1-EXP(-LN(2)/25))/(LN(2)/25)*Calculateur!BL131*Calculateur!BN131*VLOOKUP('Données projet'!$B$11,Paramètres!$A$1:$I$89,3,0)*0.475*44/12</f>
        <v>1.3733246415922709</v>
      </c>
      <c r="BR131" s="21">
        <f>EXP(-LN(2)/2)*BR130+(1-EXP(-LN(2)/2))/(LN(2)/2)*BL131*BO131*VLOOKUP('Données projet'!$B$11,Paramètres!$A$1:$I$89,3,0)*0.475*44/12</f>
        <v>3.5866093213092938E-14</v>
      </c>
      <c r="BS131" s="22">
        <f t="shared" si="63"/>
        <v>2.3717330831572689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215.23235148064941</v>
      </c>
      <c r="CE131" s="59">
        <f t="shared" si="94"/>
        <v>184.07239726900434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0.45008609120191939</v>
      </c>
      <c r="CL131" s="21">
        <f>EXP(-LN(2)/25)*CL130+(1-EXP(-LN(2)/25))/(LN(2)/25)*Calculateur!CG131*Calculateur!CI131*VLOOKUP('Données projet'!$B$12,Paramètres!$A$1:$I$89,3,0)*0.475*44/12</f>
        <v>0.51896047119735567</v>
      </c>
      <c r="CM131" s="21">
        <f>EXP(-LN(2)/2)*CM130+(1-EXP(-LN(2)/2))/(LN(2)/2)*CG131*CJ131*VLOOKUP('Données projet'!$B$12,Paramètres!$A$1:$I$89,3,0)*0.475*44/12</f>
        <v>1.7465453936964067E-14</v>
      </c>
      <c r="CN131" s="22">
        <f t="shared" si="66"/>
        <v>0.96904656239929243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-1.1527845344971866E-13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279.20364724206644</v>
      </c>
      <c r="CZ131" s="59">
        <f t="shared" si="96"/>
        <v>173.99850582760712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0.22995379771266736</v>
      </c>
      <c r="DH131" s="21">
        <f>EXP(-LN(2)/2)*DH130+(1-EXP(-LN(2)/2))/(LN(2)/2)*DB131*DE131*VLOOKUP('Données projet'!$B$13,Paramètres!$A$1:$I$89,3,0)*0.475*44/12</f>
        <v>1.2321411646925484E-14</v>
      </c>
      <c r="DI131" s="22">
        <f t="shared" si="69"/>
        <v>0.22995379771267968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-1.1882548278663309E-13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291.18074901939718</v>
      </c>
      <c r="DU131" s="59">
        <f t="shared" si="98"/>
        <v>181.05123751753774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0.2370292991807495</v>
      </c>
      <c r="EC131" s="21">
        <f>EXP(-LN(2)/2)*EC130+(1-EXP(-LN(2)/2))/(LN(2)/2)*DW131*DZ131*VLOOKUP('Données projet'!$B$14,Paramètres!$A$1:$I$89,3,0)*0.475*44/12</f>
        <v>1.2700532005292434E-14</v>
      </c>
      <c r="ED131" s="22">
        <f t="shared" si="72"/>
        <v>0.23702929918076221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168.08890945052406</v>
      </c>
      <c r="EP131" s="59">
        <f t="shared" si="100"/>
        <v>182.52462557642343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0.89200220946255582</v>
      </c>
      <c r="EW131" s="21">
        <f>EXP(-LN(2)/25)*EW130+(1-EXP(-LN(2)/25))/(LN(2)/25)*Calculateur!ER131*Calculateur!ET131*VLOOKUP('Données projet'!$B$15,Paramètres!$A$1:$I$89,3,0)*0.475*44/12</f>
        <v>0.81462281227221489</v>
      </c>
      <c r="EX131" s="21">
        <f>EXP(-LN(2)/2)*EX130+(1-EXP(-LN(2)/2))/(LN(2)/2)*ER131*EU131*VLOOKUP('Données projet'!$B$15,Paramètres!$A$1:$I$89,3,0)*0.475*44/12</f>
        <v>9.6734928939564408E-15</v>
      </c>
      <c r="EY131" s="22">
        <f t="shared" si="75"/>
        <v>1.7066250217347805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3.813056537183002E-14</v>
      </c>
      <c r="FG131" s="13">
        <f t="shared" si="101"/>
        <v>6.4086286045526829E-13</v>
      </c>
      <c r="FH131" s="20">
        <f t="shared" si="76"/>
        <v>1.1825802166488628E-12</v>
      </c>
      <c r="FI131" s="59">
        <f t="shared" si="77"/>
        <v>293.33333333333451</v>
      </c>
      <c r="FJ131" s="59">
        <f ca="1">AVERAGE(OFFSET($FI$3,0,0,'Données projet'!$E$16+1,1))-AVERAGE(OFFSET($H$3,0,0,'Données projet'!$E$16+1,1))</f>
        <v>156.63226020379989</v>
      </c>
      <c r="FK131" s="59">
        <f t="shared" si="102"/>
        <v>196.0481096619543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0.5727690446935888</v>
      </c>
      <c r="FS131" s="21">
        <f>EXP(-LN(2)/2)*FS130+(1-EXP(-LN(2)/2))/(LN(2)/2)*FM131*FP131*VLOOKUP('Données projet'!$B$16,Paramètres!$A$1:$I$89,3,0)*0.475*44/12</f>
        <v>1.6117721916456495E-14</v>
      </c>
      <c r="FT131" s="22">
        <f t="shared" si="78"/>
        <v>0.5727690446936049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-4.5474735088646412E-13</v>
      </c>
      <c r="GA131" s="17">
        <f>FZ131*VLOOKUP('Données projet'!$B$17,Paramètres!$A$1:$I$89,3,0)*VLOOKUP('Données projet'!$B$17,Paramètres!$A$1:$I$89,5,0)</f>
        <v>-2.7193891583010558E-13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216.94426559495264</v>
      </c>
      <c r="GF131" s="59">
        <f t="shared" si="104"/>
        <v>225.33715877618704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0.84886896138959456</v>
      </c>
      <c r="GN131" s="21">
        <f>EXP(-LN(2)/2)*GN130+(1-EXP(-LN(2)/2))/(LN(2)/2)*GH131*GK131*VLOOKUP('Données projet'!$B$17,Paramètres!$A$1:$I$89,3,0)*0.475*44/12</f>
        <v>4.2151810706448194E-14</v>
      </c>
      <c r="GO131" s="21">
        <f t="shared" si="81"/>
        <v>0.84886896138963674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-1.1368683772161603E-13</v>
      </c>
      <c r="GV131" s="17">
        <f>GU131*VLOOKUP('Données projet'!$B$18,Paramètres!$A$1:$I$89,3,0)*VLOOKUP('Données projet'!$B$18,Paramètres!$A$1:$I$89,5,0)</f>
        <v>-1.0995790944434703E-13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261.22357949323879</v>
      </c>
      <c r="HA131" s="59">
        <f t="shared" si="106"/>
        <v>163.41029152029387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0.21934054551054424</v>
      </c>
      <c r="HI131" s="21">
        <f>EXP(-LN(2)/2)*HI130+(1-EXP(-LN(2)/2))/(LN(2)/2)*HC131*HF131*VLOOKUP('Données projet'!$B$18,Paramètres!$A$1:$I$89,3,0)*0.475*44/12</f>
        <v>1.1752731109375076E-14</v>
      </c>
      <c r="HJ131" s="22">
        <f t="shared" si="84"/>
        <v>0.21934054551055598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237.22177246688199</v>
      </c>
      <c r="T132" s="59">
        <f t="shared" si="88"/>
        <v>149.27472147904302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227.99999999999986</v>
      </c>
      <c r="AJ132" s="13">
        <f>AI132*VLOOKUP('Données projet'!$B$10,Paramètres!$A$1:$I$89,3,0)*VLOOKUP('Données projet'!$B$10,Paramètres!$A$1:$I$89,5,0)</f>
        <v>199.18079999999992</v>
      </c>
      <c r="AK132" s="13">
        <f t="shared" si="89"/>
        <v>49.564089376413683</v>
      </c>
      <c r="AL132" s="20">
        <f t="shared" ref="AL132:AL153" si="112">(AJ132+AK132)*0.475*44/12</f>
        <v>433.23068233058694</v>
      </c>
      <c r="AM132" s="59">
        <f t="shared" ref="AM132:AM195" si="113">AL132+(AD132+AE132)*44/12</f>
        <v>726.56401566392026</v>
      </c>
      <c r="AN132" s="59">
        <f ca="1">AVERAGE(OFFSET($AM$3,0,0,'Données projet'!$E$10+1,1))-AVERAGE(OFFSET($H$3,0,0,'Données projet'!$E$10+1,1))</f>
        <v>210.07838338464626</v>
      </c>
      <c r="AO132" s="59">
        <f t="shared" si="90"/>
        <v>241.76003724236273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0.74612033145166456</v>
      </c>
      <c r="AV132" s="21">
        <f>EXP(-LN(2)/25)*AV131+(1-EXP(-LN(2)/25))/(LN(2)/25)*Calculateur!AQ132*Calculateur!AS132*VLOOKUP('Données projet'!$B$10,Paramètres!$A$1:$I$89,3,0)*0.475*44/12</f>
        <v>0.87132048760186698</v>
      </c>
      <c r="AW132" s="21">
        <f>EXP(-LN(2)/2)*AW131+(1-EXP(-LN(2)/2))/(LN(2)/2)*AQ132*AT132*VLOOKUP('Données projet'!$B$10,Paramètres!$A$1:$I$89,3,0)*0.475*44/12</f>
        <v>2.0061290492894468E-14</v>
      </c>
      <c r="AX132" s="21">
        <f t="shared" ref="AX132:AX153" si="114">SUM(AU132:AW132)</f>
        <v>1.6174408190535514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6.2527760746888816E-13</v>
      </c>
      <c r="BE132" s="13">
        <f>BD132*VLOOKUP('Données projet'!$B$11,Paramètres!$A$1:$I$89,3,0)*VLOOKUP('Données projet'!$B$11,Paramètres!$A$1:$I$89,5,0)</f>
        <v>3.9017322706058616E-13</v>
      </c>
      <c r="BF132" s="13">
        <f t="shared" si="91"/>
        <v>5.0025007393608908E-12</v>
      </c>
      <c r="BG132" s="20">
        <f t="shared" ref="BG132:BG153" si="115">(BE132+BF132)*0.475*44/12</f>
        <v>9.3922404915174053E-12</v>
      </c>
      <c r="BH132" s="59">
        <f t="shared" ref="BH132:BH195" si="116">BG132+(AY132+AZ132)*44/12</f>
        <v>293.33333333334269</v>
      </c>
      <c r="BI132" s="59">
        <f ca="1">AVERAGE(OFFSET($BH$3,0,0,'Données projet'!$E$11+1,1))-AVERAGE(OFFSET($H$3,0,0,'Données projet'!$E$11+1,1))</f>
        <v>209.93608079129638</v>
      </c>
      <c r="BJ132" s="59">
        <f t="shared" si="92"/>
        <v>240.15652428700969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0.97883026099489179</v>
      </c>
      <c r="BQ132" s="21">
        <f>EXP(-LN(2)/25)*BQ131+(1-EXP(-LN(2)/25))/(LN(2)/25)*Calculateur!BL132*Calculateur!BN132*VLOOKUP('Données projet'!$B$11,Paramètres!$A$1:$I$89,3,0)*0.475*44/12</f>
        <v>1.3357710070479261</v>
      </c>
      <c r="BR132" s="21">
        <f>EXP(-LN(2)/2)*BR131+(1-EXP(-LN(2)/2))/(LN(2)/2)*BL132*BO132*VLOOKUP('Données projet'!$B$11,Paramètres!$A$1:$I$89,3,0)*0.475*44/12</f>
        <v>2.5361157725646826E-14</v>
      </c>
      <c r="BS132" s="22">
        <f t="shared" ref="BS132:BS153" si="117">SUM(BP132:BR132)</f>
        <v>2.3146012680428432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215.23235148064941</v>
      </c>
      <c r="CE132" s="59">
        <f t="shared" si="94"/>
        <v>184.07239726900434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0.44126017747885826</v>
      </c>
      <c r="CL132" s="21">
        <f>EXP(-LN(2)/25)*CL131+(1-EXP(-LN(2)/25))/(LN(2)/25)*Calculateur!CG132*Calculateur!CI132*VLOOKUP('Données projet'!$B$12,Paramètres!$A$1:$I$89,3,0)*0.475*44/12</f>
        <v>0.50476946982151893</v>
      </c>
      <c r="CM132" s="21">
        <f>EXP(-LN(2)/2)*CM131+(1-EXP(-LN(2)/2))/(LN(2)/2)*CG132*CJ132*VLOOKUP('Données projet'!$B$12,Paramètres!$A$1:$I$89,3,0)*0.475*44/12</f>
        <v>1.2349940915328576E-14</v>
      </c>
      <c r="CN132" s="22">
        <f t="shared" ref="CN132:CN153" si="120">SUM(CK132:CM132)</f>
        <v>0.94602964730038952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-1.1527845344971866E-13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279.20364724206644</v>
      </c>
      <c r="CZ132" s="59">
        <f t="shared" si="96"/>
        <v>173.99850582760712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0.22366569902146982</v>
      </c>
      <c r="DH132" s="21">
        <f>EXP(-LN(2)/2)*DH131+(1-EXP(-LN(2)/2))/(LN(2)/2)*DB132*DE132*VLOOKUP('Données projet'!$B$13,Paramètres!$A$1:$I$89,3,0)*0.475*44/12</f>
        <v>8.7125537293319161E-15</v>
      </c>
      <c r="DI132" s="22">
        <f t="shared" ref="DI132:DI153" si="123">SUM(DF132:DH132)</f>
        <v>0.22366569902147854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-1.1882548278663309E-13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291.18074901939718</v>
      </c>
      <c r="DU132" s="59">
        <f t="shared" si="98"/>
        <v>181.05123751753774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0.23054772052982281</v>
      </c>
      <c r="EC132" s="21">
        <f>EXP(-LN(2)/2)*EC131+(1-EXP(-LN(2)/2))/(LN(2)/2)*DW132*DZ132*VLOOKUP('Données projet'!$B$14,Paramètres!$A$1:$I$89,3,0)*0.475*44/12</f>
        <v>8.9806323056190607E-15</v>
      </c>
      <c r="ED132" s="22">
        <f t="shared" ref="ED132:ED153" si="126">SUM(EA132:EC132)</f>
        <v>0.2305477205298318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168.08890945052406</v>
      </c>
      <c r="EP132" s="59">
        <f t="shared" si="100"/>
        <v>182.52462557642343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0.87451059020262067</v>
      </c>
      <c r="EW132" s="21">
        <f>EXP(-LN(2)/25)*EW131+(1-EXP(-LN(2)/25))/(LN(2)/25)*Calculateur!ER132*Calculateur!ET132*VLOOKUP('Données projet'!$B$15,Paramètres!$A$1:$I$89,3,0)*0.475*44/12</f>
        <v>0.79234690863147927</v>
      </c>
      <c r="EX132" s="21">
        <f>EXP(-LN(2)/2)*EX131+(1-EXP(-LN(2)/2))/(LN(2)/2)*ER132*EU132*VLOOKUP('Données projet'!$B$15,Paramètres!$A$1:$I$89,3,0)*0.475*44/12</f>
        <v>6.8401924230764794E-15</v>
      </c>
      <c r="EY132" s="22">
        <f t="shared" ref="EY132:EY153" si="129">SUM(EV132:EX132)</f>
        <v>1.6668574988341069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3.813056537183002E-14</v>
      </c>
      <c r="FG132" s="13">
        <f t="shared" si="101"/>
        <v>6.4086286045526829E-13</v>
      </c>
      <c r="FH132" s="20">
        <f t="shared" ref="FH132:FH153" si="130">(FF132+FG132)*0.475*44/12</f>
        <v>1.1825802166488628E-12</v>
      </c>
      <c r="FI132" s="59">
        <f t="shared" ref="FI132:FI195" si="131">FH132+(EZ132+FA132)*44/12</f>
        <v>293.33333333333451</v>
      </c>
      <c r="FJ132" s="59">
        <f ca="1">AVERAGE(OFFSET($FI$3,0,0,'Données projet'!$E$16+1,1))-AVERAGE(OFFSET($H$3,0,0,'Données projet'!$E$16+1,1))</f>
        <v>156.63226020379989</v>
      </c>
      <c r="FK132" s="59">
        <f t="shared" si="102"/>
        <v>196.0481096619543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0.55710664504582763</v>
      </c>
      <c r="FS132" s="21">
        <f>EXP(-LN(2)/2)*FS131+(1-EXP(-LN(2)/2))/(LN(2)/2)*FM132*FP132*VLOOKUP('Données projet'!$B$16,Paramètres!$A$1:$I$89,3,0)*0.475*44/12</f>
        <v>1.1396950464405424E-14</v>
      </c>
      <c r="FT132" s="22">
        <f t="shared" ref="FT132:FT153" si="132">SUM(FQ132:FS132)</f>
        <v>0.55710664504583907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-4.5474735088646412E-13</v>
      </c>
      <c r="GA132" s="17">
        <f>FZ132*VLOOKUP('Données projet'!$B$17,Paramètres!$A$1:$I$89,3,0)*VLOOKUP('Données projet'!$B$17,Paramètres!$A$1:$I$89,5,0)</f>
        <v>-2.7193891583010558E-13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216.94426559495264</v>
      </c>
      <c r="GF132" s="59">
        <f t="shared" si="104"/>
        <v>225.33715877618704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0.82565659500031752</v>
      </c>
      <c r="GN132" s="21">
        <f>EXP(-LN(2)/2)*GN131+(1-EXP(-LN(2)/2))/(LN(2)/2)*GH132*GK132*VLOOKUP('Données projet'!$B$17,Paramètres!$A$1:$I$89,3,0)*0.475*44/12</f>
        <v>2.9805831189821234E-14</v>
      </c>
      <c r="GO132" s="21">
        <f t="shared" ref="GO132:GO153" si="135">SUM(GL132:GN132)</f>
        <v>0.82565659500034727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-1.1368683772161603E-13</v>
      </c>
      <c r="GV132" s="17">
        <f>GU132*VLOOKUP('Données projet'!$B$18,Paramètres!$A$1:$I$89,3,0)*VLOOKUP('Données projet'!$B$18,Paramètres!$A$1:$I$89,5,0)</f>
        <v>-1.0995790944434703E-13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261.22357949323879</v>
      </c>
      <c r="HA132" s="59">
        <f t="shared" si="106"/>
        <v>163.41029152029387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0.21334266675894042</v>
      </c>
      <c r="HI132" s="21">
        <f>EXP(-LN(2)/2)*HI131+(1-EXP(-LN(2)/2))/(LN(2)/2)*HC132*HF132*VLOOKUP('Données projet'!$B$18,Paramètres!$A$1:$I$89,3,0)*0.475*44/12</f>
        <v>8.3104358649012119E-15</v>
      </c>
      <c r="HJ132" s="22">
        <f t="shared" ref="HJ132:HJ153" si="138">SUM(HG132:HI132)</f>
        <v>0.21334266675894872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237.22177246688199</v>
      </c>
      <c r="T133" s="59">
        <f t="shared" ref="T133:T196" si="142">$T$3</f>
        <v>149.27472147904302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227.99999999999986</v>
      </c>
      <c r="AJ133" s="13">
        <f>AI133*VLOOKUP('Données projet'!$B$10,Paramètres!$A$1:$I$89,3,0)*VLOOKUP('Données projet'!$B$10,Paramètres!$A$1:$I$89,5,0)</f>
        <v>199.18079999999992</v>
      </c>
      <c r="AK133" s="13">
        <f t="shared" ref="AK133:AK153" si="143">EXP(-1.0587+0.8836*LN(AJ133)+0.284)</f>
        <v>49.564089376413683</v>
      </c>
      <c r="AL133" s="20">
        <f t="shared" si="112"/>
        <v>433.23068233058694</v>
      </c>
      <c r="AM133" s="59">
        <f t="shared" si="113"/>
        <v>726.56401566392026</v>
      </c>
      <c r="AN133" s="59">
        <f ca="1">AVERAGE(OFFSET($AM$3,0,0,'Données projet'!$E$10+1,1))-AVERAGE(OFFSET($H$3,0,0,'Données projet'!$E$10+1,1))</f>
        <v>210.07838338464626</v>
      </c>
      <c r="AO133" s="59">
        <f t="shared" ref="AO133:AO196" si="144">$AO$3</f>
        <v>241.76003724236273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0.73148936684036336</v>
      </c>
      <c r="AV133" s="21">
        <f>EXP(-LN(2)/25)*AV132+(1-EXP(-LN(2)/25))/(LN(2)/25)*Calculateur!AQ133*Calculateur!AS133*VLOOKUP('Données projet'!$B$10,Paramètres!$A$1:$I$89,3,0)*0.475*44/12</f>
        <v>0.8474941830476409</v>
      </c>
      <c r="AW133" s="21">
        <f>EXP(-LN(2)/2)*AW132+(1-EXP(-LN(2)/2))/(LN(2)/2)*AQ133*AT133*VLOOKUP('Données projet'!$B$10,Paramètres!$A$1:$I$89,3,0)*0.475*44/12</f>
        <v>1.4185474546878895E-14</v>
      </c>
      <c r="AX133" s="21">
        <f t="shared" si="114"/>
        <v>1.5789835498880185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6.2527760746888816E-13</v>
      </c>
      <c r="BE133" s="13">
        <f>BD133*VLOOKUP('Données projet'!$B$11,Paramètres!$A$1:$I$89,3,0)*VLOOKUP('Données projet'!$B$11,Paramètres!$A$1:$I$89,5,0)</f>
        <v>3.9017322706058616E-13</v>
      </c>
      <c r="BF133" s="13">
        <f t="shared" ref="BF133:BF153" si="145">EXP(-1.0587+0.8836*LN(BE133)+0.284)</f>
        <v>5.0025007393608908E-12</v>
      </c>
      <c r="BG133" s="20">
        <f t="shared" si="115"/>
        <v>9.3922404915174053E-12</v>
      </c>
      <c r="BH133" s="59">
        <f t="shared" si="116"/>
        <v>293.33333333334269</v>
      </c>
      <c r="BI133" s="59">
        <f ca="1">AVERAGE(OFFSET($BH$3,0,0,'Données projet'!$E$11+1,1))-AVERAGE(OFFSET($H$3,0,0,'Données projet'!$E$11+1,1))</f>
        <v>209.93608079129638</v>
      </c>
      <c r="BJ133" s="59">
        <f t="shared" ref="BJ133:BJ196" si="146">$BJ$3</f>
        <v>240.15652428700969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0.95963599660428955</v>
      </c>
      <c r="BQ133" s="21">
        <f>EXP(-LN(2)/25)*BQ132+(1-EXP(-LN(2)/25))/(LN(2)/25)*Calculateur!BL133*Calculateur!BN133*VLOOKUP('Données projet'!$B$11,Paramètres!$A$1:$I$89,3,0)*0.475*44/12</f>
        <v>1.2992442786150562</v>
      </c>
      <c r="BR133" s="21">
        <f>EXP(-LN(2)/2)*BR132+(1-EXP(-LN(2)/2))/(LN(2)/2)*BL133*BO133*VLOOKUP('Données projet'!$B$11,Paramètres!$A$1:$I$89,3,0)*0.475*44/12</f>
        <v>1.7933046606546469E-14</v>
      </c>
      <c r="BS133" s="22">
        <f t="shared" si="117"/>
        <v>2.2588802752193633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215.23235148064941</v>
      </c>
      <c r="CE133" s="59">
        <f t="shared" ref="CE133:CE196" si="148">$CE$3</f>
        <v>184.07239726900434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0.43260733454063055</v>
      </c>
      <c r="CL133" s="21">
        <f>EXP(-LN(2)/25)*CL132+(1-EXP(-LN(2)/25))/(LN(2)/25)*Calculateur!CG133*Calculateur!CI133*VLOOKUP('Données projet'!$B$12,Paramètres!$A$1:$I$89,3,0)*0.475*44/12</f>
        <v>0.49096652212457675</v>
      </c>
      <c r="CM133" s="21">
        <f>EXP(-LN(2)/2)*CM132+(1-EXP(-LN(2)/2))/(LN(2)/2)*CG133*CJ133*VLOOKUP('Données projet'!$B$12,Paramètres!$A$1:$I$89,3,0)*0.475*44/12</f>
        <v>8.7327269684820336E-15</v>
      </c>
      <c r="CN133" s="22">
        <f t="shared" si="120"/>
        <v>0.92357385666521608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-1.1527845344971866E-13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279.20364724206644</v>
      </c>
      <c r="CZ133" s="59">
        <f t="shared" ref="CZ133:CZ196" si="150">$CZ$3</f>
        <v>173.99850582760712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0.21754954871965981</v>
      </c>
      <c r="DH133" s="21">
        <f>EXP(-LN(2)/2)*DH132+(1-EXP(-LN(2)/2))/(LN(2)/2)*DB133*DE133*VLOOKUP('Données projet'!$B$13,Paramètres!$A$1:$I$89,3,0)*0.475*44/12</f>
        <v>6.1607058234627419E-15</v>
      </c>
      <c r="DI133" s="22">
        <f t="shared" si="123"/>
        <v>0.21754954871966597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-1.1882548278663309E-13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291.18074901939718</v>
      </c>
      <c r="DU133" s="59">
        <f t="shared" ref="DU133:DU196" si="152">$DU$3</f>
        <v>181.05123751753774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0.2242433809879571</v>
      </c>
      <c r="EC133" s="21">
        <f>EXP(-LN(2)/2)*EC132+(1-EXP(-LN(2)/2))/(LN(2)/2)*DW133*DZ133*VLOOKUP('Données projet'!$B$14,Paramètres!$A$1:$I$89,3,0)*0.475*44/12</f>
        <v>6.350266002646217E-15</v>
      </c>
      <c r="ED133" s="22">
        <f t="shared" si="126"/>
        <v>0.22424338098796345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168.08890945052406</v>
      </c>
      <c r="EP133" s="59">
        <f t="shared" ref="EP133:EP196" si="154">$EP$3</f>
        <v>182.52462557642343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0.85736197092753852</v>
      </c>
      <c r="EW133" s="21">
        <f>EXP(-LN(2)/25)*EW132+(1-EXP(-LN(2)/25))/(LN(2)/25)*Calculateur!ER133*Calculateur!ET133*VLOOKUP('Données projet'!$B$15,Paramètres!$A$1:$I$89,3,0)*0.475*44/12</f>
        <v>0.77068014074723845</v>
      </c>
      <c r="EX133" s="21">
        <f>EXP(-LN(2)/2)*EX132+(1-EXP(-LN(2)/2))/(LN(2)/2)*ER133*EU133*VLOOKUP('Données projet'!$B$15,Paramètres!$A$1:$I$89,3,0)*0.475*44/12</f>
        <v>4.8367464469782204E-15</v>
      </c>
      <c r="EY133" s="22">
        <f t="shared" si="129"/>
        <v>1.6280421116747819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3.813056537183002E-14</v>
      </c>
      <c r="FG133" s="13">
        <f t="shared" ref="FG133:FG153" si="155">EXP(-1.0587+0.8836*LN(FF133)+0.284)</f>
        <v>6.4086286045526829E-13</v>
      </c>
      <c r="FH133" s="20">
        <f t="shared" si="130"/>
        <v>1.1825802166488628E-12</v>
      </c>
      <c r="FI133" s="59">
        <f t="shared" si="131"/>
        <v>293.33333333333451</v>
      </c>
      <c r="FJ133" s="59">
        <f ca="1">AVERAGE(OFFSET($FI$3,0,0,'Données projet'!$E$16+1,1))-AVERAGE(OFFSET($H$3,0,0,'Données projet'!$E$16+1,1))</f>
        <v>156.63226020379989</v>
      </c>
      <c r="FK133" s="59">
        <f t="shared" ref="FK133:FK196" si="156">$FK$3</f>
        <v>196.0481096619543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0.54187253454008433</v>
      </c>
      <c r="FS133" s="21">
        <f>EXP(-LN(2)/2)*FS132+(1-EXP(-LN(2)/2))/(LN(2)/2)*FM133*FP133*VLOOKUP('Données projet'!$B$16,Paramètres!$A$1:$I$89,3,0)*0.475*44/12</f>
        <v>8.0588609582282476E-15</v>
      </c>
      <c r="FT133" s="22">
        <f t="shared" si="132"/>
        <v>0.54187253454009243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-4.5474735088646412E-13</v>
      </c>
      <c r="GA133" s="17">
        <f>FZ133*VLOOKUP('Données projet'!$B$17,Paramètres!$A$1:$I$89,3,0)*VLOOKUP('Données projet'!$B$17,Paramètres!$A$1:$I$89,5,0)</f>
        <v>-2.7193891583010558E-13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216.94426559495264</v>
      </c>
      <c r="GF133" s="59">
        <f t="shared" ref="GF133:GF196" si="158">$GF$3</f>
        <v>225.33715877618704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0.8030789719906406</v>
      </c>
      <c r="GN133" s="21">
        <f>EXP(-LN(2)/2)*GN132+(1-EXP(-LN(2)/2))/(LN(2)/2)*GH133*GK133*VLOOKUP('Données projet'!$B$17,Paramètres!$A$1:$I$89,3,0)*0.475*44/12</f>
        <v>2.1075905353224097E-14</v>
      </c>
      <c r="GO133" s="21">
        <f t="shared" si="135"/>
        <v>0.80307897199066169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-1.1368683772161603E-13</v>
      </c>
      <c r="GV133" s="17">
        <f>GU133*VLOOKUP('Données projet'!$B$18,Paramètres!$A$1:$I$89,3,0)*VLOOKUP('Données projet'!$B$18,Paramètres!$A$1:$I$89,5,0)</f>
        <v>-1.0995790944434703E-13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261.22357949323879</v>
      </c>
      <c r="HA133" s="59">
        <f t="shared" ref="HA133:HA196" si="160">$HA$3</f>
        <v>163.41029152029387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0.20750880031721394</v>
      </c>
      <c r="HI133" s="21">
        <f>EXP(-LN(2)/2)*HI132+(1-EXP(-LN(2)/2))/(LN(2)/2)*HC133*HF133*VLOOKUP('Données projet'!$B$18,Paramètres!$A$1:$I$89,3,0)*0.475*44/12</f>
        <v>5.8763655546875382E-15</v>
      </c>
      <c r="HJ133" s="22">
        <f t="shared" si="138"/>
        <v>0.20750880031721983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237.22177246688199</v>
      </c>
      <c r="T134" s="59">
        <f t="shared" si="142"/>
        <v>149.27472147904302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227.99999999999986</v>
      </c>
      <c r="AJ134" s="13">
        <f>AI134*VLOOKUP('Données projet'!$B$10,Paramètres!$A$1:$I$89,3,0)*VLOOKUP('Données projet'!$B$10,Paramètres!$A$1:$I$89,5,0)</f>
        <v>199.18079999999992</v>
      </c>
      <c r="AK134" s="13">
        <f t="shared" si="143"/>
        <v>49.564089376413683</v>
      </c>
      <c r="AL134" s="20">
        <f t="shared" si="112"/>
        <v>433.23068233058694</v>
      </c>
      <c r="AM134" s="59">
        <f t="shared" si="113"/>
        <v>726.56401566392026</v>
      </c>
      <c r="AN134" s="59">
        <f ca="1">AVERAGE(OFFSET($AM$3,0,0,'Données projet'!$E$10+1,1))-AVERAGE(OFFSET($H$3,0,0,'Données projet'!$E$10+1,1))</f>
        <v>210.07838338464626</v>
      </c>
      <c r="AO134" s="59">
        <f t="shared" si="144"/>
        <v>241.76003724236273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0.71714530652108255</v>
      </c>
      <c r="AV134" s="21">
        <f>EXP(-LN(2)/25)*AV133+(1-EXP(-LN(2)/25))/(LN(2)/25)*Calculateur!AQ134*Calculateur!AS134*VLOOKUP('Données projet'!$B$10,Paramètres!$A$1:$I$89,3,0)*0.475*44/12</f>
        <v>0.824319410044421</v>
      </c>
      <c r="AW134" s="21">
        <f>EXP(-LN(2)/2)*AW133+(1-EXP(-LN(2)/2))/(LN(2)/2)*AQ134*AT134*VLOOKUP('Données projet'!$B$10,Paramètres!$A$1:$I$89,3,0)*0.475*44/12</f>
        <v>1.0030645246447235E-14</v>
      </c>
      <c r="AX134" s="21">
        <f t="shared" si="114"/>
        <v>1.5414647165655135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6.2527760746888816E-13</v>
      </c>
      <c r="BE134" s="13">
        <f>BD134*VLOOKUP('Données projet'!$B$11,Paramètres!$A$1:$I$89,3,0)*VLOOKUP('Données projet'!$B$11,Paramètres!$A$1:$I$89,5,0)</f>
        <v>3.9017322706058616E-13</v>
      </c>
      <c r="BF134" s="13">
        <f t="shared" si="145"/>
        <v>5.0025007393608908E-12</v>
      </c>
      <c r="BG134" s="20">
        <f t="shared" si="115"/>
        <v>9.3922404915174053E-12</v>
      </c>
      <c r="BH134" s="59">
        <f t="shared" si="116"/>
        <v>293.33333333334269</v>
      </c>
      <c r="BI134" s="59">
        <f ca="1">AVERAGE(OFFSET($BH$3,0,0,'Données projet'!$E$11+1,1))-AVERAGE(OFFSET($H$3,0,0,'Données projet'!$E$11+1,1))</f>
        <v>209.93608079129638</v>
      </c>
      <c r="BJ134" s="59">
        <f t="shared" si="146"/>
        <v>240.15652428700969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0.94081812003104182</v>
      </c>
      <c r="BQ134" s="21">
        <f>EXP(-LN(2)/25)*BQ133+(1-EXP(-LN(2)/25))/(LN(2)/25)*Calculateur!BL134*Calculateur!BN134*VLOOKUP('Données projet'!$B$11,Paramètres!$A$1:$I$89,3,0)*0.475*44/12</f>
        <v>1.2637163754920404</v>
      </c>
      <c r="BR134" s="21">
        <f>EXP(-LN(2)/2)*BR133+(1-EXP(-LN(2)/2))/(LN(2)/2)*BL134*BO134*VLOOKUP('Données projet'!$B$11,Paramètres!$A$1:$I$89,3,0)*0.475*44/12</f>
        <v>1.2680578862823413E-14</v>
      </c>
      <c r="BS134" s="22">
        <f t="shared" si="117"/>
        <v>2.2045344955230952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215.23235148064941</v>
      </c>
      <c r="CE134" s="59">
        <f t="shared" si="148"/>
        <v>184.07239726900434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0.42412416857470842</v>
      </c>
      <c r="CL134" s="21">
        <f>EXP(-LN(2)/25)*CL133+(1-EXP(-LN(2)/25))/(LN(2)/25)*Calculateur!CG134*Calculateur!CI134*VLOOKUP('Données projet'!$B$12,Paramètres!$A$1:$I$89,3,0)*0.475*44/12</f>
        <v>0.47754101675827293</v>
      </c>
      <c r="CM134" s="21">
        <f>EXP(-LN(2)/2)*CM133+(1-EXP(-LN(2)/2))/(LN(2)/2)*CG134*CJ134*VLOOKUP('Données projet'!$B$12,Paramètres!$A$1:$I$89,3,0)*0.475*44/12</f>
        <v>6.1749704576642879E-15</v>
      </c>
      <c r="CN134" s="22">
        <f t="shared" si="120"/>
        <v>0.90166518533298756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-1.1527845344971866E-13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279.20364724206644</v>
      </c>
      <c r="CZ134" s="59">
        <f t="shared" si="150"/>
        <v>173.99850582760712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0.21160064486948715</v>
      </c>
      <c r="DH134" s="21">
        <f>EXP(-LN(2)/2)*DH133+(1-EXP(-LN(2)/2))/(LN(2)/2)*DB134*DE134*VLOOKUP('Données projet'!$B$13,Paramètres!$A$1:$I$89,3,0)*0.475*44/12</f>
        <v>4.3562768646659581E-15</v>
      </c>
      <c r="DI134" s="22">
        <f t="shared" si="123"/>
        <v>0.21160064486949151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-1.1882548278663309E-13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291.18074901939718</v>
      </c>
      <c r="DU134" s="59">
        <f t="shared" si="152"/>
        <v>181.05123751753774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0.21811143394239452</v>
      </c>
      <c r="EC134" s="21">
        <f>EXP(-LN(2)/2)*EC133+(1-EXP(-LN(2)/2))/(LN(2)/2)*DW134*DZ134*VLOOKUP('Données projet'!$B$14,Paramètres!$A$1:$I$89,3,0)*0.475*44/12</f>
        <v>4.4903161528095303E-15</v>
      </c>
      <c r="ED134" s="22">
        <f t="shared" si="126"/>
        <v>0.21811143394239901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168.08890945052406</v>
      </c>
      <c r="EP134" s="59">
        <f t="shared" si="154"/>
        <v>182.52462557642343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0.84054962561681579</v>
      </c>
      <c r="EW134" s="21">
        <f>EXP(-LN(2)/25)*EW133+(1-EXP(-LN(2)/25))/(LN(2)/25)*Calculateur!ER134*Calculateur!ET134*VLOOKUP('Données projet'!$B$15,Paramètres!$A$1:$I$89,3,0)*0.475*44/12</f>
        <v>0.74960585177019801</v>
      </c>
      <c r="EX134" s="21">
        <f>EXP(-LN(2)/2)*EX133+(1-EXP(-LN(2)/2))/(LN(2)/2)*ER134*EU134*VLOOKUP('Données projet'!$B$15,Paramètres!$A$1:$I$89,3,0)*0.475*44/12</f>
        <v>3.4200962115382397E-15</v>
      </c>
      <c r="EY134" s="22">
        <f t="shared" si="129"/>
        <v>1.590155477387017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3.813056537183002E-14</v>
      </c>
      <c r="FG134" s="13">
        <f t="shared" si="155"/>
        <v>6.4086286045526829E-13</v>
      </c>
      <c r="FH134" s="20">
        <f t="shared" si="130"/>
        <v>1.1825802166488628E-12</v>
      </c>
      <c r="FI134" s="59">
        <f t="shared" si="131"/>
        <v>293.33333333333451</v>
      </c>
      <c r="FJ134" s="59">
        <f ca="1">AVERAGE(OFFSET($FI$3,0,0,'Données projet'!$E$16+1,1))-AVERAGE(OFFSET($H$3,0,0,'Données projet'!$E$16+1,1))</f>
        <v>156.63226020379989</v>
      </c>
      <c r="FK134" s="59">
        <f t="shared" si="156"/>
        <v>196.0481096619543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0.52705500158724761</v>
      </c>
      <c r="FS134" s="21">
        <f>EXP(-LN(2)/2)*FS133+(1-EXP(-LN(2)/2))/(LN(2)/2)*FM134*FP134*VLOOKUP('Données projet'!$B$16,Paramètres!$A$1:$I$89,3,0)*0.475*44/12</f>
        <v>5.6984752322027122E-15</v>
      </c>
      <c r="FT134" s="22">
        <f t="shared" si="132"/>
        <v>0.52705500158725327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-4.5474735088646412E-13</v>
      </c>
      <c r="GA134" s="17">
        <f>FZ134*VLOOKUP('Données projet'!$B$17,Paramètres!$A$1:$I$89,3,0)*VLOOKUP('Données projet'!$B$17,Paramètres!$A$1:$I$89,5,0)</f>
        <v>-2.7193891583010558E-13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216.94426559495264</v>
      </c>
      <c r="GF134" s="59">
        <f t="shared" si="158"/>
        <v>225.33715877618704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0.78111873526946884</v>
      </c>
      <c r="GN134" s="21">
        <f>EXP(-LN(2)/2)*GN133+(1-EXP(-LN(2)/2))/(LN(2)/2)*GH134*GK134*VLOOKUP('Données projet'!$B$17,Paramètres!$A$1:$I$89,3,0)*0.475*44/12</f>
        <v>1.4902915594910617E-14</v>
      </c>
      <c r="GO134" s="21">
        <f t="shared" si="135"/>
        <v>0.78111873526948372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-1.1368683772161603E-13</v>
      </c>
      <c r="GV134" s="17">
        <f>GU134*VLOOKUP('Données projet'!$B$18,Paramètres!$A$1:$I$89,3,0)*VLOOKUP('Données projet'!$B$18,Paramètres!$A$1:$I$89,5,0)</f>
        <v>-1.0995790944434703E-13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261.22357949323879</v>
      </c>
      <c r="HA134" s="59">
        <f t="shared" si="160"/>
        <v>163.41029152029387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0.20183446126012619</v>
      </c>
      <c r="HI134" s="21">
        <f>EXP(-LN(2)/2)*HI133+(1-EXP(-LN(2)/2))/(LN(2)/2)*HC134*HF134*VLOOKUP('Données projet'!$B$18,Paramètres!$A$1:$I$89,3,0)*0.475*44/12</f>
        <v>4.1552179324506059E-15</v>
      </c>
      <c r="HJ134" s="22">
        <f t="shared" si="138"/>
        <v>0.20183446126013035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237.22177246688199</v>
      </c>
      <c r="T135" s="59">
        <f t="shared" si="142"/>
        <v>149.27472147904302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227.99999999999986</v>
      </c>
      <c r="AJ135" s="13">
        <f>AI135*VLOOKUP('Données projet'!$B$10,Paramètres!$A$1:$I$89,3,0)*VLOOKUP('Données projet'!$B$10,Paramètres!$A$1:$I$89,5,0)</f>
        <v>199.18079999999992</v>
      </c>
      <c r="AK135" s="13">
        <f t="shared" si="143"/>
        <v>49.564089376413683</v>
      </c>
      <c r="AL135" s="20">
        <f t="shared" si="112"/>
        <v>433.23068233058694</v>
      </c>
      <c r="AM135" s="59">
        <f t="shared" si="113"/>
        <v>726.56401566392026</v>
      </c>
      <c r="AN135" s="59">
        <f ca="1">AVERAGE(OFFSET($AM$3,0,0,'Données projet'!$E$10+1,1))-AVERAGE(OFFSET($H$3,0,0,'Données projet'!$E$10+1,1))</f>
        <v>210.07838338464626</v>
      </c>
      <c r="AO135" s="59">
        <f t="shared" si="144"/>
        <v>241.76003724236273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0.70308252447564989</v>
      </c>
      <c r="AV135" s="21">
        <f>EXP(-LN(2)/25)*AV134+(1-EXP(-LN(2)/25))/(LN(2)/25)*Calculateur!AQ135*Calculateur!AS135*VLOOKUP('Données projet'!$B$10,Paramètres!$A$1:$I$89,3,0)*0.475*44/12</f>
        <v>0.80177835242768258</v>
      </c>
      <c r="AW135" s="21">
        <f>EXP(-LN(2)/2)*AW134+(1-EXP(-LN(2)/2))/(LN(2)/2)*AQ135*AT135*VLOOKUP('Données projet'!$B$10,Paramètres!$A$1:$I$89,3,0)*0.475*44/12</f>
        <v>7.0927372734394492E-15</v>
      </c>
      <c r="AX135" s="21">
        <f t="shared" si="114"/>
        <v>1.5048608769033396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6.2527760746888816E-13</v>
      </c>
      <c r="BE135" s="13">
        <f>BD135*VLOOKUP('Données projet'!$B$11,Paramètres!$A$1:$I$89,3,0)*VLOOKUP('Données projet'!$B$11,Paramètres!$A$1:$I$89,5,0)</f>
        <v>3.9017322706058616E-13</v>
      </c>
      <c r="BF135" s="13">
        <f t="shared" si="145"/>
        <v>5.0025007393608908E-12</v>
      </c>
      <c r="BG135" s="20">
        <f t="shared" si="115"/>
        <v>9.3922404915174053E-12</v>
      </c>
      <c r="BH135" s="59">
        <f t="shared" si="116"/>
        <v>293.33333333334269</v>
      </c>
      <c r="BI135" s="59">
        <f ca="1">AVERAGE(OFFSET($BH$3,0,0,'Données projet'!$E$11+1,1))-AVERAGE(OFFSET($H$3,0,0,'Données projet'!$E$11+1,1))</f>
        <v>209.93608079129638</v>
      </c>
      <c r="BJ135" s="59">
        <f t="shared" si="146"/>
        <v>240.15652428700969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0.92236925053962404</v>
      </c>
      <c r="BQ135" s="21">
        <f>EXP(-LN(2)/25)*BQ134+(1-EXP(-LN(2)/25))/(LN(2)/25)*Calculateur!BL135*Calculateur!BN135*VLOOKUP('Données projet'!$B$11,Paramètres!$A$1:$I$89,3,0)*0.475*44/12</f>
        <v>1.2291599847482546</v>
      </c>
      <c r="BR135" s="21">
        <f>EXP(-LN(2)/2)*BR134+(1-EXP(-LN(2)/2))/(LN(2)/2)*BL135*BO135*VLOOKUP('Données projet'!$B$11,Paramètres!$A$1:$I$89,3,0)*0.475*44/12</f>
        <v>8.9665233032732346E-15</v>
      </c>
      <c r="BS135" s="22">
        <f t="shared" si="117"/>
        <v>2.1515292352878874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215.23235148064941</v>
      </c>
      <c r="CE135" s="59">
        <f t="shared" si="148"/>
        <v>184.07239726900434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0.41580735231915766</v>
      </c>
      <c r="CL135" s="21">
        <f>EXP(-LN(2)/25)*CL134+(1-EXP(-LN(2)/25))/(LN(2)/25)*Calculateur!CG135*Calculateur!CI135*VLOOKUP('Données projet'!$B$12,Paramètres!$A$1:$I$89,3,0)*0.475*44/12</f>
        <v>0.46448263254222732</v>
      </c>
      <c r="CM135" s="21">
        <f>EXP(-LN(2)/2)*CM134+(1-EXP(-LN(2)/2))/(LN(2)/2)*CG135*CJ135*VLOOKUP('Données projet'!$B$12,Paramètres!$A$1:$I$89,3,0)*0.475*44/12</f>
        <v>4.3663634842410168E-15</v>
      </c>
      <c r="CN135" s="22">
        <f t="shared" si="120"/>
        <v>0.88028998486138932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-1.1527845344971866E-13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279.20364724206644</v>
      </c>
      <c r="CZ135" s="59">
        <f t="shared" si="150"/>
        <v>173.99850582760712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0.20581441410793674</v>
      </c>
      <c r="DH135" s="21">
        <f>EXP(-LN(2)/2)*DH134+(1-EXP(-LN(2)/2))/(LN(2)/2)*DB135*DE135*VLOOKUP('Données projet'!$B$13,Paramètres!$A$1:$I$89,3,0)*0.475*44/12</f>
        <v>3.0803529117313709E-15</v>
      </c>
      <c r="DI135" s="22">
        <f t="shared" si="123"/>
        <v>0.20581441410793982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-1.1882548278663309E-13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291.18074901939718</v>
      </c>
      <c r="DU135" s="59">
        <f t="shared" si="152"/>
        <v>181.05123751753774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0.21214716531125793</v>
      </c>
      <c r="EC135" s="21">
        <f>EXP(-LN(2)/2)*EC134+(1-EXP(-LN(2)/2))/(LN(2)/2)*DW135*DZ135*VLOOKUP('Données projet'!$B$14,Paramètres!$A$1:$I$89,3,0)*0.475*44/12</f>
        <v>3.1751330013231085E-15</v>
      </c>
      <c r="ED135" s="22">
        <f t="shared" si="126"/>
        <v>0.2121471653112611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168.08890945052406</v>
      </c>
      <c r="EP135" s="59">
        <f t="shared" si="154"/>
        <v>182.52462557642343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0.8240669601431182</v>
      </c>
      <c r="EW135" s="21">
        <f>EXP(-LN(2)/25)*EW134+(1-EXP(-LN(2)/25))/(LN(2)/25)*Calculateur!ER135*Calculateur!ET135*VLOOKUP('Données projet'!$B$15,Paramètres!$A$1:$I$89,3,0)*0.475*44/12</f>
        <v>0.72910784033348341</v>
      </c>
      <c r="EX135" s="21">
        <f>EXP(-LN(2)/2)*EX134+(1-EXP(-LN(2)/2))/(LN(2)/2)*ER135*EU135*VLOOKUP('Données projet'!$B$15,Paramètres!$A$1:$I$89,3,0)*0.475*44/12</f>
        <v>2.4183732234891102E-15</v>
      </c>
      <c r="EY135" s="22">
        <f t="shared" si="129"/>
        <v>1.5531748004766042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3.813056537183002E-14</v>
      </c>
      <c r="FG135" s="13">
        <f t="shared" si="155"/>
        <v>6.4086286045526829E-13</v>
      </c>
      <c r="FH135" s="20">
        <f t="shared" si="130"/>
        <v>1.1825802166488628E-12</v>
      </c>
      <c r="FI135" s="59">
        <f t="shared" si="131"/>
        <v>293.33333333333451</v>
      </c>
      <c r="FJ135" s="59">
        <f ca="1">AVERAGE(OFFSET($FI$3,0,0,'Données projet'!$E$16+1,1))-AVERAGE(OFFSET($H$3,0,0,'Données projet'!$E$16+1,1))</f>
        <v>156.63226020379989</v>
      </c>
      <c r="FK135" s="59">
        <f t="shared" si="156"/>
        <v>196.0481096619543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0.51264265485222638</v>
      </c>
      <c r="FS135" s="21">
        <f>EXP(-LN(2)/2)*FS134+(1-EXP(-LN(2)/2))/(LN(2)/2)*FM135*FP135*VLOOKUP('Données projet'!$B$16,Paramètres!$A$1:$I$89,3,0)*0.475*44/12</f>
        <v>4.0294304791141238E-15</v>
      </c>
      <c r="FT135" s="22">
        <f t="shared" si="132"/>
        <v>0.51264265485223037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-4.5474735088646412E-13</v>
      </c>
      <c r="GA135" s="17">
        <f>FZ135*VLOOKUP('Données projet'!$B$17,Paramètres!$A$1:$I$89,3,0)*VLOOKUP('Données projet'!$B$17,Paramètres!$A$1:$I$89,5,0)</f>
        <v>-2.7193891583010558E-13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216.94426559495264</v>
      </c>
      <c r="GF135" s="59">
        <f t="shared" si="158"/>
        <v>225.33715877618704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0.75975900237627625</v>
      </c>
      <c r="GN135" s="21">
        <f>EXP(-LN(2)/2)*GN134+(1-EXP(-LN(2)/2))/(LN(2)/2)*GH135*GK135*VLOOKUP('Données projet'!$B$17,Paramètres!$A$1:$I$89,3,0)*0.475*44/12</f>
        <v>1.0537952676612049E-14</v>
      </c>
      <c r="GO135" s="21">
        <f t="shared" si="135"/>
        <v>0.7597590023762868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-1.1368683772161603E-13</v>
      </c>
      <c r="GV135" s="17">
        <f>GU135*VLOOKUP('Données projet'!$B$18,Paramètres!$A$1:$I$89,3,0)*VLOOKUP('Données projet'!$B$18,Paramètres!$A$1:$I$89,5,0)</f>
        <v>-1.0995790944434703E-13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261.22357949323879</v>
      </c>
      <c r="HA135" s="59">
        <f t="shared" si="160"/>
        <v>163.41029152029387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0.19631528730295503</v>
      </c>
      <c r="HI135" s="21">
        <f>EXP(-LN(2)/2)*HI134+(1-EXP(-LN(2)/2))/(LN(2)/2)*HC135*HF135*VLOOKUP('Données projet'!$B$18,Paramètres!$A$1:$I$89,3,0)*0.475*44/12</f>
        <v>2.9381827773437691E-15</v>
      </c>
      <c r="HJ135" s="22">
        <f t="shared" si="138"/>
        <v>0.19631528730295797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237.22177246688199</v>
      </c>
      <c r="T136" s="59">
        <f t="shared" si="142"/>
        <v>149.27472147904302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227.99999999999986</v>
      </c>
      <c r="AJ136" s="13">
        <f>AI136*VLOOKUP('Données projet'!$B$10,Paramètres!$A$1:$I$89,3,0)*VLOOKUP('Données projet'!$B$10,Paramètres!$A$1:$I$89,5,0)</f>
        <v>199.18079999999992</v>
      </c>
      <c r="AK136" s="13">
        <f t="shared" si="143"/>
        <v>49.564089376413683</v>
      </c>
      <c r="AL136" s="20">
        <f t="shared" si="112"/>
        <v>433.23068233058694</v>
      </c>
      <c r="AM136" s="59">
        <f t="shared" si="113"/>
        <v>726.56401566392026</v>
      </c>
      <c r="AN136" s="59">
        <f ca="1">AVERAGE(OFFSET($AM$3,0,0,'Données projet'!$E$10+1,1))-AVERAGE(OFFSET($H$3,0,0,'Données projet'!$E$10+1,1))</f>
        <v>210.07838338464626</v>
      </c>
      <c r="AO136" s="59">
        <f t="shared" si="144"/>
        <v>241.76003724236273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0.68929550500867809</v>
      </c>
      <c r="AV136" s="21">
        <f>EXP(-LN(2)/25)*AV135+(1-EXP(-LN(2)/25))/(LN(2)/25)*Calculateur!AQ136*Calculateur!AS136*VLOOKUP('Données projet'!$B$10,Paramètres!$A$1:$I$89,3,0)*0.475*44/12</f>
        <v>0.7798536812168565</v>
      </c>
      <c r="AW136" s="21">
        <f>EXP(-LN(2)/2)*AW135+(1-EXP(-LN(2)/2))/(LN(2)/2)*AQ136*AT136*VLOOKUP('Données projet'!$B$10,Paramètres!$A$1:$I$89,3,0)*0.475*44/12</f>
        <v>5.0153226232236185E-15</v>
      </c>
      <c r="AX136" s="21">
        <f t="shared" si="114"/>
        <v>1.4691491862255397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6.2527760746888816E-13</v>
      </c>
      <c r="BE136" s="13">
        <f>BD136*VLOOKUP('Données projet'!$B$11,Paramètres!$A$1:$I$89,3,0)*VLOOKUP('Données projet'!$B$11,Paramètres!$A$1:$I$89,5,0)</f>
        <v>3.9017322706058616E-13</v>
      </c>
      <c r="BF136" s="13">
        <f t="shared" si="145"/>
        <v>5.0025007393608908E-12</v>
      </c>
      <c r="BG136" s="20">
        <f t="shared" si="115"/>
        <v>9.3922404915174053E-12</v>
      </c>
      <c r="BH136" s="59">
        <f t="shared" si="116"/>
        <v>293.33333333334269</v>
      </c>
      <c r="BI136" s="59">
        <f ca="1">AVERAGE(OFFSET($BH$3,0,0,'Données projet'!$E$11+1,1))-AVERAGE(OFFSET($H$3,0,0,'Données projet'!$E$11+1,1))</f>
        <v>209.93608079129638</v>
      </c>
      <c r="BJ136" s="59">
        <f t="shared" si="146"/>
        <v>240.15652428700969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0.90428215212623375</v>
      </c>
      <c r="BQ136" s="21">
        <f>EXP(-LN(2)/25)*BQ135+(1-EXP(-LN(2)/25))/(LN(2)/25)*Calculateur!BL136*Calculateur!BN136*VLOOKUP('Données projet'!$B$11,Paramètres!$A$1:$I$89,3,0)*0.475*44/12</f>
        <v>1.1955485403265993</v>
      </c>
      <c r="BR136" s="21">
        <f>EXP(-LN(2)/2)*BR135+(1-EXP(-LN(2)/2))/(LN(2)/2)*BL136*BO136*VLOOKUP('Données projet'!$B$11,Paramètres!$A$1:$I$89,3,0)*0.475*44/12</f>
        <v>6.3402894314117065E-15</v>
      </c>
      <c r="BS136" s="22">
        <f t="shared" si="117"/>
        <v>2.0998306924528394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215.23235148064941</v>
      </c>
      <c r="CE136" s="59">
        <f t="shared" si="148"/>
        <v>184.07239726900434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0.40765362375762126</v>
      </c>
      <c r="CL136" s="21">
        <f>EXP(-LN(2)/25)*CL135+(1-EXP(-LN(2)/25))/(LN(2)/25)*Calculateur!CG136*Calculateur!CI136*VLOOKUP('Données projet'!$B$12,Paramètres!$A$1:$I$89,3,0)*0.475*44/12</f>
        <v>0.45178133052928005</v>
      </c>
      <c r="CM136" s="21">
        <f>EXP(-LN(2)/2)*CM135+(1-EXP(-LN(2)/2))/(LN(2)/2)*CG136*CJ136*VLOOKUP('Données projet'!$B$12,Paramètres!$A$1:$I$89,3,0)*0.475*44/12</f>
        <v>3.087485228832144E-15</v>
      </c>
      <c r="CN136" s="22">
        <f t="shared" si="120"/>
        <v>0.85943495428690442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-1.1527845344971866E-13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279.20364724206644</v>
      </c>
      <c r="CZ136" s="59">
        <f t="shared" si="150"/>
        <v>173.99850582760712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0.20018640813084557</v>
      </c>
      <c r="DH136" s="21">
        <f>EXP(-LN(2)/2)*DH135+(1-EXP(-LN(2)/2))/(LN(2)/2)*DB136*DE136*VLOOKUP('Données projet'!$B$13,Paramètres!$A$1:$I$89,3,0)*0.475*44/12</f>
        <v>2.178138432332979E-15</v>
      </c>
      <c r="DI136" s="22">
        <f t="shared" si="123"/>
        <v>0.20018640813084773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-1.1882548278663309E-13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291.18074901939718</v>
      </c>
      <c r="DU136" s="59">
        <f t="shared" si="152"/>
        <v>181.05123751753774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0.20634598991948702</v>
      </c>
      <c r="EC136" s="21">
        <f>EXP(-LN(2)/2)*EC135+(1-EXP(-LN(2)/2))/(LN(2)/2)*DW136*DZ136*VLOOKUP('Données projet'!$B$14,Paramètres!$A$1:$I$89,3,0)*0.475*44/12</f>
        <v>2.2451580764047652E-15</v>
      </c>
      <c r="ED136" s="22">
        <f t="shared" si="126"/>
        <v>0.20634598991948927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168.08890945052406</v>
      </c>
      <c r="EP136" s="59">
        <f t="shared" si="154"/>
        <v>182.52462557642343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0.80790750968592662</v>
      </c>
      <c r="EW136" s="21">
        <f>EXP(-LN(2)/25)*EW135+(1-EXP(-LN(2)/25))/(LN(2)/25)*Calculateur!ER136*Calculateur!ET136*VLOOKUP('Données projet'!$B$15,Paramètres!$A$1:$I$89,3,0)*0.475*44/12</f>
        <v>0.70917034809744939</v>
      </c>
      <c r="EX136" s="21">
        <f>EXP(-LN(2)/2)*EX135+(1-EXP(-LN(2)/2))/(LN(2)/2)*ER136*EU136*VLOOKUP('Données projet'!$B$15,Paramètres!$A$1:$I$89,3,0)*0.475*44/12</f>
        <v>1.7100481057691199E-15</v>
      </c>
      <c r="EY136" s="22">
        <f t="shared" si="129"/>
        <v>1.5170778577833777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3.813056537183002E-14</v>
      </c>
      <c r="FG136" s="13">
        <f t="shared" si="155"/>
        <v>6.4086286045526829E-13</v>
      </c>
      <c r="FH136" s="20">
        <f t="shared" si="130"/>
        <v>1.1825802166488628E-12</v>
      </c>
      <c r="FI136" s="59">
        <f t="shared" si="131"/>
        <v>293.33333333333451</v>
      </c>
      <c r="FJ136" s="59">
        <f ca="1">AVERAGE(OFFSET($FI$3,0,0,'Données projet'!$E$16+1,1))-AVERAGE(OFFSET($H$3,0,0,'Données projet'!$E$16+1,1))</f>
        <v>156.63226020379989</v>
      </c>
      <c r="FK136" s="59">
        <f t="shared" si="156"/>
        <v>196.0481096619543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0.49862441449658668</v>
      </c>
      <c r="FS136" s="21">
        <f>EXP(-LN(2)/2)*FS135+(1-EXP(-LN(2)/2))/(LN(2)/2)*FM136*FP136*VLOOKUP('Données projet'!$B$16,Paramètres!$A$1:$I$89,3,0)*0.475*44/12</f>
        <v>2.8492376161013561E-15</v>
      </c>
      <c r="FT136" s="22">
        <f t="shared" si="132"/>
        <v>0.49862441449658951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-4.5474735088646412E-13</v>
      </c>
      <c r="GA136" s="17">
        <f>FZ136*VLOOKUP('Données projet'!$B$17,Paramètres!$A$1:$I$89,3,0)*VLOOKUP('Données projet'!$B$17,Paramètres!$A$1:$I$89,5,0)</f>
        <v>-2.7193891583010558E-13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216.94426559495264</v>
      </c>
      <c r="GF136" s="59">
        <f t="shared" si="158"/>
        <v>225.33715877618704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0.73898335250230751</v>
      </c>
      <c r="GN136" s="21">
        <f>EXP(-LN(2)/2)*GN135+(1-EXP(-LN(2)/2))/(LN(2)/2)*GH136*GK136*VLOOKUP('Données projet'!$B$17,Paramètres!$A$1:$I$89,3,0)*0.475*44/12</f>
        <v>7.4514577974553085E-15</v>
      </c>
      <c r="GO136" s="21">
        <f t="shared" si="135"/>
        <v>0.73898335250231495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-1.1368683772161603E-13</v>
      </c>
      <c r="GV136" s="17">
        <f>GU136*VLOOKUP('Données projet'!$B$18,Paramètres!$A$1:$I$89,3,0)*VLOOKUP('Données projet'!$B$18,Paramètres!$A$1:$I$89,5,0)</f>
        <v>-1.0995790944434703E-13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261.22357949323879</v>
      </c>
      <c r="HA136" s="59">
        <f t="shared" si="160"/>
        <v>163.41029152029387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0.19094703544788344</v>
      </c>
      <c r="HI136" s="21">
        <f>EXP(-LN(2)/2)*HI135+(1-EXP(-LN(2)/2))/(LN(2)/2)*HC136*HF136*VLOOKUP('Données projet'!$B$18,Paramètres!$A$1:$I$89,3,0)*0.475*44/12</f>
        <v>2.077608966225303E-15</v>
      </c>
      <c r="HJ136" s="22">
        <f t="shared" si="138"/>
        <v>0.19094703544788552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237.22177246688199</v>
      </c>
      <c r="T137" s="59">
        <f t="shared" si="142"/>
        <v>149.27472147904302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227.99999999999986</v>
      </c>
      <c r="AJ137" s="13">
        <f>AI137*VLOOKUP('Données projet'!$B$10,Paramètres!$A$1:$I$89,3,0)*VLOOKUP('Données projet'!$B$10,Paramètres!$A$1:$I$89,5,0)</f>
        <v>199.18079999999992</v>
      </c>
      <c r="AK137" s="13">
        <f t="shared" si="143"/>
        <v>49.564089376413683</v>
      </c>
      <c r="AL137" s="20">
        <f t="shared" si="112"/>
        <v>433.23068233058694</v>
      </c>
      <c r="AM137" s="59">
        <f t="shared" si="113"/>
        <v>726.56401566392026</v>
      </c>
      <c r="AN137" s="59">
        <f ca="1">AVERAGE(OFFSET($AM$3,0,0,'Données projet'!$E$10+1,1))-AVERAGE(OFFSET($H$3,0,0,'Données projet'!$E$10+1,1))</f>
        <v>210.07838338464626</v>
      </c>
      <c r="AO137" s="59">
        <f t="shared" si="144"/>
        <v>241.76003724236273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0.67577884058420212</v>
      </c>
      <c r="AV137" s="21">
        <f>EXP(-LN(2)/25)*AV136+(1-EXP(-LN(2)/25))/(LN(2)/25)*Calculateur!AQ137*Calculateur!AS137*VLOOKUP('Données projet'!$B$10,Paramètres!$A$1:$I$89,3,0)*0.475*44/12</f>
        <v>0.75852854129325886</v>
      </c>
      <c r="AW137" s="21">
        <f>EXP(-LN(2)/2)*AW136+(1-EXP(-LN(2)/2))/(LN(2)/2)*AQ137*AT137*VLOOKUP('Données projet'!$B$10,Paramètres!$A$1:$I$89,3,0)*0.475*44/12</f>
        <v>3.546368636719725E-15</v>
      </c>
      <c r="AX137" s="21">
        <f t="shared" si="114"/>
        <v>1.4343073818774645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6.2527760746888816E-13</v>
      </c>
      <c r="BE137" s="13">
        <f>BD137*VLOOKUP('Données projet'!$B$11,Paramètres!$A$1:$I$89,3,0)*VLOOKUP('Données projet'!$B$11,Paramètres!$A$1:$I$89,5,0)</f>
        <v>3.9017322706058616E-13</v>
      </c>
      <c r="BF137" s="13">
        <f t="shared" si="145"/>
        <v>5.0025007393608908E-12</v>
      </c>
      <c r="BG137" s="20">
        <f t="shared" si="115"/>
        <v>9.3922404915174053E-12</v>
      </c>
      <c r="BH137" s="59">
        <f t="shared" si="116"/>
        <v>293.33333333334269</v>
      </c>
      <c r="BI137" s="59">
        <f ca="1">AVERAGE(OFFSET($BH$3,0,0,'Données projet'!$E$11+1,1))-AVERAGE(OFFSET($H$3,0,0,'Données projet'!$E$11+1,1))</f>
        <v>209.93608079129638</v>
      </c>
      <c r="BJ137" s="59">
        <f t="shared" si="146"/>
        <v>240.15652428700969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0.88654973068068932</v>
      </c>
      <c r="BQ137" s="21">
        <f>EXP(-LN(2)/25)*BQ136+(1-EXP(-LN(2)/25))/(LN(2)/25)*Calculateur!BL137*Calculateur!BN137*VLOOKUP('Données projet'!$B$11,Paramètres!$A$1:$I$89,3,0)*0.475*44/12</f>
        <v>1.1628562026202032</v>
      </c>
      <c r="BR137" s="21">
        <f>EXP(-LN(2)/2)*BR136+(1-EXP(-LN(2)/2))/(LN(2)/2)*BL137*BO137*VLOOKUP('Données projet'!$B$11,Paramètres!$A$1:$I$89,3,0)*0.475*44/12</f>
        <v>4.4832616516366173E-15</v>
      </c>
      <c r="BS137" s="22">
        <f t="shared" si="117"/>
        <v>2.0494059333008972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215.23235148064941</v>
      </c>
      <c r="CE137" s="59">
        <f t="shared" si="148"/>
        <v>184.07239726900434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0.39965978483989323</v>
      </c>
      <c r="CL137" s="21">
        <f>EXP(-LN(2)/25)*CL136+(1-EXP(-LN(2)/25))/(LN(2)/25)*Calculateur!CG137*Calculateur!CI137*VLOOKUP('Données projet'!$B$12,Paramètres!$A$1:$I$89,3,0)*0.475*44/12</f>
        <v>0.43942734628780927</v>
      </c>
      <c r="CM137" s="21">
        <f>EXP(-LN(2)/2)*CM136+(1-EXP(-LN(2)/2))/(LN(2)/2)*CG137*CJ137*VLOOKUP('Données projet'!$B$12,Paramètres!$A$1:$I$89,3,0)*0.475*44/12</f>
        <v>2.1831817421205084E-15</v>
      </c>
      <c r="CN137" s="22">
        <f t="shared" si="120"/>
        <v>0.83908713112770472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-1.1527845344971866E-13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279.20364724206644</v>
      </c>
      <c r="CZ137" s="59">
        <f t="shared" si="150"/>
        <v>173.99850582760712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0.19471230027316191</v>
      </c>
      <c r="DH137" s="21">
        <f>EXP(-LN(2)/2)*DH136+(1-EXP(-LN(2)/2))/(LN(2)/2)*DB137*DE137*VLOOKUP('Données projet'!$B$13,Paramètres!$A$1:$I$89,3,0)*0.475*44/12</f>
        <v>1.5401764558656855E-15</v>
      </c>
      <c r="DI137" s="22">
        <f t="shared" si="123"/>
        <v>0.19471230027316344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-1.1882548278663309E-13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291.18074901939718</v>
      </c>
      <c r="DU137" s="59">
        <f t="shared" si="152"/>
        <v>181.05123751753774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0.20070344797387465</v>
      </c>
      <c r="EC137" s="21">
        <f>EXP(-LN(2)/2)*EC136+(1-EXP(-LN(2)/2))/(LN(2)/2)*DW137*DZ137*VLOOKUP('Données projet'!$B$14,Paramètres!$A$1:$I$89,3,0)*0.475*44/12</f>
        <v>1.5875665006615543E-15</v>
      </c>
      <c r="ED137" s="22">
        <f t="shared" si="126"/>
        <v>0.20070344797387624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168.08890945052406</v>
      </c>
      <c r="EP137" s="59">
        <f t="shared" si="154"/>
        <v>182.52462557642343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0.79206493619590901</v>
      </c>
      <c r="EW137" s="21">
        <f>EXP(-LN(2)/25)*EW136+(1-EXP(-LN(2)/25))/(LN(2)/25)*Calculateur!ER137*Calculateur!ET137*VLOOKUP('Données projet'!$B$15,Paramètres!$A$1:$I$89,3,0)*0.475*44/12</f>
        <v>0.68977804763507689</v>
      </c>
      <c r="EX137" s="21">
        <f>EXP(-LN(2)/2)*EX136+(1-EXP(-LN(2)/2))/(LN(2)/2)*ER137*EU137*VLOOKUP('Données projet'!$B$15,Paramètres!$A$1:$I$89,3,0)*0.475*44/12</f>
        <v>1.2091866117445551E-15</v>
      </c>
      <c r="EY137" s="22">
        <f t="shared" si="129"/>
        <v>1.481842983830987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3.813056537183002E-14</v>
      </c>
      <c r="FG137" s="13">
        <f t="shared" si="155"/>
        <v>6.4086286045526829E-13</v>
      </c>
      <c r="FH137" s="20">
        <f t="shared" si="130"/>
        <v>1.1825802166488628E-12</v>
      </c>
      <c r="FI137" s="59">
        <f t="shared" si="131"/>
        <v>293.33333333333451</v>
      </c>
      <c r="FJ137" s="59">
        <f ca="1">AVERAGE(OFFSET($FI$3,0,0,'Données projet'!$E$16+1,1))-AVERAGE(OFFSET($H$3,0,0,'Données projet'!$E$16+1,1))</f>
        <v>156.63226020379989</v>
      </c>
      <c r="FK137" s="59">
        <f t="shared" si="156"/>
        <v>196.0481096619543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0.48498950366065918</v>
      </c>
      <c r="FS137" s="21">
        <f>EXP(-LN(2)/2)*FS136+(1-EXP(-LN(2)/2))/(LN(2)/2)*FM137*FP137*VLOOKUP('Données projet'!$B$16,Paramètres!$A$1:$I$89,3,0)*0.475*44/12</f>
        <v>2.0147152395570619E-15</v>
      </c>
      <c r="FT137" s="22">
        <f t="shared" si="132"/>
        <v>0.48498950366066118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-4.5474735088646412E-13</v>
      </c>
      <c r="GA137" s="17">
        <f>FZ137*VLOOKUP('Données projet'!$B$17,Paramètres!$A$1:$I$89,3,0)*VLOOKUP('Données projet'!$B$17,Paramètres!$A$1:$I$89,5,0)</f>
        <v>-2.7193891583010558E-13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216.94426559495264</v>
      </c>
      <c r="GF137" s="59">
        <f t="shared" si="158"/>
        <v>225.33715877618704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0.71877581386668632</v>
      </c>
      <c r="GN137" s="21">
        <f>EXP(-LN(2)/2)*GN136+(1-EXP(-LN(2)/2))/(LN(2)/2)*GH137*GK137*VLOOKUP('Données projet'!$B$17,Paramètres!$A$1:$I$89,3,0)*0.475*44/12</f>
        <v>5.2689763383060243E-15</v>
      </c>
      <c r="GO137" s="21">
        <f t="shared" si="135"/>
        <v>0.71877581386669154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-1.1368683772161603E-13</v>
      </c>
      <c r="GV137" s="17">
        <f>GU137*VLOOKUP('Données projet'!$B$18,Paramètres!$A$1:$I$89,3,0)*VLOOKUP('Données projet'!$B$18,Paramètres!$A$1:$I$89,5,0)</f>
        <v>-1.0995790944434703E-13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261.22357949323879</v>
      </c>
      <c r="HA137" s="59">
        <f t="shared" si="160"/>
        <v>163.41029152029387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0.18572557872209289</v>
      </c>
      <c r="HI137" s="21">
        <f>EXP(-LN(2)/2)*HI136+(1-EXP(-LN(2)/2))/(LN(2)/2)*HC137*HF137*VLOOKUP('Données projet'!$B$18,Paramètres!$A$1:$I$89,3,0)*0.475*44/12</f>
        <v>1.4690913886718845E-15</v>
      </c>
      <c r="HJ137" s="22">
        <f t="shared" si="138"/>
        <v>0.18572557872209436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237.22177246688199</v>
      </c>
      <c r="T138" s="59">
        <f t="shared" si="142"/>
        <v>149.27472147904302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227.99999999999986</v>
      </c>
      <c r="AJ138" s="13">
        <f>AI138*VLOOKUP('Données projet'!$B$10,Paramètres!$A$1:$I$89,3,0)*VLOOKUP('Données projet'!$B$10,Paramètres!$A$1:$I$89,5,0)</f>
        <v>199.18079999999992</v>
      </c>
      <c r="AK138" s="13">
        <f t="shared" si="143"/>
        <v>49.564089376413683</v>
      </c>
      <c r="AL138" s="20">
        <f t="shared" si="112"/>
        <v>433.23068233058694</v>
      </c>
      <c r="AM138" s="59">
        <f t="shared" si="113"/>
        <v>726.56401566392026</v>
      </c>
      <c r="AN138" s="59">
        <f ca="1">AVERAGE(OFFSET($AM$3,0,0,'Données projet'!$E$10+1,1))-AVERAGE(OFFSET($H$3,0,0,'Données projet'!$E$10+1,1))</f>
        <v>210.07838338464626</v>
      </c>
      <c r="AO138" s="59">
        <f t="shared" si="144"/>
        <v>241.76003724236273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0.66252722970473887</v>
      </c>
      <c r="AV138" s="21">
        <f>EXP(-LN(2)/25)*AV137+(1-EXP(-LN(2)/25))/(LN(2)/25)*Calculateur!AQ138*Calculateur!AS138*VLOOKUP('Données projet'!$B$10,Paramètres!$A$1:$I$89,3,0)*0.475*44/12</f>
        <v>0.73778653844231235</v>
      </c>
      <c r="AW138" s="21">
        <f>EXP(-LN(2)/2)*AW137+(1-EXP(-LN(2)/2))/(LN(2)/2)*AQ138*AT138*VLOOKUP('Données projet'!$B$10,Paramètres!$A$1:$I$89,3,0)*0.475*44/12</f>
        <v>2.5076613116118096E-15</v>
      </c>
      <c r="AX138" s="21">
        <f t="shared" si="114"/>
        <v>1.4003137681470537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6.2527760746888816E-13</v>
      </c>
      <c r="BE138" s="13">
        <f>BD138*VLOOKUP('Données projet'!$B$11,Paramètres!$A$1:$I$89,3,0)*VLOOKUP('Données projet'!$B$11,Paramètres!$A$1:$I$89,5,0)</f>
        <v>3.9017322706058616E-13</v>
      </c>
      <c r="BF138" s="13">
        <f t="shared" si="145"/>
        <v>5.0025007393608908E-12</v>
      </c>
      <c r="BG138" s="20">
        <f t="shared" si="115"/>
        <v>9.3922404915174053E-12</v>
      </c>
      <c r="BH138" s="59">
        <f t="shared" si="116"/>
        <v>293.33333333334269</v>
      </c>
      <c r="BI138" s="59">
        <f ca="1">AVERAGE(OFFSET($BH$3,0,0,'Données projet'!$E$11+1,1))-AVERAGE(OFFSET($H$3,0,0,'Données projet'!$E$11+1,1))</f>
        <v>209.93608079129638</v>
      </c>
      <c r="BJ138" s="59">
        <f t="shared" si="146"/>
        <v>240.15652428700969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0.86916503120398292</v>
      </c>
      <c r="BQ138" s="21">
        <f>EXP(-LN(2)/25)*BQ137+(1-EXP(-LN(2)/25))/(LN(2)/25)*Calculateur!BL138*Calculateur!BN138*VLOOKUP('Données projet'!$B$11,Paramètres!$A$1:$I$89,3,0)*0.475*44/12</f>
        <v>1.1310578386076038</v>
      </c>
      <c r="BR138" s="21">
        <f>EXP(-LN(2)/2)*BR137+(1-EXP(-LN(2)/2))/(LN(2)/2)*BL138*BO138*VLOOKUP('Données projet'!$B$11,Paramètres!$A$1:$I$89,3,0)*0.475*44/12</f>
        <v>3.1701447157058532E-15</v>
      </c>
      <c r="BS138" s="22">
        <f t="shared" si="117"/>
        <v>2.0002228698115898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215.23235148064941</v>
      </c>
      <c r="CE138" s="59">
        <f t="shared" si="148"/>
        <v>184.07239726900434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0.39182270022758153</v>
      </c>
      <c r="CL138" s="21">
        <f>EXP(-LN(2)/25)*CL137+(1-EXP(-LN(2)/25))/(LN(2)/25)*Calculateur!CG138*Calculateur!CI138*VLOOKUP('Données projet'!$B$12,Paramètres!$A$1:$I$89,3,0)*0.475*44/12</f>
        <v>0.4274111823950893</v>
      </c>
      <c r="CM138" s="21">
        <f>EXP(-LN(2)/2)*CM137+(1-EXP(-LN(2)/2))/(LN(2)/2)*CG138*CJ138*VLOOKUP('Données projet'!$B$12,Paramètres!$A$1:$I$89,3,0)*0.475*44/12</f>
        <v>1.543742614416072E-15</v>
      </c>
      <c r="CN138" s="22">
        <f t="shared" si="120"/>
        <v>0.81923388262267238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-1.1527845344971866E-13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279.20364724206644</v>
      </c>
      <c r="CZ138" s="59">
        <f t="shared" si="150"/>
        <v>173.99850582760712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0.18938788218271746</v>
      </c>
      <c r="DH138" s="21">
        <f>EXP(-LN(2)/2)*DH137+(1-EXP(-LN(2)/2))/(LN(2)/2)*DB138*DE138*VLOOKUP('Données projet'!$B$13,Paramètres!$A$1:$I$89,3,0)*0.475*44/12</f>
        <v>1.0890692161664895E-15</v>
      </c>
      <c r="DI138" s="22">
        <f t="shared" si="123"/>
        <v>0.18938788218271854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-1.1882548278663309E-13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291.18074901939718</v>
      </c>
      <c r="DU138" s="59">
        <f t="shared" si="152"/>
        <v>181.05123751753774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0.19521520163449343</v>
      </c>
      <c r="EC138" s="21">
        <f>EXP(-LN(2)/2)*EC137+(1-EXP(-LN(2)/2))/(LN(2)/2)*DW138*DZ138*VLOOKUP('Données projet'!$B$14,Paramètres!$A$1:$I$89,3,0)*0.475*44/12</f>
        <v>1.1225790382023826E-15</v>
      </c>
      <c r="ED138" s="22">
        <f t="shared" si="126"/>
        <v>0.19521520163449455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168.08890945052406</v>
      </c>
      <c r="EP138" s="59">
        <f t="shared" si="154"/>
        <v>182.52462557642343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0.77653302590901496</v>
      </c>
      <c r="EW138" s="21">
        <f>EXP(-LN(2)/25)*EW137+(1-EXP(-LN(2)/25))/(LN(2)/25)*Calculateur!ER138*Calculateur!ET138*VLOOKUP('Données projet'!$B$15,Paramètres!$A$1:$I$89,3,0)*0.475*44/12</f>
        <v>0.67091603064864469</v>
      </c>
      <c r="EX138" s="21">
        <f>EXP(-LN(2)/2)*EX137+(1-EXP(-LN(2)/2))/(LN(2)/2)*ER138*EU138*VLOOKUP('Données projet'!$B$15,Paramètres!$A$1:$I$89,3,0)*0.475*44/12</f>
        <v>8.5502405288455993E-16</v>
      </c>
      <c r="EY138" s="22">
        <f t="shared" si="129"/>
        <v>1.4474490565576605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3.813056537183002E-14</v>
      </c>
      <c r="FG138" s="13">
        <f t="shared" si="155"/>
        <v>6.4086286045526829E-13</v>
      </c>
      <c r="FH138" s="20">
        <f t="shared" si="130"/>
        <v>1.1825802166488628E-12</v>
      </c>
      <c r="FI138" s="59">
        <f t="shared" si="131"/>
        <v>293.33333333333451</v>
      </c>
      <c r="FJ138" s="59">
        <f ca="1">AVERAGE(OFFSET($FI$3,0,0,'Données projet'!$E$16+1,1))-AVERAGE(OFFSET($H$3,0,0,'Données projet'!$E$16+1,1))</f>
        <v>156.63226020379989</v>
      </c>
      <c r="FK138" s="59">
        <f t="shared" si="156"/>
        <v>196.0481096619543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0.47172744017856894</v>
      </c>
      <c r="FS138" s="21">
        <f>EXP(-LN(2)/2)*FS137+(1-EXP(-LN(2)/2))/(LN(2)/2)*FM138*FP138*VLOOKUP('Données projet'!$B$16,Paramètres!$A$1:$I$89,3,0)*0.475*44/12</f>
        <v>1.424618808050678E-15</v>
      </c>
      <c r="FT138" s="22">
        <f t="shared" si="132"/>
        <v>0.47172744017857038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-4.5474735088646412E-13</v>
      </c>
      <c r="GA138" s="17">
        <f>FZ138*VLOOKUP('Données projet'!$B$17,Paramètres!$A$1:$I$89,3,0)*VLOOKUP('Données projet'!$B$17,Paramètres!$A$1:$I$89,5,0)</f>
        <v>-2.7193891583010558E-13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216.94426559495264</v>
      </c>
      <c r="GF138" s="59">
        <f t="shared" si="158"/>
        <v>225.33715877618704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0.69912085143772451</v>
      </c>
      <c r="GN138" s="21">
        <f>EXP(-LN(2)/2)*GN137+(1-EXP(-LN(2)/2))/(LN(2)/2)*GH138*GK138*VLOOKUP('Données projet'!$B$17,Paramètres!$A$1:$I$89,3,0)*0.475*44/12</f>
        <v>3.7257288987276542E-15</v>
      </c>
      <c r="GO138" s="21">
        <f t="shared" si="135"/>
        <v>0.69912085143772829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-1.1368683772161603E-13</v>
      </c>
      <c r="GV138" s="17">
        <f>GU138*VLOOKUP('Données projet'!$B$18,Paramètres!$A$1:$I$89,3,0)*VLOOKUP('Données projet'!$B$18,Paramètres!$A$1:$I$89,5,0)</f>
        <v>-1.0995790944434703E-13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261.22357949323879</v>
      </c>
      <c r="HA138" s="59">
        <f t="shared" si="160"/>
        <v>163.41029152029387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0.18064690300505357</v>
      </c>
      <c r="HI138" s="21">
        <f>EXP(-LN(2)/2)*HI137+(1-EXP(-LN(2)/2))/(LN(2)/2)*HC138*HF138*VLOOKUP('Données projet'!$B$18,Paramètres!$A$1:$I$89,3,0)*0.475*44/12</f>
        <v>1.0388044831126515E-15</v>
      </c>
      <c r="HJ138" s="22">
        <f t="shared" si="138"/>
        <v>0.18064690300505459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237.22177246688199</v>
      </c>
      <c r="T139" s="59">
        <f t="shared" si="142"/>
        <v>149.27472147904302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227.99999999999986</v>
      </c>
      <c r="AJ139" s="13">
        <f>AI139*VLOOKUP('Données projet'!$B$10,Paramètres!$A$1:$I$89,3,0)*VLOOKUP('Données projet'!$B$10,Paramètres!$A$1:$I$89,5,0)</f>
        <v>199.18079999999992</v>
      </c>
      <c r="AK139" s="13">
        <f t="shared" si="143"/>
        <v>49.564089376413683</v>
      </c>
      <c r="AL139" s="20">
        <f t="shared" si="112"/>
        <v>433.23068233058694</v>
      </c>
      <c r="AM139" s="59">
        <f t="shared" si="113"/>
        <v>726.56401566392026</v>
      </c>
      <c r="AN139" s="59">
        <f ca="1">AVERAGE(OFFSET($AM$3,0,0,'Données projet'!$E$10+1,1))-AVERAGE(OFFSET($H$3,0,0,'Données projet'!$E$10+1,1))</f>
        <v>210.07838338464626</v>
      </c>
      <c r="AO139" s="59">
        <f t="shared" si="144"/>
        <v>241.76003724236273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0.6495354748319373</v>
      </c>
      <c r="AV139" s="21">
        <f>EXP(-LN(2)/25)*AV138+(1-EXP(-LN(2)/25))/(LN(2)/25)*Calculateur!AQ139*Calculateur!AS139*VLOOKUP('Données projet'!$B$10,Paramètres!$A$1:$I$89,3,0)*0.475*44/12</f>
        <v>0.71761172675009954</v>
      </c>
      <c r="AW139" s="21">
        <f>EXP(-LN(2)/2)*AW138+(1-EXP(-LN(2)/2))/(LN(2)/2)*AQ139*AT139*VLOOKUP('Données projet'!$B$10,Paramètres!$A$1:$I$89,3,0)*0.475*44/12</f>
        <v>1.7731843183598627E-15</v>
      </c>
      <c r="AX139" s="21">
        <f t="shared" si="114"/>
        <v>1.3671472015820387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6.2527760746888816E-13</v>
      </c>
      <c r="BE139" s="13">
        <f>BD139*VLOOKUP('Données projet'!$B$11,Paramètres!$A$1:$I$89,3,0)*VLOOKUP('Données projet'!$B$11,Paramètres!$A$1:$I$89,5,0)</f>
        <v>3.9017322706058616E-13</v>
      </c>
      <c r="BF139" s="13">
        <f t="shared" si="145"/>
        <v>5.0025007393608908E-12</v>
      </c>
      <c r="BG139" s="20">
        <f t="shared" si="115"/>
        <v>9.3922404915174053E-12</v>
      </c>
      <c r="BH139" s="59">
        <f t="shared" si="116"/>
        <v>293.33333333334269</v>
      </c>
      <c r="BI139" s="59">
        <f ca="1">AVERAGE(OFFSET($BH$3,0,0,'Données projet'!$E$11+1,1))-AVERAGE(OFFSET($H$3,0,0,'Données projet'!$E$11+1,1))</f>
        <v>209.93608079129638</v>
      </c>
      <c r="BJ139" s="59">
        <f t="shared" si="146"/>
        <v>240.15652428700969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0.85212123508039506</v>
      </c>
      <c r="BQ139" s="21">
        <f>EXP(-LN(2)/25)*BQ138+(1-EXP(-LN(2)/25))/(LN(2)/25)*Calculateur!BL139*Calculateur!BN139*VLOOKUP('Données projet'!$B$11,Paramètres!$A$1:$I$89,3,0)*0.475*44/12</f>
        <v>1.1001290025311321</v>
      </c>
      <c r="BR139" s="21">
        <f>EXP(-LN(2)/2)*BR138+(1-EXP(-LN(2)/2))/(LN(2)/2)*BL139*BO139*VLOOKUP('Données projet'!$B$11,Paramètres!$A$1:$I$89,3,0)*0.475*44/12</f>
        <v>2.2416308258183086E-15</v>
      </c>
      <c r="BS139" s="22">
        <f t="shared" si="117"/>
        <v>1.9522502376115294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215.23235148064941</v>
      </c>
      <c r="CE139" s="59">
        <f t="shared" si="148"/>
        <v>184.07239726900434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0.38413929606436764</v>
      </c>
      <c r="CL139" s="21">
        <f>EXP(-LN(2)/25)*CL138+(1-EXP(-LN(2)/25))/(LN(2)/25)*Calculateur!CG139*Calculateur!CI139*VLOOKUP('Données projet'!$B$12,Paramètres!$A$1:$I$89,3,0)*0.475*44/12</f>
        <v>0.41572360113591833</v>
      </c>
      <c r="CM139" s="21">
        <f>EXP(-LN(2)/2)*CM138+(1-EXP(-LN(2)/2))/(LN(2)/2)*CG139*CJ139*VLOOKUP('Données projet'!$B$12,Paramètres!$A$1:$I$89,3,0)*0.475*44/12</f>
        <v>1.0915908710602542E-15</v>
      </c>
      <c r="CN139" s="22">
        <f t="shared" si="120"/>
        <v>0.79986289720028703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-1.1527845344971866E-13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279.20364724206644</v>
      </c>
      <c r="CZ139" s="59">
        <f t="shared" si="150"/>
        <v>173.99850582760712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0.18420906058495518</v>
      </c>
      <c r="DH139" s="21">
        <f>EXP(-LN(2)/2)*DH138+(1-EXP(-LN(2)/2))/(LN(2)/2)*DB139*DE139*VLOOKUP('Données projet'!$B$13,Paramètres!$A$1:$I$89,3,0)*0.475*44/12</f>
        <v>7.7008822793284273E-16</v>
      </c>
      <c r="DI139" s="22">
        <f t="shared" si="123"/>
        <v>0.18420906058495595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-1.1882548278663309E-13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291.18074901939718</v>
      </c>
      <c r="DU139" s="59">
        <f t="shared" si="152"/>
        <v>181.05123751753774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0.18987703167987693</v>
      </c>
      <c r="EC139" s="21">
        <f>EXP(-LN(2)/2)*EC138+(1-EXP(-LN(2)/2))/(LN(2)/2)*DW139*DZ139*VLOOKUP('Données projet'!$B$14,Paramètres!$A$1:$I$89,3,0)*0.475*44/12</f>
        <v>7.9378325033077713E-16</v>
      </c>
      <c r="ED139" s="22">
        <f t="shared" si="126"/>
        <v>0.18987703167987774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168.08890945052406</v>
      </c>
      <c r="EP139" s="59">
        <f t="shared" si="154"/>
        <v>182.52462557642343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0.7613056869093171</v>
      </c>
      <c r="EW139" s="21">
        <f>EXP(-LN(2)/25)*EW138+(1-EXP(-LN(2)/25))/(LN(2)/25)*Calculateur!ER139*Calculateur!ET139*VLOOKUP('Données projet'!$B$15,Paramètres!$A$1:$I$89,3,0)*0.475*44/12</f>
        <v>0.6525697965086168</v>
      </c>
      <c r="EX139" s="21">
        <f>EXP(-LN(2)/2)*EX138+(1-EXP(-LN(2)/2))/(LN(2)/2)*ER139*EU139*VLOOKUP('Données projet'!$B$15,Paramètres!$A$1:$I$89,3,0)*0.475*44/12</f>
        <v>6.0459330587227755E-16</v>
      </c>
      <c r="EY139" s="22">
        <f t="shared" si="129"/>
        <v>1.4138754834179346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3.813056537183002E-14</v>
      </c>
      <c r="FG139" s="13">
        <f t="shared" si="155"/>
        <v>6.4086286045526829E-13</v>
      </c>
      <c r="FH139" s="20">
        <f t="shared" si="130"/>
        <v>1.1825802166488628E-12</v>
      </c>
      <c r="FI139" s="59">
        <f t="shared" si="131"/>
        <v>293.33333333333451</v>
      </c>
      <c r="FJ139" s="59">
        <f ca="1">AVERAGE(OFFSET($FI$3,0,0,'Données projet'!$E$16+1,1))-AVERAGE(OFFSET($H$3,0,0,'Données projet'!$E$16+1,1))</f>
        <v>156.63226020379989</v>
      </c>
      <c r="FK139" s="59">
        <f t="shared" si="156"/>
        <v>196.0481096619543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0.45882802851981802</v>
      </c>
      <c r="FS139" s="21">
        <f>EXP(-LN(2)/2)*FS138+(1-EXP(-LN(2)/2))/(LN(2)/2)*FM139*FP139*VLOOKUP('Données projet'!$B$16,Paramètres!$A$1:$I$89,3,0)*0.475*44/12</f>
        <v>1.0073576197785309E-15</v>
      </c>
      <c r="FT139" s="22">
        <f t="shared" si="132"/>
        <v>0.45882802851981902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-4.5474735088646412E-13</v>
      </c>
      <c r="GA139" s="17">
        <f>FZ139*VLOOKUP('Données projet'!$B$17,Paramètres!$A$1:$I$89,3,0)*VLOOKUP('Données projet'!$B$17,Paramètres!$A$1:$I$89,5,0)</f>
        <v>-2.7193891583010558E-13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216.94426559495264</v>
      </c>
      <c r="GF139" s="59">
        <f t="shared" si="158"/>
        <v>225.33715877618704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0.6800033549899922</v>
      </c>
      <c r="GN139" s="21">
        <f>EXP(-LN(2)/2)*GN138+(1-EXP(-LN(2)/2))/(LN(2)/2)*GH139*GK139*VLOOKUP('Données projet'!$B$17,Paramètres!$A$1:$I$89,3,0)*0.475*44/12</f>
        <v>2.6344881691530121E-15</v>
      </c>
      <c r="GO139" s="21">
        <f t="shared" si="135"/>
        <v>0.68000335498999487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-1.1368683772161603E-13</v>
      </c>
      <c r="GV139" s="17">
        <f>GU139*VLOOKUP('Données projet'!$B$18,Paramètres!$A$1:$I$89,3,0)*VLOOKUP('Données projet'!$B$18,Paramètres!$A$1:$I$89,5,0)</f>
        <v>-1.0995790944434703E-13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261.22357949323879</v>
      </c>
      <c r="HA139" s="59">
        <f t="shared" si="160"/>
        <v>163.41029152029387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0.17570710394257263</v>
      </c>
      <c r="HI139" s="21">
        <f>EXP(-LN(2)/2)*HI138+(1-EXP(-LN(2)/2))/(LN(2)/2)*HC139*HF139*VLOOKUP('Données projet'!$B$18,Paramètres!$A$1:$I$89,3,0)*0.475*44/12</f>
        <v>7.3454569433594227E-16</v>
      </c>
      <c r="HJ139" s="22">
        <f t="shared" si="138"/>
        <v>0.17570710394257336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237.22177246688199</v>
      </c>
      <c r="T140" s="59">
        <f t="shared" si="142"/>
        <v>149.27472147904302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227.99999999999986</v>
      </c>
      <c r="AJ140" s="13">
        <f>AI140*VLOOKUP('Données projet'!$B$10,Paramètres!$A$1:$I$89,3,0)*VLOOKUP('Données projet'!$B$10,Paramètres!$A$1:$I$89,5,0)</f>
        <v>199.18079999999992</v>
      </c>
      <c r="AK140" s="13">
        <f t="shared" si="143"/>
        <v>49.564089376413683</v>
      </c>
      <c r="AL140" s="20">
        <f t="shared" si="112"/>
        <v>433.23068233058694</v>
      </c>
      <c r="AM140" s="59">
        <f t="shared" si="113"/>
        <v>726.56401566392026</v>
      </c>
      <c r="AN140" s="59">
        <f ca="1">AVERAGE(OFFSET($AM$3,0,0,'Données projet'!$E$10+1,1))-AVERAGE(OFFSET($H$3,0,0,'Données projet'!$E$10+1,1))</f>
        <v>210.07838338464626</v>
      </c>
      <c r="AO140" s="59">
        <f t="shared" si="144"/>
        <v>241.76003724236273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0.63679848034800335</v>
      </c>
      <c r="AV140" s="21">
        <f>EXP(-LN(2)/25)*AV139+(1-EXP(-LN(2)/25))/(LN(2)/25)*Calculateur!AQ140*Calculateur!AS140*VLOOKUP('Données projet'!$B$10,Paramètres!$A$1:$I$89,3,0)*0.475*44/12</f>
        <v>0.69798859634455745</v>
      </c>
      <c r="AW140" s="21">
        <f>EXP(-LN(2)/2)*AW139+(1-EXP(-LN(2)/2))/(LN(2)/2)*AQ140*AT140*VLOOKUP('Données projet'!$B$10,Paramètres!$A$1:$I$89,3,0)*0.475*44/12</f>
        <v>1.253830655805905E-15</v>
      </c>
      <c r="AX140" s="21">
        <f t="shared" si="114"/>
        <v>1.334787076692562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6.2527760746888816E-13</v>
      </c>
      <c r="BE140" s="13">
        <f>BD140*VLOOKUP('Données projet'!$B$11,Paramètres!$A$1:$I$89,3,0)*VLOOKUP('Données projet'!$B$11,Paramètres!$A$1:$I$89,5,0)</f>
        <v>3.9017322706058616E-13</v>
      </c>
      <c r="BF140" s="13">
        <f t="shared" si="145"/>
        <v>5.0025007393608908E-12</v>
      </c>
      <c r="BG140" s="20">
        <f t="shared" si="115"/>
        <v>9.3922404915174053E-12</v>
      </c>
      <c r="BH140" s="59">
        <f t="shared" si="116"/>
        <v>293.33333333334269</v>
      </c>
      <c r="BI140" s="59">
        <f ca="1">AVERAGE(OFFSET($BH$3,0,0,'Données projet'!$E$11+1,1))-AVERAGE(OFFSET($H$3,0,0,'Données projet'!$E$11+1,1))</f>
        <v>209.93608079129638</v>
      </c>
      <c r="BJ140" s="59">
        <f t="shared" si="146"/>
        <v>240.15652428700969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0.83541165740310164</v>
      </c>
      <c r="BQ140" s="21">
        <f>EXP(-LN(2)/25)*BQ139+(1-EXP(-LN(2)/25))/(LN(2)/25)*Calculateur!BL140*Calculateur!BN140*VLOOKUP('Données projet'!$B$11,Paramètres!$A$1:$I$89,3,0)*0.475*44/12</f>
        <v>1.0700459171036485</v>
      </c>
      <c r="BR140" s="21">
        <f>EXP(-LN(2)/2)*BR139+(1-EXP(-LN(2)/2))/(LN(2)/2)*BL140*BO140*VLOOKUP('Données projet'!$B$11,Paramètres!$A$1:$I$89,3,0)*0.475*44/12</f>
        <v>1.5850723578529266E-15</v>
      </c>
      <c r="BS140" s="22">
        <f t="shared" si="117"/>
        <v>1.9054575745067517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215.23235148064941</v>
      </c>
      <c r="CE140" s="59">
        <f t="shared" si="148"/>
        <v>184.07239726900434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0.37660655877038063</v>
      </c>
      <c r="CL140" s="21">
        <f>EXP(-LN(2)/25)*CL139+(1-EXP(-LN(2)/25))/(LN(2)/25)*Calculateur!CG140*Calculateur!CI140*VLOOKUP('Données projet'!$B$12,Paramètres!$A$1:$I$89,3,0)*0.475*44/12</f>
        <v>0.40435561740090259</v>
      </c>
      <c r="CM140" s="21">
        <f>EXP(-LN(2)/2)*CM139+(1-EXP(-LN(2)/2))/(LN(2)/2)*CG140*CJ140*VLOOKUP('Données projet'!$B$12,Paramètres!$A$1:$I$89,3,0)*0.475*44/12</f>
        <v>7.7187130720803599E-16</v>
      </c>
      <c r="CN140" s="22">
        <f t="shared" si="120"/>
        <v>0.78096217617128405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-1.1527845344971866E-13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279.20364724206644</v>
      </c>
      <c r="CZ140" s="59">
        <f t="shared" si="150"/>
        <v>173.99850582760712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0.1791718541361261</v>
      </c>
      <c r="DH140" s="21">
        <f>EXP(-LN(2)/2)*DH139+(1-EXP(-LN(2)/2))/(LN(2)/2)*DB140*DE140*VLOOKUP('Données projet'!$B$13,Paramètres!$A$1:$I$89,3,0)*0.475*44/12</f>
        <v>5.4453460808324476E-16</v>
      </c>
      <c r="DI140" s="22">
        <f t="shared" si="123"/>
        <v>0.17917185413612666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-1.1882548278663309E-13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291.18074901939718</v>
      </c>
      <c r="DU140" s="59">
        <f t="shared" si="152"/>
        <v>181.05123751753774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0.18468483426339158</v>
      </c>
      <c r="EC140" s="21">
        <f>EXP(-LN(2)/2)*EC139+(1-EXP(-LN(2)/2))/(LN(2)/2)*DW140*DZ140*VLOOKUP('Données projet'!$B$14,Paramètres!$A$1:$I$89,3,0)*0.475*44/12</f>
        <v>5.6128951910119129E-16</v>
      </c>
      <c r="ED140" s="22">
        <f t="shared" si="126"/>
        <v>0.18468483426339213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168.08890945052406</v>
      </c>
      <c r="EP140" s="59">
        <f t="shared" si="154"/>
        <v>182.52462557642343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0.74637694673964361</v>
      </c>
      <c r="EW140" s="21">
        <f>EXP(-LN(2)/25)*EW139+(1-EXP(-LN(2)/25))/(LN(2)/25)*Calculateur!ER140*Calculateur!ET140*VLOOKUP('Données projet'!$B$15,Paramètres!$A$1:$I$89,3,0)*0.475*44/12</f>
        <v>0.63472524110593453</v>
      </c>
      <c r="EX140" s="21">
        <f>EXP(-LN(2)/2)*EX139+(1-EXP(-LN(2)/2))/(LN(2)/2)*ER140*EU140*VLOOKUP('Données projet'!$B$15,Paramètres!$A$1:$I$89,3,0)*0.475*44/12</f>
        <v>4.2751202644227996E-16</v>
      </c>
      <c r="EY140" s="22">
        <f t="shared" si="129"/>
        <v>1.3811021878455785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3.813056537183002E-14</v>
      </c>
      <c r="FG140" s="13">
        <f t="shared" si="155"/>
        <v>6.4086286045526829E-13</v>
      </c>
      <c r="FH140" s="20">
        <f t="shared" si="130"/>
        <v>1.1825802166488628E-12</v>
      </c>
      <c r="FI140" s="59">
        <f t="shared" si="131"/>
        <v>293.33333333333451</v>
      </c>
      <c r="FJ140" s="59">
        <f ca="1">AVERAGE(OFFSET($FI$3,0,0,'Données projet'!$E$16+1,1))-AVERAGE(OFFSET($H$3,0,0,'Données projet'!$E$16+1,1))</f>
        <v>156.63226020379989</v>
      </c>
      <c r="FK140" s="59">
        <f t="shared" si="156"/>
        <v>196.0481096619543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0.44628135195122626</v>
      </c>
      <c r="FS140" s="21">
        <f>EXP(-LN(2)/2)*FS139+(1-EXP(-LN(2)/2))/(LN(2)/2)*FM140*FP140*VLOOKUP('Données projet'!$B$16,Paramètres!$A$1:$I$89,3,0)*0.475*44/12</f>
        <v>7.1230940402533902E-16</v>
      </c>
      <c r="FT140" s="22">
        <f t="shared" si="132"/>
        <v>0.44628135195122698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-4.5474735088646412E-13</v>
      </c>
      <c r="GA140" s="17">
        <f>FZ140*VLOOKUP('Données projet'!$B$17,Paramètres!$A$1:$I$89,3,0)*VLOOKUP('Données projet'!$B$17,Paramètres!$A$1:$I$89,5,0)</f>
        <v>-2.7193891583010558E-13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216.94426559495264</v>
      </c>
      <c r="GF140" s="59">
        <f t="shared" si="158"/>
        <v>225.33715877618704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0.66140862748796858</v>
      </c>
      <c r="GN140" s="21">
        <f>EXP(-LN(2)/2)*GN139+(1-EXP(-LN(2)/2))/(LN(2)/2)*GH140*GK140*VLOOKUP('Données projet'!$B$17,Paramètres!$A$1:$I$89,3,0)*0.475*44/12</f>
        <v>1.8628644493638271E-15</v>
      </c>
      <c r="GO140" s="21">
        <f t="shared" si="135"/>
        <v>0.66140862748797047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-1.1368683772161603E-13</v>
      </c>
      <c r="GV140" s="17">
        <f>GU140*VLOOKUP('Données projet'!$B$18,Paramètres!$A$1:$I$89,3,0)*VLOOKUP('Données projet'!$B$18,Paramètres!$A$1:$I$89,5,0)</f>
        <v>-1.0995790944434703E-13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261.22357949323879</v>
      </c>
      <c r="HA140" s="59">
        <f t="shared" si="160"/>
        <v>163.41029152029387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0.17090238394522797</v>
      </c>
      <c r="HI140" s="21">
        <f>EXP(-LN(2)/2)*HI139+(1-EXP(-LN(2)/2))/(LN(2)/2)*HC140*HF140*VLOOKUP('Données projet'!$B$18,Paramètres!$A$1:$I$89,3,0)*0.475*44/12</f>
        <v>5.1940224155632574E-16</v>
      </c>
      <c r="HJ140" s="22">
        <f t="shared" si="138"/>
        <v>0.1709023839452285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237.22177246688199</v>
      </c>
      <c r="T141" s="59">
        <f t="shared" si="142"/>
        <v>149.27472147904302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227.99999999999986</v>
      </c>
      <c r="AJ141" s="13">
        <f>AI141*VLOOKUP('Données projet'!$B$10,Paramètres!$A$1:$I$89,3,0)*VLOOKUP('Données projet'!$B$10,Paramètres!$A$1:$I$89,5,0)</f>
        <v>199.18079999999992</v>
      </c>
      <c r="AK141" s="13">
        <f t="shared" si="143"/>
        <v>49.564089376413683</v>
      </c>
      <c r="AL141" s="20">
        <f t="shared" si="112"/>
        <v>433.23068233058694</v>
      </c>
      <c r="AM141" s="59">
        <f t="shared" si="113"/>
        <v>726.56401566392026</v>
      </c>
      <c r="AN141" s="59">
        <f ca="1">AVERAGE(OFFSET($AM$3,0,0,'Données projet'!$E$10+1,1))-AVERAGE(OFFSET($H$3,0,0,'Données projet'!$E$10+1,1))</f>
        <v>210.07838338464626</v>
      </c>
      <c r="AO141" s="59">
        <f t="shared" si="144"/>
        <v>241.76003724236273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0.62431125055709979</v>
      </c>
      <c r="AV141" s="21">
        <f>EXP(-LN(2)/25)*AV140+(1-EXP(-LN(2)/25))/(LN(2)/25)*Calculateur!AQ141*Calculateur!AS141*VLOOKUP('Données projet'!$B$10,Paramètres!$A$1:$I$89,3,0)*0.475*44/12</f>
        <v>0.67890206147189047</v>
      </c>
      <c r="AW141" s="21">
        <f>EXP(-LN(2)/2)*AW140+(1-EXP(-LN(2)/2))/(LN(2)/2)*AQ141*AT141*VLOOKUP('Données projet'!$B$10,Paramètres!$A$1:$I$89,3,0)*0.475*44/12</f>
        <v>8.8659215917993154E-16</v>
      </c>
      <c r="AX141" s="21">
        <f t="shared" si="114"/>
        <v>1.303213312028991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6.2527760746888816E-13</v>
      </c>
      <c r="BE141" s="13">
        <f>BD141*VLOOKUP('Données projet'!$B$11,Paramètres!$A$1:$I$89,3,0)*VLOOKUP('Données projet'!$B$11,Paramètres!$A$1:$I$89,5,0)</f>
        <v>3.9017322706058616E-13</v>
      </c>
      <c r="BF141" s="13">
        <f t="shared" si="145"/>
        <v>5.0025007393608908E-12</v>
      </c>
      <c r="BG141" s="20">
        <f t="shared" si="115"/>
        <v>9.3922404915174053E-12</v>
      </c>
      <c r="BH141" s="59">
        <f t="shared" si="116"/>
        <v>293.33333333334269</v>
      </c>
      <c r="BI141" s="59">
        <f ca="1">AVERAGE(OFFSET($BH$3,0,0,'Données projet'!$E$11+1,1))-AVERAGE(OFFSET($H$3,0,0,'Données projet'!$E$11+1,1))</f>
        <v>209.93608079129638</v>
      </c>
      <c r="BJ141" s="59">
        <f t="shared" si="146"/>
        <v>240.15652428700969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0.81902974435222387</v>
      </c>
      <c r="BQ141" s="21">
        <f>EXP(-LN(2)/25)*BQ140+(1-EXP(-LN(2)/25))/(LN(2)/25)*Calculateur!BL141*Calculateur!BN141*VLOOKUP('Données projet'!$B$11,Paramètres!$A$1:$I$89,3,0)*0.475*44/12</f>
        <v>1.04078545522918</v>
      </c>
      <c r="BR141" s="21">
        <f>EXP(-LN(2)/2)*BR140+(1-EXP(-LN(2)/2))/(LN(2)/2)*BL141*BO141*VLOOKUP('Données projet'!$B$11,Paramètres!$A$1:$I$89,3,0)*0.475*44/12</f>
        <v>1.1208154129091543E-15</v>
      </c>
      <c r="BS141" s="22">
        <f t="shared" si="117"/>
        <v>1.859815199581405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215.23235148064941</v>
      </c>
      <c r="CE141" s="59">
        <f t="shared" si="148"/>
        <v>184.07239726900434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0.36922153386021261</v>
      </c>
      <c r="CL141" s="21">
        <f>EXP(-LN(2)/25)*CL140+(1-EXP(-LN(2)/25))/(LN(2)/25)*Calculateur!CG141*Calculateur!CI141*VLOOKUP('Données projet'!$B$12,Paramètres!$A$1:$I$89,3,0)*0.475*44/12</f>
        <v>0.39329849177893716</v>
      </c>
      <c r="CM141" s="21">
        <f>EXP(-LN(2)/2)*CM140+(1-EXP(-LN(2)/2))/(LN(2)/2)*CG141*CJ141*VLOOKUP('Données projet'!$B$12,Paramètres!$A$1:$I$89,3,0)*0.475*44/12</f>
        <v>5.457954355301271E-16</v>
      </c>
      <c r="CN141" s="22">
        <f t="shared" si="120"/>
        <v>0.76252002563915033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-1.1527845344971866E-13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279.20364724206644</v>
      </c>
      <c r="CZ141" s="59">
        <f t="shared" si="150"/>
        <v>173.99850582760712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0.17427239036253542</v>
      </c>
      <c r="DH141" s="21">
        <f>EXP(-LN(2)/2)*DH140+(1-EXP(-LN(2)/2))/(LN(2)/2)*DB141*DE141*VLOOKUP('Données projet'!$B$13,Paramètres!$A$1:$I$89,3,0)*0.475*44/12</f>
        <v>3.8504411396642137E-16</v>
      </c>
      <c r="DI141" s="22">
        <f t="shared" si="123"/>
        <v>0.17427239036253581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-1.1882548278663309E-13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291.18074901939718</v>
      </c>
      <c r="DU141" s="59">
        <f t="shared" si="152"/>
        <v>181.05123751753774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0.1796346177583058</v>
      </c>
      <c r="EC141" s="21">
        <f>EXP(-LN(2)/2)*EC140+(1-EXP(-LN(2)/2))/(LN(2)/2)*DW141*DZ141*VLOOKUP('Données projet'!$B$14,Paramètres!$A$1:$I$89,3,0)*0.475*44/12</f>
        <v>3.9689162516538856E-16</v>
      </c>
      <c r="ED141" s="22">
        <f t="shared" si="126"/>
        <v>0.17963461775830619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168.08890945052406</v>
      </c>
      <c r="EP141" s="59">
        <f t="shared" si="154"/>
        <v>182.52462557642343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0.73174095005906503</v>
      </c>
      <c r="EW141" s="21">
        <f>EXP(-LN(2)/25)*EW140+(1-EXP(-LN(2)/25))/(LN(2)/25)*Calculateur!ER141*Calculateur!ET141*VLOOKUP('Données projet'!$B$15,Paramètres!$A$1:$I$89,3,0)*0.475*44/12</f>
        <v>0.61736864600914299</v>
      </c>
      <c r="EX141" s="21">
        <f>EXP(-LN(2)/2)*EX140+(1-EXP(-LN(2)/2))/(LN(2)/2)*ER141*EU141*VLOOKUP('Données projet'!$B$15,Paramètres!$A$1:$I$89,3,0)*0.475*44/12</f>
        <v>3.0229665293613877E-16</v>
      </c>
      <c r="EY141" s="22">
        <f t="shared" si="129"/>
        <v>1.3491095960682082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3.813056537183002E-14</v>
      </c>
      <c r="FG141" s="13">
        <f t="shared" si="155"/>
        <v>6.4086286045526829E-13</v>
      </c>
      <c r="FH141" s="20">
        <f t="shared" si="130"/>
        <v>1.1825802166488628E-12</v>
      </c>
      <c r="FI141" s="59">
        <f t="shared" si="131"/>
        <v>293.33333333333451</v>
      </c>
      <c r="FJ141" s="59">
        <f ca="1">AVERAGE(OFFSET($FI$3,0,0,'Données projet'!$E$16+1,1))-AVERAGE(OFFSET($H$3,0,0,'Données projet'!$E$16+1,1))</f>
        <v>156.63226020379989</v>
      </c>
      <c r="FK141" s="59">
        <f t="shared" si="156"/>
        <v>196.0481096619543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0.43407776491320366</v>
      </c>
      <c r="FS141" s="21">
        <f>EXP(-LN(2)/2)*FS140+(1-EXP(-LN(2)/2))/(LN(2)/2)*FM141*FP141*VLOOKUP('Données projet'!$B$16,Paramètres!$A$1:$I$89,3,0)*0.475*44/12</f>
        <v>5.0367880988926547E-16</v>
      </c>
      <c r="FT141" s="22">
        <f t="shared" si="132"/>
        <v>0.43407776491320416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-4.5474735088646412E-13</v>
      </c>
      <c r="GA141" s="17">
        <f>FZ141*VLOOKUP('Données projet'!$B$17,Paramètres!$A$1:$I$89,3,0)*VLOOKUP('Données projet'!$B$17,Paramètres!$A$1:$I$89,5,0)</f>
        <v>-2.7193891583010558E-13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216.94426559495264</v>
      </c>
      <c r="GF141" s="59">
        <f t="shared" si="158"/>
        <v>225.33715877618704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0.64332237378734203</v>
      </c>
      <c r="GN141" s="21">
        <f>EXP(-LN(2)/2)*GN140+(1-EXP(-LN(2)/2))/(LN(2)/2)*GH141*GK141*VLOOKUP('Données projet'!$B$17,Paramètres!$A$1:$I$89,3,0)*0.475*44/12</f>
        <v>1.3172440845765061E-15</v>
      </c>
      <c r="GO141" s="21">
        <f t="shared" si="135"/>
        <v>0.64332237378734336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-1.1368683772161603E-13</v>
      </c>
      <c r="GV141" s="17">
        <f>GU141*VLOOKUP('Données projet'!$B$18,Paramètres!$A$1:$I$89,3,0)*VLOOKUP('Données projet'!$B$18,Paramètres!$A$1:$I$89,5,0)</f>
        <v>-1.0995790944434703E-13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261.22357949323879</v>
      </c>
      <c r="HA141" s="59">
        <f t="shared" si="160"/>
        <v>163.41029152029387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0.16622904926887994</v>
      </c>
      <c r="HI141" s="21">
        <f>EXP(-LN(2)/2)*HI140+(1-EXP(-LN(2)/2))/(LN(2)/2)*HC141*HF141*VLOOKUP('Données projet'!$B$18,Paramètres!$A$1:$I$89,3,0)*0.475*44/12</f>
        <v>3.6727284716797114E-16</v>
      </c>
      <c r="HJ141" s="22">
        <f t="shared" si="138"/>
        <v>0.1662290492688803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237.22177246688199</v>
      </c>
      <c r="T142" s="59">
        <f t="shared" si="142"/>
        <v>149.27472147904302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227.99999999999986</v>
      </c>
      <c r="AJ142" s="13">
        <f>AI142*VLOOKUP('Données projet'!$B$10,Paramètres!$A$1:$I$89,3,0)*VLOOKUP('Données projet'!$B$10,Paramètres!$A$1:$I$89,5,0)</f>
        <v>199.18079999999992</v>
      </c>
      <c r="AK142" s="13">
        <f t="shared" si="143"/>
        <v>49.564089376413683</v>
      </c>
      <c r="AL142" s="20">
        <f t="shared" si="112"/>
        <v>433.23068233058694</v>
      </c>
      <c r="AM142" s="59">
        <f t="shared" si="113"/>
        <v>726.56401566392026</v>
      </c>
      <c r="AN142" s="59">
        <f ca="1">AVERAGE(OFFSET($AM$3,0,0,'Données projet'!$E$10+1,1))-AVERAGE(OFFSET($H$3,0,0,'Données projet'!$E$10+1,1))</f>
        <v>210.07838338464626</v>
      </c>
      <c r="AO142" s="59">
        <f t="shared" si="144"/>
        <v>241.76003724236273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0.61206888772593782</v>
      </c>
      <c r="AV142" s="21">
        <f>EXP(-LN(2)/25)*AV141+(1-EXP(-LN(2)/25))/(LN(2)/25)*Calculateur!AQ142*Calculateur!AS142*VLOOKUP('Données projet'!$B$10,Paramètres!$A$1:$I$89,3,0)*0.475*44/12</f>
        <v>0.6603374488990339</v>
      </c>
      <c r="AW142" s="21">
        <f>EXP(-LN(2)/2)*AW141+(1-EXP(-LN(2)/2))/(LN(2)/2)*AQ142*AT142*VLOOKUP('Données projet'!$B$10,Paramètres!$A$1:$I$89,3,0)*0.475*44/12</f>
        <v>6.2691532790295261E-16</v>
      </c>
      <c r="AX142" s="21">
        <f t="shared" si="114"/>
        <v>1.2724063366249723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6.2527760746888816E-13</v>
      </c>
      <c r="BE142" s="13">
        <f>BD142*VLOOKUP('Données projet'!$B$11,Paramètres!$A$1:$I$89,3,0)*VLOOKUP('Données projet'!$B$11,Paramètres!$A$1:$I$89,5,0)</f>
        <v>3.9017322706058616E-13</v>
      </c>
      <c r="BF142" s="13">
        <f t="shared" si="145"/>
        <v>5.0025007393608908E-12</v>
      </c>
      <c r="BG142" s="20">
        <f t="shared" si="115"/>
        <v>9.3922404915174053E-12</v>
      </c>
      <c r="BH142" s="59">
        <f t="shared" si="116"/>
        <v>293.33333333334269</v>
      </c>
      <c r="BI142" s="59">
        <f ca="1">AVERAGE(OFFSET($BH$3,0,0,'Données projet'!$E$11+1,1))-AVERAGE(OFFSET($H$3,0,0,'Données projet'!$E$11+1,1))</f>
        <v>209.93608079129638</v>
      </c>
      <c r="BJ142" s="59">
        <f t="shared" si="146"/>
        <v>240.15652428700969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0.80296907062429346</v>
      </c>
      <c r="BQ142" s="21">
        <f>EXP(-LN(2)/25)*BQ141+(1-EXP(-LN(2)/25))/(LN(2)/25)*Calculateur!BL142*Calculateur!BN142*VLOOKUP('Données projet'!$B$11,Paramètres!$A$1:$I$89,3,0)*0.475*44/12</f>
        <v>1.0123251222234098</v>
      </c>
      <c r="BR142" s="21">
        <f>EXP(-LN(2)/2)*BR141+(1-EXP(-LN(2)/2))/(LN(2)/2)*BL142*BO142*VLOOKUP('Données projet'!$B$11,Paramètres!$A$1:$I$89,3,0)*0.475*44/12</f>
        <v>7.9253617892646331E-16</v>
      </c>
      <c r="BS142" s="22">
        <f t="shared" si="117"/>
        <v>1.8152941928477042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215.23235148064941</v>
      </c>
      <c r="CE142" s="59">
        <f t="shared" si="148"/>
        <v>184.07239726900434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0.36198132478411255</v>
      </c>
      <c r="CL142" s="21">
        <f>EXP(-LN(2)/25)*CL141+(1-EXP(-LN(2)/25))/(LN(2)/25)*Calculateur!CG142*Calculateur!CI142*VLOOKUP('Données projet'!$B$12,Paramètres!$A$1:$I$89,3,0)*0.475*44/12</f>
        <v>0.38254372383857332</v>
      </c>
      <c r="CM142" s="21">
        <f>EXP(-LN(2)/2)*CM141+(1-EXP(-LN(2)/2))/(LN(2)/2)*CG142*CJ142*VLOOKUP('Données projet'!$B$12,Paramètres!$A$1:$I$89,3,0)*0.475*44/12</f>
        <v>3.85935653604018E-16</v>
      </c>
      <c r="CN142" s="22">
        <f t="shared" si="120"/>
        <v>0.7445250486226862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-1.1527845344971866E-13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279.20364724206644</v>
      </c>
      <c r="CZ142" s="59">
        <f t="shared" si="150"/>
        <v>173.99850582760712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0.16950690268348517</v>
      </c>
      <c r="DH142" s="21">
        <f>EXP(-LN(2)/2)*DH141+(1-EXP(-LN(2)/2))/(LN(2)/2)*DB142*DE142*VLOOKUP('Données projet'!$B$13,Paramètres!$A$1:$I$89,3,0)*0.475*44/12</f>
        <v>2.7226730404162238E-16</v>
      </c>
      <c r="DI142" s="22">
        <f t="shared" si="123"/>
        <v>0.16950690268348545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-1.1882548278663309E-13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291.18074901939718</v>
      </c>
      <c r="DU142" s="59">
        <f t="shared" si="152"/>
        <v>181.05123751753774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0.17472249968913095</v>
      </c>
      <c r="EC142" s="21">
        <f>EXP(-LN(2)/2)*EC141+(1-EXP(-LN(2)/2))/(LN(2)/2)*DW142*DZ142*VLOOKUP('Données projet'!$B$14,Paramètres!$A$1:$I$89,3,0)*0.475*44/12</f>
        <v>2.8064475955059565E-16</v>
      </c>
      <c r="ED142" s="22">
        <f t="shared" si="126"/>
        <v>0.17472249968913123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168.08890945052406</v>
      </c>
      <c r="EP142" s="59">
        <f t="shared" si="154"/>
        <v>182.52462557642343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0.71739195634631603</v>
      </c>
      <c r="EW142" s="21">
        <f>EXP(-LN(2)/25)*EW141+(1-EXP(-LN(2)/25))/(LN(2)/25)*Calculateur!ER142*Calculateur!ET142*VLOOKUP('Données projet'!$B$15,Paramètres!$A$1:$I$89,3,0)*0.475*44/12</f>
        <v>0.60048666791801686</v>
      </c>
      <c r="EX142" s="21">
        <f>EXP(-LN(2)/2)*EX141+(1-EXP(-LN(2)/2))/(LN(2)/2)*ER142*EU142*VLOOKUP('Données projet'!$B$15,Paramètres!$A$1:$I$89,3,0)*0.475*44/12</f>
        <v>2.1375601322113998E-16</v>
      </c>
      <c r="EY142" s="22">
        <f t="shared" si="129"/>
        <v>1.3178786242643332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3.813056537183002E-14</v>
      </c>
      <c r="FG142" s="13">
        <f t="shared" si="155"/>
        <v>6.4086286045526829E-13</v>
      </c>
      <c r="FH142" s="20">
        <f t="shared" si="130"/>
        <v>1.1825802166488628E-12</v>
      </c>
      <c r="FI142" s="59">
        <f t="shared" si="131"/>
        <v>293.33333333333451</v>
      </c>
      <c r="FJ142" s="59">
        <f ca="1">AVERAGE(OFFSET($FI$3,0,0,'Données projet'!$E$16+1,1))-AVERAGE(OFFSET($H$3,0,0,'Données projet'!$E$16+1,1))</f>
        <v>156.63226020379989</v>
      </c>
      <c r="FK142" s="59">
        <f t="shared" si="156"/>
        <v>196.0481096619543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0.42220788560449457</v>
      </c>
      <c r="FS142" s="21">
        <f>EXP(-LN(2)/2)*FS141+(1-EXP(-LN(2)/2))/(LN(2)/2)*FM142*FP142*VLOOKUP('Données projet'!$B$16,Paramètres!$A$1:$I$89,3,0)*0.475*44/12</f>
        <v>3.5615470201266951E-16</v>
      </c>
      <c r="FT142" s="22">
        <f t="shared" si="132"/>
        <v>0.4222078856044949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-4.5474735088646412E-13</v>
      </c>
      <c r="GA142" s="17">
        <f>FZ142*VLOOKUP('Données projet'!$B$17,Paramètres!$A$1:$I$89,3,0)*VLOOKUP('Données projet'!$B$17,Paramètres!$A$1:$I$89,5,0)</f>
        <v>-2.7193891583010558E-13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216.94426559495264</v>
      </c>
      <c r="GF142" s="59">
        <f t="shared" si="158"/>
        <v>225.33715877618704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0.6257306896452739</v>
      </c>
      <c r="GN142" s="21">
        <f>EXP(-LN(2)/2)*GN141+(1-EXP(-LN(2)/2))/(LN(2)/2)*GH142*GK142*VLOOKUP('Données projet'!$B$17,Paramètres!$A$1:$I$89,3,0)*0.475*44/12</f>
        <v>9.3143222468191356E-16</v>
      </c>
      <c r="GO142" s="21">
        <f t="shared" si="135"/>
        <v>0.62573068964527478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-1.1368683772161603E-13</v>
      </c>
      <c r="GV142" s="17">
        <f>GU142*VLOOKUP('Données projet'!$B$18,Paramètres!$A$1:$I$89,3,0)*VLOOKUP('Données projet'!$B$18,Paramètres!$A$1:$I$89,5,0)</f>
        <v>-1.0995790944434703E-13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261.22357949323879</v>
      </c>
      <c r="HA142" s="59">
        <f t="shared" si="160"/>
        <v>163.41029152029387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0.16168350717501664</v>
      </c>
      <c r="HI142" s="21">
        <f>EXP(-LN(2)/2)*HI141+(1-EXP(-LN(2)/2))/(LN(2)/2)*HC142*HF142*VLOOKUP('Données projet'!$B$18,Paramètres!$A$1:$I$89,3,0)*0.475*44/12</f>
        <v>2.5970112077816287E-16</v>
      </c>
      <c r="HJ142" s="22">
        <f t="shared" si="138"/>
        <v>0.16168350717501689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237.22177246688199</v>
      </c>
      <c r="T143" s="59">
        <f t="shared" si="142"/>
        <v>149.27472147904302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227.99999999999986</v>
      </c>
      <c r="AJ143" s="13">
        <f>AI143*VLOOKUP('Données projet'!$B$10,Paramètres!$A$1:$I$89,3,0)*VLOOKUP('Données projet'!$B$10,Paramètres!$A$1:$I$89,5,0)</f>
        <v>199.18079999999992</v>
      </c>
      <c r="AK143" s="13">
        <f t="shared" si="143"/>
        <v>49.564089376413683</v>
      </c>
      <c r="AL143" s="20">
        <f t="shared" si="112"/>
        <v>433.23068233058694</v>
      </c>
      <c r="AM143" s="59">
        <f t="shared" si="113"/>
        <v>726.56401566392026</v>
      </c>
      <c r="AN143" s="59">
        <f ca="1">AVERAGE(OFFSET($AM$3,0,0,'Données projet'!$E$10+1,1))-AVERAGE(OFFSET($H$3,0,0,'Données projet'!$E$10+1,1))</f>
        <v>210.07838338464626</v>
      </c>
      <c r="AO143" s="59">
        <f t="shared" si="144"/>
        <v>241.76003724236273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0.60006659016279085</v>
      </c>
      <c r="AV143" s="21">
        <f>EXP(-LN(2)/25)*AV142+(1-EXP(-LN(2)/25))/(LN(2)/25)*Calculateur!AQ143*Calculateur!AS143*VLOOKUP('Données projet'!$B$10,Paramètres!$A$1:$I$89,3,0)*0.475*44/12</f>
        <v>0.64228048663325255</v>
      </c>
      <c r="AW143" s="21">
        <f>EXP(-LN(2)/2)*AW142+(1-EXP(-LN(2)/2))/(LN(2)/2)*AQ143*AT143*VLOOKUP('Données projet'!$B$10,Paramètres!$A$1:$I$89,3,0)*0.475*44/12</f>
        <v>4.4329607958996582E-16</v>
      </c>
      <c r="AX143" s="21">
        <f t="shared" si="114"/>
        <v>1.2423470767960438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6.2527760746888816E-13</v>
      </c>
      <c r="BE143" s="13">
        <f>BD143*VLOOKUP('Données projet'!$B$11,Paramètres!$A$1:$I$89,3,0)*VLOOKUP('Données projet'!$B$11,Paramètres!$A$1:$I$89,5,0)</f>
        <v>3.9017322706058616E-13</v>
      </c>
      <c r="BF143" s="13">
        <f t="shared" si="145"/>
        <v>5.0025007393608908E-12</v>
      </c>
      <c r="BG143" s="20">
        <f t="shared" si="115"/>
        <v>9.3922404915174053E-12</v>
      </c>
      <c r="BH143" s="59">
        <f t="shared" si="116"/>
        <v>293.33333333334269</v>
      </c>
      <c r="BI143" s="59">
        <f ca="1">AVERAGE(OFFSET($BH$3,0,0,'Données projet'!$E$11+1,1))-AVERAGE(OFFSET($H$3,0,0,'Données projet'!$E$11+1,1))</f>
        <v>209.93608079129638</v>
      </c>
      <c r="BJ143" s="59">
        <f t="shared" si="146"/>
        <v>240.15652428700969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0.78722333691212409</v>
      </c>
      <c r="BQ143" s="21">
        <f>EXP(-LN(2)/25)*BQ142+(1-EXP(-LN(2)/25))/(LN(2)/25)*Calculateur!BL143*Calculateur!BN143*VLOOKUP('Données projet'!$B$11,Paramètres!$A$1:$I$89,3,0)*0.475*44/12</f>
        <v>0.98464303852034618</v>
      </c>
      <c r="BR143" s="21">
        <f>EXP(-LN(2)/2)*BR142+(1-EXP(-LN(2)/2))/(LN(2)/2)*BL143*BO143*VLOOKUP('Données projet'!$B$11,Paramètres!$A$1:$I$89,3,0)*0.475*44/12</f>
        <v>5.6040770645457716E-16</v>
      </c>
      <c r="BS143" s="22">
        <f t="shared" si="117"/>
        <v>1.7718663754324708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215.23235148064941</v>
      </c>
      <c r="CE143" s="59">
        <f t="shared" si="148"/>
        <v>184.07239726900434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0.3548830917919033</v>
      </c>
      <c r="CL143" s="21">
        <f>EXP(-LN(2)/25)*CL142+(1-EXP(-LN(2)/25))/(LN(2)/25)*Calculateur!CG143*Calculateur!CI143*VLOOKUP('Données projet'!$B$12,Paramètres!$A$1:$I$89,3,0)*0.475*44/12</f>
        <v>0.3720830455931074</v>
      </c>
      <c r="CM143" s="21">
        <f>EXP(-LN(2)/2)*CM142+(1-EXP(-LN(2)/2))/(LN(2)/2)*CG143*CJ143*VLOOKUP('Données projet'!$B$12,Paramètres!$A$1:$I$89,3,0)*0.475*44/12</f>
        <v>2.7289771776506355E-16</v>
      </c>
      <c r="CN143" s="22">
        <f t="shared" si="120"/>
        <v>0.72696613738501092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-1.1527845344971866E-13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279.20364724206644</v>
      </c>
      <c r="CZ143" s="59">
        <f t="shared" si="150"/>
        <v>173.99850582760712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0.16487172751562468</v>
      </c>
      <c r="DH143" s="21">
        <f>EXP(-LN(2)/2)*DH142+(1-EXP(-LN(2)/2))/(LN(2)/2)*DB143*DE143*VLOOKUP('Données projet'!$B$13,Paramètres!$A$1:$I$89,3,0)*0.475*44/12</f>
        <v>1.9252205698321068E-16</v>
      </c>
      <c r="DI143" s="22">
        <f t="shared" si="123"/>
        <v>0.16487172751562487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-1.1882548278663309E-13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291.18074901939718</v>
      </c>
      <c r="DU143" s="59">
        <f t="shared" si="152"/>
        <v>181.05123751753774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0.16994470374687473</v>
      </c>
      <c r="EC143" s="21">
        <f>EXP(-LN(2)/2)*EC142+(1-EXP(-LN(2)/2))/(LN(2)/2)*DW143*DZ143*VLOOKUP('Données projet'!$B$14,Paramètres!$A$1:$I$89,3,0)*0.475*44/12</f>
        <v>1.9844581258269428E-16</v>
      </c>
      <c r="ED143" s="22">
        <f t="shared" si="126"/>
        <v>0.16994470374687493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168.08890945052406</v>
      </c>
      <c r="EP143" s="59">
        <f t="shared" si="154"/>
        <v>182.52462557642343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0.70332433764825208</v>
      </c>
      <c r="EW143" s="21">
        <f>EXP(-LN(2)/25)*EW142+(1-EXP(-LN(2)/25))/(LN(2)/25)*Calculateur!ER143*Calculateur!ET143*VLOOKUP('Données projet'!$B$15,Paramètres!$A$1:$I$89,3,0)*0.475*44/12</f>
        <v>0.58406632840557726</v>
      </c>
      <c r="EX143" s="21">
        <f>EXP(-LN(2)/2)*EX142+(1-EXP(-LN(2)/2))/(LN(2)/2)*ER143*EU143*VLOOKUP('Données projet'!$B$15,Paramètres!$A$1:$I$89,3,0)*0.475*44/12</f>
        <v>1.5114832646806939E-16</v>
      </c>
      <c r="EY143" s="22">
        <f t="shared" si="129"/>
        <v>1.2873906660538295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3.813056537183002E-14</v>
      </c>
      <c r="FG143" s="13">
        <f t="shared" si="155"/>
        <v>6.4086286045526829E-13</v>
      </c>
      <c r="FH143" s="20">
        <f t="shared" si="130"/>
        <v>1.1825802166488628E-12</v>
      </c>
      <c r="FI143" s="59">
        <f t="shared" si="131"/>
        <v>293.33333333333451</v>
      </c>
      <c r="FJ143" s="59">
        <f ca="1">AVERAGE(OFFSET($FI$3,0,0,'Données projet'!$E$16+1,1))-AVERAGE(OFFSET($H$3,0,0,'Données projet'!$E$16+1,1))</f>
        <v>156.63226020379989</v>
      </c>
      <c r="FK143" s="59">
        <f t="shared" si="156"/>
        <v>196.0481096619543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0.41066258876969192</v>
      </c>
      <c r="FS143" s="21">
        <f>EXP(-LN(2)/2)*FS142+(1-EXP(-LN(2)/2))/(LN(2)/2)*FM143*FP143*VLOOKUP('Données projet'!$B$16,Paramètres!$A$1:$I$89,3,0)*0.475*44/12</f>
        <v>2.5183940494463274E-16</v>
      </c>
      <c r="FT143" s="22">
        <f t="shared" si="132"/>
        <v>0.41066258876969219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-4.5474735088646412E-13</v>
      </c>
      <c r="GA143" s="17">
        <f>FZ143*VLOOKUP('Données projet'!$B$17,Paramètres!$A$1:$I$89,3,0)*VLOOKUP('Données projet'!$B$17,Paramètres!$A$1:$I$89,5,0)</f>
        <v>-2.7193891583010558E-13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216.94426559495264</v>
      </c>
      <c r="GF143" s="59">
        <f t="shared" si="158"/>
        <v>225.33715877618704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0.608620051031177</v>
      </c>
      <c r="GN143" s="21">
        <f>EXP(-LN(2)/2)*GN142+(1-EXP(-LN(2)/2))/(LN(2)/2)*GH143*GK143*VLOOKUP('Données projet'!$B$17,Paramètres!$A$1:$I$89,3,0)*0.475*44/12</f>
        <v>6.5862204228825304E-16</v>
      </c>
      <c r="GO143" s="21">
        <f t="shared" si="135"/>
        <v>0.60862005103117767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-1.1368683772161603E-13</v>
      </c>
      <c r="GV143" s="17">
        <f>GU143*VLOOKUP('Données projet'!$B$18,Paramètres!$A$1:$I$89,3,0)*VLOOKUP('Données projet'!$B$18,Paramètres!$A$1:$I$89,5,0)</f>
        <v>-1.0995790944434703E-13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261.22357949323879</v>
      </c>
      <c r="HA143" s="59">
        <f t="shared" si="160"/>
        <v>163.41029152029387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0.15726226316874969</v>
      </c>
      <c r="HI143" s="21">
        <f>EXP(-LN(2)/2)*HI142+(1-EXP(-LN(2)/2))/(LN(2)/2)*HC143*HF143*VLOOKUP('Données projet'!$B$18,Paramètres!$A$1:$I$89,3,0)*0.475*44/12</f>
        <v>1.8363642358398557E-16</v>
      </c>
      <c r="HJ143" s="22">
        <f t="shared" si="138"/>
        <v>0.15726226316874989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237.22177246688199</v>
      </c>
      <c r="T144" s="59">
        <f t="shared" si="142"/>
        <v>149.27472147904302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227.99999999999986</v>
      </c>
      <c r="AJ144" s="13">
        <f>AI144*VLOOKUP('Données projet'!$B$10,Paramètres!$A$1:$I$89,3,0)*VLOOKUP('Données projet'!$B$10,Paramètres!$A$1:$I$89,5,0)</f>
        <v>199.18079999999992</v>
      </c>
      <c r="AK144" s="13">
        <f t="shared" si="143"/>
        <v>49.564089376413683</v>
      </c>
      <c r="AL144" s="20">
        <f t="shared" si="112"/>
        <v>433.23068233058694</v>
      </c>
      <c r="AM144" s="59">
        <f t="shared" si="113"/>
        <v>726.56401566392026</v>
      </c>
      <c r="AN144" s="59">
        <f ca="1">AVERAGE(OFFSET($AM$3,0,0,'Données projet'!$E$10+1,1))-AVERAGE(OFFSET($H$3,0,0,'Données projet'!$E$10+1,1))</f>
        <v>210.07838338464626</v>
      </c>
      <c r="AO144" s="59">
        <f t="shared" si="144"/>
        <v>241.76003724236273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0.58829965033417853</v>
      </c>
      <c r="AV144" s="21">
        <f>EXP(-LN(2)/25)*AV143+(1-EXP(-LN(2)/25))/(LN(2)/25)*Calculateur!AQ144*Calculateur!AS144*VLOOKUP('Données projet'!$B$10,Paramètres!$A$1:$I$89,3,0)*0.475*44/12</f>
        <v>0.6247172929502034</v>
      </c>
      <c r="AW144" s="21">
        <f>EXP(-LN(2)/2)*AW143+(1-EXP(-LN(2)/2))/(LN(2)/2)*AQ144*AT144*VLOOKUP('Données projet'!$B$10,Paramètres!$A$1:$I$89,3,0)*0.475*44/12</f>
        <v>3.1345766395147635E-16</v>
      </c>
      <c r="AX144" s="21">
        <f t="shared" si="114"/>
        <v>1.213016943284382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6.2527760746888816E-13</v>
      </c>
      <c r="BE144" s="13">
        <f>BD144*VLOOKUP('Données projet'!$B$11,Paramètres!$A$1:$I$89,3,0)*VLOOKUP('Données projet'!$B$11,Paramètres!$A$1:$I$89,5,0)</f>
        <v>3.9017322706058616E-13</v>
      </c>
      <c r="BF144" s="13">
        <f t="shared" si="145"/>
        <v>5.0025007393608908E-12</v>
      </c>
      <c r="BG144" s="20">
        <f t="shared" si="115"/>
        <v>9.3922404915174053E-12</v>
      </c>
      <c r="BH144" s="59">
        <f t="shared" si="116"/>
        <v>293.33333333334269</v>
      </c>
      <c r="BI144" s="59">
        <f ca="1">AVERAGE(OFFSET($BH$3,0,0,'Données projet'!$E$11+1,1))-AVERAGE(OFFSET($H$3,0,0,'Données projet'!$E$11+1,1))</f>
        <v>209.93608079129638</v>
      </c>
      <c r="BJ144" s="59">
        <f t="shared" si="146"/>
        <v>240.15652428700969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0.77178636743410112</v>
      </c>
      <c r="BQ144" s="21">
        <f>EXP(-LN(2)/25)*BQ143+(1-EXP(-LN(2)/25))/(LN(2)/25)*Calculateur!BL144*Calculateur!BN144*VLOOKUP('Données projet'!$B$11,Paramètres!$A$1:$I$89,3,0)*0.475*44/12</f>
        <v>0.9577179228518804</v>
      </c>
      <c r="BR144" s="21">
        <f>EXP(-LN(2)/2)*BR143+(1-EXP(-LN(2)/2))/(LN(2)/2)*BL144*BO144*VLOOKUP('Données projet'!$B$11,Paramètres!$A$1:$I$89,3,0)*0.475*44/12</f>
        <v>3.9626808946323165E-16</v>
      </c>
      <c r="BS144" s="22">
        <f t="shared" si="117"/>
        <v>1.7295042902859818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215.23235148064941</v>
      </c>
      <c r="CE144" s="59">
        <f t="shared" si="148"/>
        <v>184.07239726900434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0.34792405081917671</v>
      </c>
      <c r="CL144" s="21">
        <f>EXP(-LN(2)/25)*CL143+(1-EXP(-LN(2)/25))/(LN(2)/25)*Calculateur!CG144*Calculateur!CI144*VLOOKUP('Données projet'!$B$12,Paramètres!$A$1:$I$89,3,0)*0.475*44/12</f>
        <v>0.36190841514436689</v>
      </c>
      <c r="CM144" s="21">
        <f>EXP(-LN(2)/2)*CM143+(1-EXP(-LN(2)/2))/(LN(2)/2)*CG144*CJ144*VLOOKUP('Données projet'!$B$12,Paramètres!$A$1:$I$89,3,0)*0.475*44/12</f>
        <v>1.92967826802009E-16</v>
      </c>
      <c r="CN144" s="22">
        <f t="shared" si="120"/>
        <v>0.70983246596354377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-1.1527845344971866E-13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279.20364724206644</v>
      </c>
      <c r="CZ144" s="59">
        <f t="shared" si="150"/>
        <v>173.99850582760712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0.16036330145648259</v>
      </c>
      <c r="DH144" s="21">
        <f>EXP(-LN(2)/2)*DH143+(1-EXP(-LN(2)/2))/(LN(2)/2)*DB144*DE144*VLOOKUP('Données projet'!$B$13,Paramètres!$A$1:$I$89,3,0)*0.475*44/12</f>
        <v>1.3613365202081119E-16</v>
      </c>
      <c r="DI144" s="22">
        <f t="shared" si="123"/>
        <v>0.16036330145648273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-1.1882548278663309E-13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291.18074901939718</v>
      </c>
      <c r="DU144" s="59">
        <f t="shared" si="152"/>
        <v>181.05123751753774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0.16529755688591288</v>
      </c>
      <c r="EC144" s="21">
        <f>EXP(-LN(2)/2)*EC143+(1-EXP(-LN(2)/2))/(LN(2)/2)*DW144*DZ144*VLOOKUP('Données projet'!$B$14,Paramètres!$A$1:$I$89,3,0)*0.475*44/12</f>
        <v>1.4032237977529782E-16</v>
      </c>
      <c r="ED144" s="22">
        <f t="shared" si="126"/>
        <v>0.16529755688591302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168.08890945052406</v>
      </c>
      <c r="EP144" s="59">
        <f t="shared" si="154"/>
        <v>182.52462557642343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0.68953257637245702</v>
      </c>
      <c r="EW144" s="21">
        <f>EXP(-LN(2)/25)*EW143+(1-EXP(-LN(2)/25))/(LN(2)/25)*Calculateur!ER144*Calculateur!ET144*VLOOKUP('Données projet'!$B$15,Paramètres!$A$1:$I$89,3,0)*0.475*44/12</f>
        <v>0.56809500394061341</v>
      </c>
      <c r="EX144" s="21">
        <f>EXP(-LN(2)/2)*EX143+(1-EXP(-LN(2)/2))/(LN(2)/2)*ER144*EU144*VLOOKUP('Données projet'!$B$15,Paramètres!$A$1:$I$89,3,0)*0.475*44/12</f>
        <v>1.0687800661056999E-16</v>
      </c>
      <c r="EY144" s="22">
        <f t="shared" si="129"/>
        <v>1.2576275803130703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3.813056537183002E-14</v>
      </c>
      <c r="FG144" s="13">
        <f t="shared" si="155"/>
        <v>6.4086286045526829E-13</v>
      </c>
      <c r="FH144" s="20">
        <f t="shared" si="130"/>
        <v>1.1825802166488628E-12</v>
      </c>
      <c r="FI144" s="59">
        <f t="shared" si="131"/>
        <v>293.33333333333451</v>
      </c>
      <c r="FJ144" s="59">
        <f ca="1">AVERAGE(OFFSET($FI$3,0,0,'Données projet'!$E$16+1,1))-AVERAGE(OFFSET($H$3,0,0,'Données projet'!$E$16+1,1))</f>
        <v>156.63226020379989</v>
      </c>
      <c r="FK144" s="59">
        <f t="shared" si="156"/>
        <v>196.0481096619543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0.39943299868397775</v>
      </c>
      <c r="FS144" s="21">
        <f>EXP(-LN(2)/2)*FS143+(1-EXP(-LN(2)/2))/(LN(2)/2)*FM144*FP144*VLOOKUP('Données projet'!$B$16,Paramètres!$A$1:$I$89,3,0)*0.475*44/12</f>
        <v>1.7807735100633476E-16</v>
      </c>
      <c r="FT144" s="22">
        <f t="shared" si="132"/>
        <v>0.39943299868397791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-4.5474735088646412E-13</v>
      </c>
      <c r="GA144" s="17">
        <f>FZ144*VLOOKUP('Données projet'!$B$17,Paramètres!$A$1:$I$89,3,0)*VLOOKUP('Données projet'!$B$17,Paramètres!$A$1:$I$89,5,0)</f>
        <v>-2.7193891583010558E-13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216.94426559495264</v>
      </c>
      <c r="GF144" s="59">
        <f t="shared" si="158"/>
        <v>225.33715877618704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0.59197730372979196</v>
      </c>
      <c r="GN144" s="21">
        <f>EXP(-LN(2)/2)*GN143+(1-EXP(-LN(2)/2))/(LN(2)/2)*GH144*GK144*VLOOKUP('Données projet'!$B$17,Paramètres!$A$1:$I$89,3,0)*0.475*44/12</f>
        <v>4.6571611234095678E-16</v>
      </c>
      <c r="GO144" s="21">
        <f t="shared" si="135"/>
        <v>0.5919773037297924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-1.1368683772161603E-13</v>
      </c>
      <c r="GV144" s="17">
        <f>GU144*VLOOKUP('Données projet'!$B$18,Paramètres!$A$1:$I$89,3,0)*VLOOKUP('Données projet'!$B$18,Paramètres!$A$1:$I$89,5,0)</f>
        <v>-1.0995790944434703E-13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261.22357949323879</v>
      </c>
      <c r="HA144" s="59">
        <f t="shared" si="160"/>
        <v>163.41029152029387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0.15296191831233724</v>
      </c>
      <c r="HI144" s="21">
        <f>EXP(-LN(2)/2)*HI143+(1-EXP(-LN(2)/2))/(LN(2)/2)*HC144*HF144*VLOOKUP('Données projet'!$B$18,Paramètres!$A$1:$I$89,3,0)*0.475*44/12</f>
        <v>1.2985056038908144E-16</v>
      </c>
      <c r="HJ144" s="22">
        <f t="shared" si="138"/>
        <v>0.15296191831233738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237.22177246688199</v>
      </c>
      <c r="T145" s="59">
        <f t="shared" si="142"/>
        <v>149.27472147904302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227.99999999999986</v>
      </c>
      <c r="AJ145" s="13">
        <f>AI145*VLOOKUP('Données projet'!$B$10,Paramètres!$A$1:$I$89,3,0)*VLOOKUP('Données projet'!$B$10,Paramètres!$A$1:$I$89,5,0)</f>
        <v>199.18079999999992</v>
      </c>
      <c r="AK145" s="13">
        <f t="shared" si="143"/>
        <v>49.564089376413683</v>
      </c>
      <c r="AL145" s="20">
        <f t="shared" si="112"/>
        <v>433.23068233058694</v>
      </c>
      <c r="AM145" s="59">
        <f t="shared" si="113"/>
        <v>726.56401566392026</v>
      </c>
      <c r="AN145" s="59">
        <f ca="1">AVERAGE(OFFSET($AM$3,0,0,'Données projet'!$E$10+1,1))-AVERAGE(OFFSET($H$3,0,0,'Données projet'!$E$10+1,1))</f>
        <v>210.07838338464626</v>
      </c>
      <c r="AO145" s="59">
        <f t="shared" si="144"/>
        <v>241.76003724236273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0.57676345301848075</v>
      </c>
      <c r="AV145" s="21">
        <f>EXP(-LN(2)/25)*AV144+(1-EXP(-LN(2)/25))/(LN(2)/25)*Calculateur!AQ145*Calculateur!AS145*VLOOKUP('Données projet'!$B$10,Paramètres!$A$1:$I$89,3,0)*0.475*44/12</f>
        <v>0.60763436572202545</v>
      </c>
      <c r="AW145" s="21">
        <f>EXP(-LN(2)/2)*AW144+(1-EXP(-LN(2)/2))/(LN(2)/2)*AQ145*AT145*VLOOKUP('Données projet'!$B$10,Paramètres!$A$1:$I$89,3,0)*0.475*44/12</f>
        <v>2.2164803979498296E-16</v>
      </c>
      <c r="AX145" s="21">
        <f t="shared" si="114"/>
        <v>1.1843978187405064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6.2527760746888816E-13</v>
      </c>
      <c r="BE145" s="13">
        <f>BD145*VLOOKUP('Données projet'!$B$11,Paramètres!$A$1:$I$89,3,0)*VLOOKUP('Données projet'!$B$11,Paramètres!$A$1:$I$89,5,0)</f>
        <v>3.9017322706058616E-13</v>
      </c>
      <c r="BF145" s="13">
        <f t="shared" si="145"/>
        <v>5.0025007393608908E-12</v>
      </c>
      <c r="BG145" s="20">
        <f t="shared" si="115"/>
        <v>9.3922404915174053E-12</v>
      </c>
      <c r="BH145" s="59">
        <f t="shared" si="116"/>
        <v>293.33333333334269</v>
      </c>
      <c r="BI145" s="59">
        <f ca="1">AVERAGE(OFFSET($BH$3,0,0,'Données projet'!$E$11+1,1))-AVERAGE(OFFSET($H$3,0,0,'Données projet'!$E$11+1,1))</f>
        <v>209.93608079129638</v>
      </c>
      <c r="BJ145" s="59">
        <f t="shared" si="146"/>
        <v>240.15652428700969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0.75665210751192047</v>
      </c>
      <c r="BQ145" s="21">
        <f>EXP(-LN(2)/25)*BQ144+(1-EXP(-LN(2)/25))/(LN(2)/25)*Calculateur!BL145*Calculateur!BN145*VLOOKUP('Données projet'!$B$11,Paramètres!$A$1:$I$89,3,0)*0.475*44/12</f>
        <v>0.93152907588729905</v>
      </c>
      <c r="BR145" s="21">
        <f>EXP(-LN(2)/2)*BR144+(1-EXP(-LN(2)/2))/(LN(2)/2)*BL145*BO145*VLOOKUP('Données projet'!$B$11,Paramètres!$A$1:$I$89,3,0)*0.475*44/12</f>
        <v>2.8020385322728858E-16</v>
      </c>
      <c r="BS145" s="22">
        <f t="shared" si="117"/>
        <v>1.6881811833992197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215.23235148064941</v>
      </c>
      <c r="CE145" s="59">
        <f t="shared" si="148"/>
        <v>184.07239726900434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0.3411014723953294</v>
      </c>
      <c r="CL145" s="21">
        <f>EXP(-LN(2)/25)*CL144+(1-EXP(-LN(2)/25))/(LN(2)/25)*Calculateur!CG145*Calculateur!CI145*VLOOKUP('Données projet'!$B$12,Paramètres!$A$1:$I$89,3,0)*0.475*44/12</f>
        <v>0.35201201050030778</v>
      </c>
      <c r="CM145" s="21">
        <f>EXP(-LN(2)/2)*CM144+(1-EXP(-LN(2)/2))/(LN(2)/2)*CG145*CJ145*VLOOKUP('Données projet'!$B$12,Paramètres!$A$1:$I$89,3,0)*0.475*44/12</f>
        <v>1.3644885888253177E-16</v>
      </c>
      <c r="CN145" s="22">
        <f t="shared" si="120"/>
        <v>0.69311348289563723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-1.1527845344971866E-13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279.20364724206644</v>
      </c>
      <c r="CZ145" s="59">
        <f t="shared" si="150"/>
        <v>173.99850582760712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0.15597815854501557</v>
      </c>
      <c r="DH145" s="21">
        <f>EXP(-LN(2)/2)*DH144+(1-EXP(-LN(2)/2))/(LN(2)/2)*DB145*DE145*VLOOKUP('Données projet'!$B$13,Paramètres!$A$1:$I$89,3,0)*0.475*44/12</f>
        <v>9.6261028491605342E-17</v>
      </c>
      <c r="DI145" s="22">
        <f t="shared" si="123"/>
        <v>0.15597815854501565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-1.1882548278663309E-13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291.18074901939718</v>
      </c>
      <c r="DU145" s="59">
        <f t="shared" si="152"/>
        <v>181.05123751753774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0.16077748650024687</v>
      </c>
      <c r="EC145" s="21">
        <f>EXP(-LN(2)/2)*EC144+(1-EXP(-LN(2)/2))/(LN(2)/2)*DW145*DZ145*VLOOKUP('Données projet'!$B$14,Paramètres!$A$1:$I$89,3,0)*0.475*44/12</f>
        <v>9.9222906291347141E-17</v>
      </c>
      <c r="ED145" s="22">
        <f t="shared" si="126"/>
        <v>0.16077748650024698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168.08890945052406</v>
      </c>
      <c r="EP145" s="59">
        <f t="shared" si="154"/>
        <v>182.52462557642343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0.67601126312313653</v>
      </c>
      <c r="EW145" s="21">
        <f>EXP(-LN(2)/25)*EW144+(1-EXP(-LN(2)/25))/(LN(2)/25)*Calculateur!ER145*Calculateur!ET145*VLOOKUP('Données projet'!$B$15,Paramètres!$A$1:$I$89,3,0)*0.475*44/12</f>
        <v>0.55256041618303953</v>
      </c>
      <c r="EX145" s="21">
        <f>EXP(-LN(2)/2)*EX144+(1-EXP(-LN(2)/2))/(LN(2)/2)*ER145*EU145*VLOOKUP('Données projet'!$B$15,Paramètres!$A$1:$I$89,3,0)*0.475*44/12</f>
        <v>7.5574163234034693E-17</v>
      </c>
      <c r="EY145" s="22">
        <f t="shared" si="129"/>
        <v>1.2285716793061761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3.813056537183002E-14</v>
      </c>
      <c r="FG145" s="13">
        <f t="shared" si="155"/>
        <v>6.4086286045526829E-13</v>
      </c>
      <c r="FH145" s="20">
        <f t="shared" si="130"/>
        <v>1.1825802166488628E-12</v>
      </c>
      <c r="FI145" s="59">
        <f t="shared" si="131"/>
        <v>293.33333333333451</v>
      </c>
      <c r="FJ145" s="59">
        <f ca="1">AVERAGE(OFFSET($FI$3,0,0,'Données projet'!$E$16+1,1))-AVERAGE(OFFSET($H$3,0,0,'Données projet'!$E$16+1,1))</f>
        <v>156.63226020379989</v>
      </c>
      <c r="FK145" s="59">
        <f t="shared" si="156"/>
        <v>196.0481096619543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0.38851048232969587</v>
      </c>
      <c r="FS145" s="21">
        <f>EXP(-LN(2)/2)*FS144+(1-EXP(-LN(2)/2))/(LN(2)/2)*FM145*FP145*VLOOKUP('Données projet'!$B$16,Paramètres!$A$1:$I$89,3,0)*0.475*44/12</f>
        <v>1.2591970247231637E-16</v>
      </c>
      <c r="FT145" s="22">
        <f t="shared" si="132"/>
        <v>0.38851048232969598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-4.5474735088646412E-13</v>
      </c>
      <c r="GA145" s="17">
        <f>FZ145*VLOOKUP('Données projet'!$B$17,Paramètres!$A$1:$I$89,3,0)*VLOOKUP('Données projet'!$B$17,Paramètres!$A$1:$I$89,5,0)</f>
        <v>-2.7193891583010558E-13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216.94426559495264</v>
      </c>
      <c r="GF145" s="59">
        <f t="shared" si="158"/>
        <v>225.33715877618704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0.57578965322856734</v>
      </c>
      <c r="GN145" s="21">
        <f>EXP(-LN(2)/2)*GN144+(1-EXP(-LN(2)/2))/(LN(2)/2)*GH145*GK145*VLOOKUP('Données projet'!$B$17,Paramètres!$A$1:$I$89,3,0)*0.475*44/12</f>
        <v>3.2931102114412652E-16</v>
      </c>
      <c r="GO145" s="21">
        <f t="shared" si="135"/>
        <v>0.57578965322856768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-1.1368683772161603E-13</v>
      </c>
      <c r="GV145" s="17">
        <f>GU145*VLOOKUP('Données projet'!$B$18,Paramètres!$A$1:$I$89,3,0)*VLOOKUP('Données projet'!$B$18,Paramètres!$A$1:$I$89,5,0)</f>
        <v>-1.0995790944434703E-13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261.22357949323879</v>
      </c>
      <c r="HA145" s="59">
        <f t="shared" si="160"/>
        <v>163.41029152029387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0.1487791666121687</v>
      </c>
      <c r="HI145" s="21">
        <f>EXP(-LN(2)/2)*HI144+(1-EXP(-LN(2)/2))/(LN(2)/2)*HC145*HF145*VLOOKUP('Données projet'!$B$18,Paramètres!$A$1:$I$89,3,0)*0.475*44/12</f>
        <v>9.1818211791992784E-17</v>
      </c>
      <c r="HJ145" s="22">
        <f t="shared" si="138"/>
        <v>0.14877916661216878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237.22177246688199</v>
      </c>
      <c r="T146" s="59">
        <f t="shared" si="142"/>
        <v>149.27472147904302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227.99999999999986</v>
      </c>
      <c r="AJ146" s="13">
        <f>AI146*VLOOKUP('Données projet'!$B$10,Paramètres!$A$1:$I$89,3,0)*VLOOKUP('Données projet'!$B$10,Paramètres!$A$1:$I$89,5,0)</f>
        <v>199.18079999999992</v>
      </c>
      <c r="AK146" s="13">
        <f t="shared" si="143"/>
        <v>49.564089376413683</v>
      </c>
      <c r="AL146" s="20">
        <f t="shared" si="112"/>
        <v>433.23068233058694</v>
      </c>
      <c r="AM146" s="59">
        <f t="shared" si="113"/>
        <v>726.56401566392026</v>
      </c>
      <c r="AN146" s="59">
        <f ca="1">AVERAGE(OFFSET($AM$3,0,0,'Données projet'!$E$10+1,1))-AVERAGE(OFFSET($H$3,0,0,'Données projet'!$E$10+1,1))</f>
        <v>210.07838338464626</v>
      </c>
      <c r="AO146" s="59">
        <f t="shared" si="144"/>
        <v>241.76003724236273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0.56545347349575825</v>
      </c>
      <c r="AV146" s="21">
        <f>EXP(-LN(2)/25)*AV145+(1-EXP(-LN(2)/25))/(LN(2)/25)*Calculateur!AQ146*Calculateur!AS146*VLOOKUP('Données projet'!$B$10,Paramètres!$A$1:$I$89,3,0)*0.475*44/12</f>
        <v>0.59101857203725416</v>
      </c>
      <c r="AW146" s="21">
        <f>EXP(-LN(2)/2)*AW145+(1-EXP(-LN(2)/2))/(LN(2)/2)*AQ146*AT146*VLOOKUP('Données projet'!$B$10,Paramètres!$A$1:$I$89,3,0)*0.475*44/12</f>
        <v>1.567288319757382E-16</v>
      </c>
      <c r="AX146" s="21">
        <f t="shared" si="114"/>
        <v>1.1564720455330126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6.2527760746888816E-13</v>
      </c>
      <c r="BE146" s="13">
        <f>BD146*VLOOKUP('Données projet'!$B$11,Paramètres!$A$1:$I$89,3,0)*VLOOKUP('Données projet'!$B$11,Paramètres!$A$1:$I$89,5,0)</f>
        <v>3.9017322706058616E-13</v>
      </c>
      <c r="BF146" s="13">
        <f t="shared" si="145"/>
        <v>5.0025007393608908E-12</v>
      </c>
      <c r="BG146" s="20">
        <f t="shared" si="115"/>
        <v>9.3922404915174053E-12</v>
      </c>
      <c r="BH146" s="59">
        <f t="shared" si="116"/>
        <v>293.33333333334269</v>
      </c>
      <c r="BI146" s="59">
        <f ca="1">AVERAGE(OFFSET($BH$3,0,0,'Données projet'!$E$11+1,1))-AVERAGE(OFFSET($H$3,0,0,'Données projet'!$E$11+1,1))</f>
        <v>209.93608079129638</v>
      </c>
      <c r="BJ146" s="59">
        <f t="shared" si="146"/>
        <v>240.15652428700969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0.74181462119582675</v>
      </c>
      <c r="BQ146" s="21">
        <f>EXP(-LN(2)/25)*BQ145+(1-EXP(-LN(2)/25))/(LN(2)/25)*Calculateur!BL146*Calculateur!BN146*VLOOKUP('Données projet'!$B$11,Paramètres!$A$1:$I$89,3,0)*0.475*44/12</f>
        <v>0.90605636432017578</v>
      </c>
      <c r="BR146" s="21">
        <f>EXP(-LN(2)/2)*BR145+(1-EXP(-LN(2)/2))/(LN(2)/2)*BL146*BO146*VLOOKUP('Données projet'!$B$11,Paramètres!$A$1:$I$89,3,0)*0.475*44/12</f>
        <v>1.9813404473161583E-16</v>
      </c>
      <c r="BS146" s="22">
        <f t="shared" si="117"/>
        <v>1.6478709855160028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215.23235148064941</v>
      </c>
      <c r="CE146" s="59">
        <f t="shared" si="148"/>
        <v>184.07239726900434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0.33441268057301177</v>
      </c>
      <c r="CL146" s="21">
        <f>EXP(-LN(2)/25)*CL145+(1-EXP(-LN(2)/25))/(LN(2)/25)*Calculateur!CG146*Calculateur!CI146*VLOOKUP('Données projet'!$B$12,Paramètres!$A$1:$I$89,3,0)*0.475*44/12</f>
        <v>0.34238622356166976</v>
      </c>
      <c r="CM146" s="21">
        <f>EXP(-LN(2)/2)*CM145+(1-EXP(-LN(2)/2))/(LN(2)/2)*CG146*CJ146*VLOOKUP('Données projet'!$B$12,Paramètres!$A$1:$I$89,3,0)*0.475*44/12</f>
        <v>9.6483913401004499E-17</v>
      </c>
      <c r="CN146" s="22">
        <f t="shared" si="120"/>
        <v>0.67679890413468169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-1.1527845344971866E-13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279.20364724206644</v>
      </c>
      <c r="CZ146" s="59">
        <f t="shared" si="150"/>
        <v>173.99850582760712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0.15171292759706725</v>
      </c>
      <c r="DH146" s="21">
        <f>EXP(-LN(2)/2)*DH145+(1-EXP(-LN(2)/2))/(LN(2)/2)*DB146*DE146*VLOOKUP('Données projet'!$B$13,Paramètres!$A$1:$I$89,3,0)*0.475*44/12</f>
        <v>6.8066826010405595E-17</v>
      </c>
      <c r="DI146" s="22">
        <f t="shared" si="123"/>
        <v>0.15171292759706731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-1.1882548278663309E-13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291.18074901939718</v>
      </c>
      <c r="DU146" s="59">
        <f t="shared" si="152"/>
        <v>181.05123751753774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0.15638101767697707</v>
      </c>
      <c r="EC146" s="21">
        <f>EXP(-LN(2)/2)*EC145+(1-EXP(-LN(2)/2))/(LN(2)/2)*DW146*DZ146*VLOOKUP('Données projet'!$B$14,Paramètres!$A$1:$I$89,3,0)*0.475*44/12</f>
        <v>7.0161189887648912E-17</v>
      </c>
      <c r="ED146" s="22">
        <f t="shared" si="126"/>
        <v>0.15638101767697715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168.08890945052406</v>
      </c>
      <c r="EP146" s="59">
        <f t="shared" si="154"/>
        <v>182.52462557642343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0.66275509457944848</v>
      </c>
      <c r="EW146" s="21">
        <f>EXP(-LN(2)/25)*EW145+(1-EXP(-LN(2)/25))/(LN(2)/25)*Calculateur!ER146*Calculateur!ET146*VLOOKUP('Données projet'!$B$15,Paramètres!$A$1:$I$89,3,0)*0.475*44/12</f>
        <v>0.53745062254462495</v>
      </c>
      <c r="EX146" s="21">
        <f>EXP(-LN(2)/2)*EX145+(1-EXP(-LN(2)/2))/(LN(2)/2)*ER146*EU146*VLOOKUP('Données projet'!$B$15,Paramètres!$A$1:$I$89,3,0)*0.475*44/12</f>
        <v>5.3439003305284995E-17</v>
      </c>
      <c r="EY146" s="22">
        <f t="shared" si="129"/>
        <v>1.2002057171240734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3.813056537183002E-14</v>
      </c>
      <c r="FG146" s="13">
        <f t="shared" si="155"/>
        <v>6.4086286045526829E-13</v>
      </c>
      <c r="FH146" s="20">
        <f t="shared" si="130"/>
        <v>1.1825802166488628E-12</v>
      </c>
      <c r="FI146" s="59">
        <f t="shared" si="131"/>
        <v>293.33333333333451</v>
      </c>
      <c r="FJ146" s="59">
        <f ca="1">AVERAGE(OFFSET($FI$3,0,0,'Données projet'!$E$16+1,1))-AVERAGE(OFFSET($H$3,0,0,'Données projet'!$E$16+1,1))</f>
        <v>156.63226020379989</v>
      </c>
      <c r="FK146" s="59">
        <f t="shared" si="156"/>
        <v>196.0481096619543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0.377886642759512</v>
      </c>
      <c r="FS146" s="21">
        <f>EXP(-LN(2)/2)*FS145+(1-EXP(-LN(2)/2))/(LN(2)/2)*FM146*FP146*VLOOKUP('Données projet'!$B$16,Paramètres!$A$1:$I$89,3,0)*0.475*44/12</f>
        <v>8.9038675503167378E-17</v>
      </c>
      <c r="FT146" s="22">
        <f t="shared" si="132"/>
        <v>0.37788664275951211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-4.5474735088646412E-13</v>
      </c>
      <c r="GA146" s="17">
        <f>FZ146*VLOOKUP('Données projet'!$B$17,Paramètres!$A$1:$I$89,3,0)*VLOOKUP('Données projet'!$B$17,Paramètres!$A$1:$I$89,5,0)</f>
        <v>-2.7193891583010558E-13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216.94426559495264</v>
      </c>
      <c r="GF146" s="59">
        <f t="shared" si="158"/>
        <v>225.33715877618704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0.56004465488157029</v>
      </c>
      <c r="GN146" s="21">
        <f>EXP(-LN(2)/2)*GN145+(1-EXP(-LN(2)/2))/(LN(2)/2)*GH146*GK146*VLOOKUP('Données projet'!$B$17,Paramètres!$A$1:$I$89,3,0)*0.475*44/12</f>
        <v>2.3285805617047839E-16</v>
      </c>
      <c r="GO146" s="21">
        <f t="shared" si="135"/>
        <v>0.56004465488157051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-1.1368683772161603E-13</v>
      </c>
      <c r="GV146" s="17">
        <f>GU146*VLOOKUP('Données projet'!$B$18,Paramètres!$A$1:$I$89,3,0)*VLOOKUP('Données projet'!$B$18,Paramètres!$A$1:$I$89,5,0)</f>
        <v>-1.0995790944434703E-13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261.22357949323879</v>
      </c>
      <c r="HA146" s="59">
        <f t="shared" si="160"/>
        <v>163.41029152029387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0.14471079247720262</v>
      </c>
      <c r="HI146" s="21">
        <f>EXP(-LN(2)/2)*HI145+(1-EXP(-LN(2)/2))/(LN(2)/2)*HC146*HF146*VLOOKUP('Données projet'!$B$18,Paramètres!$A$1:$I$89,3,0)*0.475*44/12</f>
        <v>6.4925280194540718E-17</v>
      </c>
      <c r="HJ146" s="22">
        <f t="shared" si="138"/>
        <v>0.14471079247720267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237.22177246688199</v>
      </c>
      <c r="T147" s="59">
        <f t="shared" si="142"/>
        <v>149.27472147904302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227.99999999999986</v>
      </c>
      <c r="AJ147" s="13">
        <f>AI147*VLOOKUP('Données projet'!$B$10,Paramètres!$A$1:$I$89,3,0)*VLOOKUP('Données projet'!$B$10,Paramètres!$A$1:$I$89,5,0)</f>
        <v>199.18079999999992</v>
      </c>
      <c r="AK147" s="13">
        <f t="shared" si="143"/>
        <v>49.564089376413683</v>
      </c>
      <c r="AL147" s="20">
        <f t="shared" si="112"/>
        <v>433.23068233058694</v>
      </c>
      <c r="AM147" s="59">
        <f t="shared" si="113"/>
        <v>726.56401566392026</v>
      </c>
      <c r="AN147" s="59">
        <f ca="1">AVERAGE(OFFSET($AM$3,0,0,'Données projet'!$E$10+1,1))-AVERAGE(OFFSET($H$3,0,0,'Données projet'!$E$10+1,1))</f>
        <v>210.07838338464626</v>
      </c>
      <c r="AO147" s="59">
        <f t="shared" si="144"/>
        <v>241.76003724236273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0.55436527577306993</v>
      </c>
      <c r="AV147" s="21">
        <f>EXP(-LN(2)/25)*AV146+(1-EXP(-LN(2)/25))/(LN(2)/25)*Calculateur!AQ147*Calculateur!AS147*VLOOKUP('Données projet'!$B$10,Paramètres!$A$1:$I$89,3,0)*0.475*44/12</f>
        <v>0.5748571381045795</v>
      </c>
      <c r="AW147" s="21">
        <f>EXP(-LN(2)/2)*AW146+(1-EXP(-LN(2)/2))/(LN(2)/2)*AQ147*AT147*VLOOKUP('Données projet'!$B$10,Paramètres!$A$1:$I$89,3,0)*0.475*44/12</f>
        <v>1.1082401989749149E-16</v>
      </c>
      <c r="AX147" s="21">
        <f t="shared" si="114"/>
        <v>1.1292224138776494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3.9017322706058616E-13</v>
      </c>
      <c r="BF147" s="13">
        <f t="shared" si="145"/>
        <v>5.0025007393608908E-12</v>
      </c>
      <c r="BG147" s="20">
        <f t="shared" si="115"/>
        <v>9.3922404915174053E-12</v>
      </c>
      <c r="BH147" s="59">
        <f t="shared" si="116"/>
        <v>293.33333333334269</v>
      </c>
      <c r="BI147" s="59">
        <f ca="1">AVERAGE(OFFSET($BH$3,0,0,'Données projet'!$E$11+1,1))-AVERAGE(OFFSET($H$3,0,0,'Données projet'!$E$11+1,1))</f>
        <v>209.93608079129638</v>
      </c>
      <c r="BJ147" s="59">
        <f t="shared" si="146"/>
        <v>240.15652428700969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0.72726808893641859</v>
      </c>
      <c r="BQ147" s="21">
        <f>EXP(-LN(2)/25)*BQ146+(1-EXP(-LN(2)/25))/(LN(2)/25)*Calculateur!BL147*Calculateur!BN147*VLOOKUP('Données projet'!$B$11,Paramètres!$A$1:$I$89,3,0)*0.475*44/12</f>
        <v>0.88128020539040719</v>
      </c>
      <c r="BR147" s="21">
        <f>EXP(-LN(2)/2)*BR146+(1-EXP(-LN(2)/2))/(LN(2)/2)*BL147*BO147*VLOOKUP('Données projet'!$B$11,Paramètres!$A$1:$I$89,3,0)*0.475*44/12</f>
        <v>1.4010192661364429E-16</v>
      </c>
      <c r="BS147" s="22">
        <f t="shared" si="117"/>
        <v>1.6085482943268261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215.23235148064941</v>
      </c>
      <c r="CE147" s="59">
        <f t="shared" si="148"/>
        <v>184.07239726900434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0.32785505187856961</v>
      </c>
      <c r="CL147" s="21">
        <f>EXP(-LN(2)/25)*CL146+(1-EXP(-LN(2)/25))/(LN(2)/25)*Calculateur!CG147*Calculateur!CI147*VLOOKUP('Données projet'!$B$12,Paramètres!$A$1:$I$89,3,0)*0.475*44/12</f>
        <v>0.33302365427306696</v>
      </c>
      <c r="CM147" s="21">
        <f>EXP(-LN(2)/2)*CM146+(1-EXP(-LN(2)/2))/(LN(2)/2)*CG147*CJ147*VLOOKUP('Données projet'!$B$12,Paramètres!$A$1:$I$89,3,0)*0.475*44/12</f>
        <v>6.8224429441265887E-17</v>
      </c>
      <c r="CN147" s="22">
        <f t="shared" si="120"/>
        <v>0.66087870615163669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-1.1527845344971866E-13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279.20364724206644</v>
      </c>
      <c r="CZ147" s="59">
        <f t="shared" si="150"/>
        <v>173.99850582760712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0.14756432961368934</v>
      </c>
      <c r="DH147" s="21">
        <f>EXP(-LN(2)/2)*DH146+(1-EXP(-LN(2)/2))/(LN(2)/2)*DB147*DE147*VLOOKUP('Données projet'!$B$13,Paramètres!$A$1:$I$89,3,0)*0.475*44/12</f>
        <v>4.8130514245802671E-17</v>
      </c>
      <c r="DI147" s="22">
        <f t="shared" si="123"/>
        <v>0.1475643296136894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-1.1882548278663309E-13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291.18074901939718</v>
      </c>
      <c r="DU147" s="59">
        <f t="shared" si="152"/>
        <v>181.05123751753774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0.15210477052487983</v>
      </c>
      <c r="EC147" s="21">
        <f>EXP(-LN(2)/2)*EC146+(1-EXP(-LN(2)/2))/(LN(2)/2)*DW147*DZ147*VLOOKUP('Données projet'!$B$14,Paramètres!$A$1:$I$89,3,0)*0.475*44/12</f>
        <v>4.961145314567357E-17</v>
      </c>
      <c r="ED147" s="22">
        <f t="shared" si="126"/>
        <v>0.15210477052487989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168.08890945052406</v>
      </c>
      <c r="EP147" s="59">
        <f t="shared" si="154"/>
        <v>182.52462557642343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0.64975887141543776</v>
      </c>
      <c r="EW147" s="21">
        <f>EXP(-LN(2)/25)*EW146+(1-EXP(-LN(2)/25))/(LN(2)/25)*Calculateur!ER147*Calculateur!ET147*VLOOKUP('Données projet'!$B$15,Paramètres!$A$1:$I$89,3,0)*0.475*44/12</f>
        <v>0.52275400700784225</v>
      </c>
      <c r="EX147" s="21">
        <f>EXP(-LN(2)/2)*EX146+(1-EXP(-LN(2)/2))/(LN(2)/2)*ER147*EU147*VLOOKUP('Données projet'!$B$15,Paramètres!$A$1:$I$89,3,0)*0.475*44/12</f>
        <v>3.7787081617017347E-17</v>
      </c>
      <c r="EY147" s="22">
        <f t="shared" si="129"/>
        <v>1.1725128784232801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3.813056537183002E-14</v>
      </c>
      <c r="FG147" s="13">
        <f t="shared" si="155"/>
        <v>6.4086286045526829E-13</v>
      </c>
      <c r="FH147" s="20">
        <f t="shared" si="130"/>
        <v>1.1825802166488628E-12</v>
      </c>
      <c r="FI147" s="59">
        <f t="shared" si="131"/>
        <v>293.33333333333451</v>
      </c>
      <c r="FJ147" s="59">
        <f ca="1">AVERAGE(OFFSET($FI$3,0,0,'Données projet'!$E$16+1,1))-AVERAGE(OFFSET($H$3,0,0,'Données projet'!$E$16+1,1))</f>
        <v>156.63226020379989</v>
      </c>
      <c r="FK147" s="59">
        <f t="shared" si="156"/>
        <v>196.0481096619543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0.36755331264105828</v>
      </c>
      <c r="FS147" s="21">
        <f>EXP(-LN(2)/2)*FS146+(1-EXP(-LN(2)/2))/(LN(2)/2)*FM147*FP147*VLOOKUP('Données projet'!$B$16,Paramètres!$A$1:$I$89,3,0)*0.475*44/12</f>
        <v>6.2959851236158184E-17</v>
      </c>
      <c r="FT147" s="22">
        <f t="shared" si="132"/>
        <v>0.36755331264105834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-4.5474735088646412E-13</v>
      </c>
      <c r="GA147" s="17">
        <f>FZ147*VLOOKUP('Données projet'!$B$17,Paramètres!$A$1:$I$89,3,0)*VLOOKUP('Données projet'!$B$17,Paramètres!$A$1:$I$89,5,0)</f>
        <v>-2.7193891583010558E-13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216.94426559495264</v>
      </c>
      <c r="GF147" s="59">
        <f t="shared" si="158"/>
        <v>225.33715877618704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0.5447302043423653</v>
      </c>
      <c r="GN147" s="21">
        <f>EXP(-LN(2)/2)*GN146+(1-EXP(-LN(2)/2))/(LN(2)/2)*GH147*GK147*VLOOKUP('Données projet'!$B$17,Paramètres!$A$1:$I$89,3,0)*0.475*44/12</f>
        <v>1.6465551057206326E-16</v>
      </c>
      <c r="GO147" s="21">
        <f t="shared" si="135"/>
        <v>0.54473020434236541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-1.1368683772161603E-13</v>
      </c>
      <c r="GV147" s="17">
        <f>GU147*VLOOKUP('Données projet'!$B$18,Paramètres!$A$1:$I$89,3,0)*VLOOKUP('Données projet'!$B$18,Paramètres!$A$1:$I$89,5,0)</f>
        <v>-1.0995790944434703E-13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261.22357949323879</v>
      </c>
      <c r="HA147" s="59">
        <f t="shared" si="160"/>
        <v>163.41029152029387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0.14075366824690366</v>
      </c>
      <c r="HI147" s="21">
        <f>EXP(-LN(2)/2)*HI146+(1-EXP(-LN(2)/2))/(LN(2)/2)*HC147*HF147*VLOOKUP('Données projet'!$B$18,Paramètres!$A$1:$I$89,3,0)*0.475*44/12</f>
        <v>4.5909105895996392E-17</v>
      </c>
      <c r="HJ147" s="22">
        <f t="shared" si="138"/>
        <v>0.14075366824690372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237.22177246688199</v>
      </c>
      <c r="T148" s="59">
        <f t="shared" si="142"/>
        <v>149.27472147904302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227.99999999999986</v>
      </c>
      <c r="AJ148" s="13">
        <f>AI148*VLOOKUP('Données projet'!$B$10,Paramètres!$A$1:$I$89,3,0)*VLOOKUP('Données projet'!$B$10,Paramètres!$A$1:$I$89,5,0)</f>
        <v>199.18079999999992</v>
      </c>
      <c r="AK148" s="13">
        <f t="shared" si="143"/>
        <v>49.564089376413683</v>
      </c>
      <c r="AL148" s="20">
        <f t="shared" si="112"/>
        <v>433.23068233058694</v>
      </c>
      <c r="AM148" s="59">
        <f t="shared" si="113"/>
        <v>726.56401566392026</v>
      </c>
      <c r="AN148" s="59">
        <f ca="1">AVERAGE(OFFSET($AM$3,0,0,'Données projet'!$E$10+1,1))-AVERAGE(OFFSET($H$3,0,0,'Données projet'!$E$10+1,1))</f>
        <v>210.07838338464626</v>
      </c>
      <c r="AO148" s="59">
        <f t="shared" si="144"/>
        <v>241.76003724236273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0.54349451084459077</v>
      </c>
      <c r="AV148" s="21">
        <f>EXP(-LN(2)/25)*AV147+(1-EXP(-LN(2)/25))/(LN(2)/25)*Calculateur!AQ148*Calculateur!AS148*VLOOKUP('Données projet'!$B$10,Paramètres!$A$1:$I$89,3,0)*0.475*44/12</f>
        <v>0.55913763943268668</v>
      </c>
      <c r="AW148" s="21">
        <f>EXP(-LN(2)/2)*AW147+(1-EXP(-LN(2)/2))/(LN(2)/2)*AQ148*AT148*VLOOKUP('Données projet'!$B$10,Paramètres!$A$1:$I$89,3,0)*0.475*44/12</f>
        <v>7.8364415987869113E-17</v>
      </c>
      <c r="AX148" s="21">
        <f t="shared" si="114"/>
        <v>1.1026321502772776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3.9017322706058616E-13</v>
      </c>
      <c r="BF148" s="13">
        <f t="shared" si="145"/>
        <v>5.0025007393608908E-12</v>
      </c>
      <c r="BG148" s="20">
        <f t="shared" si="115"/>
        <v>9.3922404915174053E-12</v>
      </c>
      <c r="BH148" s="59">
        <f t="shared" si="116"/>
        <v>293.33333333334269</v>
      </c>
      <c r="BI148" s="59">
        <f ca="1">AVERAGE(OFFSET($BH$3,0,0,'Données projet'!$E$11+1,1))-AVERAGE(OFFSET($H$3,0,0,'Données projet'!$E$11+1,1))</f>
        <v>209.93608079129638</v>
      </c>
      <c r="BJ148" s="59">
        <f t="shared" si="146"/>
        <v>240.15652428700969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0.7130068053021088</v>
      </c>
      <c r="BQ148" s="21">
        <f>EXP(-LN(2)/25)*BQ147+(1-EXP(-LN(2)/25))/(LN(2)/25)*Calculateur!BL148*Calculateur!BN148*VLOOKUP('Données projet'!$B$11,Paramètres!$A$1:$I$89,3,0)*0.475*44/12</f>
        <v>0.85718155182949474</v>
      </c>
      <c r="BR148" s="21">
        <f>EXP(-LN(2)/2)*BR147+(1-EXP(-LN(2)/2))/(LN(2)/2)*BL148*BO148*VLOOKUP('Données projet'!$B$11,Paramètres!$A$1:$I$89,3,0)*0.475*44/12</f>
        <v>9.9067022365807913E-17</v>
      </c>
      <c r="BS148" s="22">
        <f t="shared" si="117"/>
        <v>1.5701883571316035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215.23235148064941</v>
      </c>
      <c r="CE148" s="59">
        <f t="shared" si="148"/>
        <v>184.07239726900434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0.32142601428306694</v>
      </c>
      <c r="CL148" s="21">
        <f>EXP(-LN(2)/25)*CL147+(1-EXP(-LN(2)/25))/(LN(2)/25)*Calculateur!CG148*Calculateur!CI148*VLOOKUP('Données projet'!$B$12,Paramètres!$A$1:$I$89,3,0)*0.475*44/12</f>
        <v>0.3239171049340171</v>
      </c>
      <c r="CM148" s="21">
        <f>EXP(-LN(2)/2)*CM147+(1-EXP(-LN(2)/2))/(LN(2)/2)*CG148*CJ148*VLOOKUP('Données projet'!$B$12,Paramètres!$A$1:$I$89,3,0)*0.475*44/12</f>
        <v>4.8241956700502249E-17</v>
      </c>
      <c r="CN148" s="22">
        <f t="shared" si="120"/>
        <v>0.64534311921708398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-1.1527845344971866E-13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279.20364724206644</v>
      </c>
      <c r="CZ148" s="59">
        <f t="shared" si="150"/>
        <v>173.99850582760712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0.14352917526033218</v>
      </c>
      <c r="DH148" s="21">
        <f>EXP(-LN(2)/2)*DH147+(1-EXP(-LN(2)/2))/(LN(2)/2)*DB148*DE148*VLOOKUP('Données projet'!$B$13,Paramètres!$A$1:$I$89,3,0)*0.475*44/12</f>
        <v>3.4033413005202797E-17</v>
      </c>
      <c r="DI148" s="22">
        <f t="shared" si="123"/>
        <v>0.14352917526033221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-1.1882548278663309E-13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291.18074901939718</v>
      </c>
      <c r="DU148" s="59">
        <f t="shared" si="152"/>
        <v>181.05123751753774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0.14794545757603475</v>
      </c>
      <c r="EC148" s="21">
        <f>EXP(-LN(2)/2)*EC147+(1-EXP(-LN(2)/2))/(LN(2)/2)*DW148*DZ148*VLOOKUP('Données projet'!$B$14,Paramètres!$A$1:$I$89,3,0)*0.475*44/12</f>
        <v>3.5080594943824456E-17</v>
      </c>
      <c r="ED148" s="22">
        <f t="shared" si="126"/>
        <v>0.14794545757603478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168.08890945052406</v>
      </c>
      <c r="EP148" s="59">
        <f t="shared" si="154"/>
        <v>182.52462557642343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0.63701749626075987</v>
      </c>
      <c r="EW148" s="21">
        <f>EXP(-LN(2)/25)*EW147+(1-EXP(-LN(2)/25))/(LN(2)/25)*Calculateur!ER148*Calculateur!ET148*VLOOKUP('Données projet'!$B$15,Paramètres!$A$1:$I$89,3,0)*0.475*44/12</f>
        <v>0.50845927119577439</v>
      </c>
      <c r="EX148" s="21">
        <f>EXP(-LN(2)/2)*EX147+(1-EXP(-LN(2)/2))/(LN(2)/2)*ER148*EU148*VLOOKUP('Données projet'!$B$15,Paramètres!$A$1:$I$89,3,0)*0.475*44/12</f>
        <v>2.6719501652642498E-17</v>
      </c>
      <c r="EY148" s="22">
        <f t="shared" si="129"/>
        <v>1.1454767674565343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3.813056537183002E-14</v>
      </c>
      <c r="FG148" s="13">
        <f t="shared" si="155"/>
        <v>6.4086286045526829E-13</v>
      </c>
      <c r="FH148" s="20">
        <f t="shared" si="130"/>
        <v>1.1825802166488628E-12</v>
      </c>
      <c r="FI148" s="59">
        <f t="shared" si="131"/>
        <v>293.33333333333451</v>
      </c>
      <c r="FJ148" s="59">
        <f ca="1">AVERAGE(OFFSET($FI$3,0,0,'Données projet'!$E$16+1,1))-AVERAGE(OFFSET($H$3,0,0,'Données projet'!$E$16+1,1))</f>
        <v>156.63226020379989</v>
      </c>
      <c r="FK148" s="59">
        <f t="shared" si="156"/>
        <v>196.0481096619543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0.35750254797809988</v>
      </c>
      <c r="FS148" s="21">
        <f>EXP(-LN(2)/2)*FS147+(1-EXP(-LN(2)/2))/(LN(2)/2)*FM148*FP148*VLOOKUP('Données projet'!$B$16,Paramètres!$A$1:$I$89,3,0)*0.475*44/12</f>
        <v>4.4519337751583689E-17</v>
      </c>
      <c r="FT148" s="22">
        <f t="shared" si="132"/>
        <v>0.35750254797809994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-4.5474735088646412E-13</v>
      </c>
      <c r="GA148" s="17">
        <f>FZ148*VLOOKUP('Données projet'!$B$17,Paramètres!$A$1:$I$89,3,0)*VLOOKUP('Données projet'!$B$17,Paramètres!$A$1:$I$89,5,0)</f>
        <v>-2.7193891583010558E-13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216.94426559495264</v>
      </c>
      <c r="GF148" s="59">
        <f t="shared" si="158"/>
        <v>225.33715877618704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0.52983452825850685</v>
      </c>
      <c r="GN148" s="21">
        <f>EXP(-LN(2)/2)*GN147+(1-EXP(-LN(2)/2))/(LN(2)/2)*GH148*GK148*VLOOKUP('Données projet'!$B$17,Paramètres!$A$1:$I$89,3,0)*0.475*44/12</f>
        <v>1.1642902808523919E-16</v>
      </c>
      <c r="GO148" s="21">
        <f t="shared" si="135"/>
        <v>0.52983452825850696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-1.1368683772161603E-13</v>
      </c>
      <c r="GV148" s="17">
        <f>GU148*VLOOKUP('Données projet'!$B$18,Paramètres!$A$1:$I$89,3,0)*VLOOKUP('Données projet'!$B$18,Paramètres!$A$1:$I$89,5,0)</f>
        <v>-1.0995790944434703E-13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261.22357949323879</v>
      </c>
      <c r="HA148" s="59">
        <f t="shared" si="160"/>
        <v>163.41029152029387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0.13690475178677836</v>
      </c>
      <c r="HI148" s="21">
        <f>EXP(-LN(2)/2)*HI147+(1-EXP(-LN(2)/2))/(LN(2)/2)*HC148*HF148*VLOOKUP('Données projet'!$B$18,Paramètres!$A$1:$I$89,3,0)*0.475*44/12</f>
        <v>3.2462640097270359E-17</v>
      </c>
      <c r="HJ148" s="22">
        <f t="shared" si="138"/>
        <v>0.13690475178677838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237.22177246688199</v>
      </c>
      <c r="T149" s="59">
        <f t="shared" si="142"/>
        <v>149.27472147904302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227.99999999999986</v>
      </c>
      <c r="AJ149" s="13">
        <f>AI149*VLOOKUP('Données projet'!$B$10,Paramètres!$A$1:$I$89,3,0)*VLOOKUP('Données projet'!$B$10,Paramètres!$A$1:$I$89,5,0)</f>
        <v>199.18079999999992</v>
      </c>
      <c r="AK149" s="13">
        <f t="shared" si="143"/>
        <v>49.564089376413683</v>
      </c>
      <c r="AL149" s="20">
        <f t="shared" si="112"/>
        <v>433.23068233058694</v>
      </c>
      <c r="AM149" s="59">
        <f t="shared" si="113"/>
        <v>726.56401566392026</v>
      </c>
      <c r="AN149" s="59">
        <f ca="1">AVERAGE(OFFSET($AM$3,0,0,'Données projet'!$E$10+1,1))-AVERAGE(OFFSET($H$3,0,0,'Données projet'!$E$10+1,1))</f>
        <v>210.07838338464626</v>
      </c>
      <c r="AO149" s="59">
        <f t="shared" si="144"/>
        <v>241.76003724236273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0.53283691498584718</v>
      </c>
      <c r="AV149" s="21">
        <f>EXP(-LN(2)/25)*AV148+(1-EXP(-LN(2)/25))/(LN(2)/25)*Calculateur!AQ149*Calculateur!AS149*VLOOKUP('Données projet'!$B$10,Paramètres!$A$1:$I$89,3,0)*0.475*44/12</f>
        <v>0.54384799127862937</v>
      </c>
      <c r="AW149" s="21">
        <f>EXP(-LN(2)/2)*AW148+(1-EXP(-LN(2)/2))/(LN(2)/2)*AQ149*AT149*VLOOKUP('Données projet'!$B$10,Paramètres!$A$1:$I$89,3,0)*0.475*44/12</f>
        <v>5.5412009948745752E-17</v>
      </c>
      <c r="AX149" s="21">
        <f t="shared" si="114"/>
        <v>1.0766849062644765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3.9017322706058616E-13</v>
      </c>
      <c r="BF149" s="13">
        <f t="shared" si="145"/>
        <v>5.0025007393608908E-12</v>
      </c>
      <c r="BG149" s="20">
        <f t="shared" si="115"/>
        <v>9.3922404915174053E-12</v>
      </c>
      <c r="BH149" s="59">
        <f t="shared" si="116"/>
        <v>293.33333333334269</v>
      </c>
      <c r="BI149" s="59">
        <f ca="1">AVERAGE(OFFSET($BH$3,0,0,'Données projet'!$E$11+1,1))-AVERAGE(OFFSET($H$3,0,0,'Données projet'!$E$11+1,1))</f>
        <v>209.93608079129638</v>
      </c>
      <c r="BJ149" s="59">
        <f t="shared" si="146"/>
        <v>240.15652428700969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0.69902517674134379</v>
      </c>
      <c r="BQ149" s="21">
        <f>EXP(-LN(2)/25)*BQ148+(1-EXP(-LN(2)/25))/(LN(2)/25)*Calculateur!BL149*Calculateur!BN149*VLOOKUP('Données projet'!$B$11,Paramètres!$A$1:$I$89,3,0)*0.475*44/12</f>
        <v>0.83374187721749848</v>
      </c>
      <c r="BR149" s="21">
        <f>EXP(-LN(2)/2)*BR148+(1-EXP(-LN(2)/2))/(LN(2)/2)*BL149*BO149*VLOOKUP('Données projet'!$B$11,Paramètres!$A$1:$I$89,3,0)*0.475*44/12</f>
        <v>7.0050963306822145E-17</v>
      </c>
      <c r="BS149" s="22">
        <f t="shared" si="117"/>
        <v>1.5327670539588423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215.23235148064941</v>
      </c>
      <c r="CE149" s="59">
        <f t="shared" si="148"/>
        <v>184.07239726900434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0.31512304619348636</v>
      </c>
      <c r="CL149" s="21">
        <f>EXP(-LN(2)/25)*CL148+(1-EXP(-LN(2)/25))/(LN(2)/25)*Calculateur!CG149*Calculateur!CI149*VLOOKUP('Données projet'!$B$12,Paramètres!$A$1:$I$89,3,0)*0.475*44/12</f>
        <v>0.31505957466553619</v>
      </c>
      <c r="CM149" s="21">
        <f>EXP(-LN(2)/2)*CM148+(1-EXP(-LN(2)/2))/(LN(2)/2)*CG149*CJ149*VLOOKUP('Données projet'!$B$12,Paramètres!$A$1:$I$89,3,0)*0.475*44/12</f>
        <v>3.4112214720632944E-17</v>
      </c>
      <c r="CN149" s="22">
        <f t="shared" si="120"/>
        <v>0.63018262085902255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-1.1527845344971866E-13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279.20364724206644</v>
      </c>
      <c r="CZ149" s="59">
        <f t="shared" si="150"/>
        <v>173.99850582760712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0.1396043624149671</v>
      </c>
      <c r="DH149" s="21">
        <f>EXP(-LN(2)/2)*DH148+(1-EXP(-LN(2)/2))/(LN(2)/2)*DB149*DE149*VLOOKUP('Données projet'!$B$13,Paramètres!$A$1:$I$89,3,0)*0.475*44/12</f>
        <v>2.4065257122901335E-17</v>
      </c>
      <c r="DI149" s="22">
        <f t="shared" si="123"/>
        <v>0.13960436241496713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-1.1882548278663309E-13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291.18074901939718</v>
      </c>
      <c r="DU149" s="59">
        <f t="shared" si="152"/>
        <v>181.05123751753774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0.14389988125850459</v>
      </c>
      <c r="EC149" s="21">
        <f>EXP(-LN(2)/2)*EC148+(1-EXP(-LN(2)/2))/(LN(2)/2)*DW149*DZ149*VLOOKUP('Données projet'!$B$14,Paramètres!$A$1:$I$89,3,0)*0.475*44/12</f>
        <v>2.4805726572836785E-17</v>
      </c>
      <c r="ED149" s="22">
        <f t="shared" si="126"/>
        <v>0.14389988125850461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168.08890945052406</v>
      </c>
      <c r="EP149" s="59">
        <f t="shared" si="154"/>
        <v>182.52462557642343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0.62452597170139368</v>
      </c>
      <c r="EW149" s="21">
        <f>EXP(-LN(2)/25)*EW148+(1-EXP(-LN(2)/25))/(LN(2)/25)*Calculateur!ER149*Calculateur!ET149*VLOOKUP('Données projet'!$B$15,Paramètres!$A$1:$I$89,3,0)*0.475*44/12</f>
        <v>0.49455542568621497</v>
      </c>
      <c r="EX149" s="21">
        <f>EXP(-LN(2)/2)*EX148+(1-EXP(-LN(2)/2))/(LN(2)/2)*ER149*EU149*VLOOKUP('Données projet'!$B$15,Paramètres!$A$1:$I$89,3,0)*0.475*44/12</f>
        <v>1.8893540808508673E-17</v>
      </c>
      <c r="EY149" s="22">
        <f t="shared" si="129"/>
        <v>1.1190813973876086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3.813056537183002E-14</v>
      </c>
      <c r="FG149" s="13">
        <f t="shared" si="155"/>
        <v>6.4086286045526829E-13</v>
      </c>
      <c r="FH149" s="20">
        <f t="shared" si="130"/>
        <v>1.1825802166488628E-12</v>
      </c>
      <c r="FI149" s="59">
        <f t="shared" si="131"/>
        <v>293.33333333333451</v>
      </c>
      <c r="FJ149" s="59">
        <f ca="1">AVERAGE(OFFSET($FI$3,0,0,'Données projet'!$E$16+1,1))-AVERAGE(OFFSET($H$3,0,0,'Données projet'!$E$16+1,1))</f>
        <v>156.63226020379989</v>
      </c>
      <c r="FK149" s="59">
        <f t="shared" si="156"/>
        <v>196.0481096619543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0.34772662200339682</v>
      </c>
      <c r="FS149" s="21">
        <f>EXP(-LN(2)/2)*FS148+(1-EXP(-LN(2)/2))/(LN(2)/2)*FM149*FP149*VLOOKUP('Données projet'!$B$16,Paramètres!$A$1:$I$89,3,0)*0.475*44/12</f>
        <v>3.1479925618079092E-17</v>
      </c>
      <c r="FT149" s="22">
        <f t="shared" si="132"/>
        <v>0.34772662200339688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-4.5474735088646412E-13</v>
      </c>
      <c r="GA149" s="17">
        <f>FZ149*VLOOKUP('Données projet'!$B$17,Paramètres!$A$1:$I$89,3,0)*VLOOKUP('Données projet'!$B$17,Paramètres!$A$1:$I$89,5,0)</f>
        <v>-2.7193891583010558E-13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216.94426559495264</v>
      </c>
      <c r="GF149" s="59">
        <f t="shared" si="158"/>
        <v>225.33715877618704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0.51534617522049109</v>
      </c>
      <c r="GN149" s="21">
        <f>EXP(-LN(2)/2)*GN148+(1-EXP(-LN(2)/2))/(LN(2)/2)*GH149*GK149*VLOOKUP('Données projet'!$B$17,Paramètres!$A$1:$I$89,3,0)*0.475*44/12</f>
        <v>8.232775528603163E-17</v>
      </c>
      <c r="GO149" s="21">
        <f t="shared" si="135"/>
        <v>0.5153461752204912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-1.1368683772161603E-13</v>
      </c>
      <c r="GV149" s="17">
        <f>GU149*VLOOKUP('Données projet'!$B$18,Paramètres!$A$1:$I$89,3,0)*VLOOKUP('Données projet'!$B$18,Paramètres!$A$1:$I$89,5,0)</f>
        <v>-1.0995790944434703E-13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261.22357949323879</v>
      </c>
      <c r="HA149" s="59">
        <f t="shared" si="160"/>
        <v>163.41029152029387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0.13316108414966091</v>
      </c>
      <c r="HI149" s="21">
        <f>EXP(-LN(2)/2)*HI148+(1-EXP(-LN(2)/2))/(LN(2)/2)*HC149*HF149*VLOOKUP('Données projet'!$B$18,Paramètres!$A$1:$I$89,3,0)*0.475*44/12</f>
        <v>2.2954552947998196E-17</v>
      </c>
      <c r="HJ149" s="22">
        <f t="shared" si="138"/>
        <v>0.13316108414966094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237.22177246688199</v>
      </c>
      <c r="T150" s="59">
        <f t="shared" si="142"/>
        <v>149.27472147904302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227.99999999999986</v>
      </c>
      <c r="AJ150" s="13">
        <f>AI150*VLOOKUP('Données projet'!$B$10,Paramètres!$A$1:$I$89,3,0)*VLOOKUP('Données projet'!$B$10,Paramètres!$A$1:$I$89,5,0)</f>
        <v>199.18079999999992</v>
      </c>
      <c r="AK150" s="13">
        <f t="shared" si="143"/>
        <v>49.564089376413683</v>
      </c>
      <c r="AL150" s="20">
        <f t="shared" si="112"/>
        <v>433.23068233058694</v>
      </c>
      <c r="AM150" s="59">
        <f t="shared" si="113"/>
        <v>726.56401566392026</v>
      </c>
      <c r="AN150" s="59">
        <f ca="1">AVERAGE(OFFSET($AM$3,0,0,'Données projet'!$E$10+1,1))-AVERAGE(OFFSET($H$3,0,0,'Données projet'!$E$10+1,1))</f>
        <v>210.07838338464626</v>
      </c>
      <c r="AO150" s="59">
        <f t="shared" si="144"/>
        <v>241.76003724236273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0.52238830808140191</v>
      </c>
      <c r="AV150" s="21">
        <f>EXP(-LN(2)/25)*AV149+(1-EXP(-LN(2)/25))/(LN(2)/25)*Calculateur!AQ150*Calculateur!AS150*VLOOKUP('Données projet'!$B$10,Paramètres!$A$1:$I$89,3,0)*0.475*44/12</f>
        <v>0.52897643935739236</v>
      </c>
      <c r="AW150" s="21">
        <f>EXP(-LN(2)/2)*AW149+(1-EXP(-LN(2)/2))/(LN(2)/2)*AQ150*AT150*VLOOKUP('Données projet'!$B$10,Paramètres!$A$1:$I$89,3,0)*0.475*44/12</f>
        <v>3.9182207993934563E-17</v>
      </c>
      <c r="AX150" s="21">
        <f t="shared" si="114"/>
        <v>1.0513647474387944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3.9017322706058616E-13</v>
      </c>
      <c r="BF150" s="13">
        <f t="shared" si="145"/>
        <v>5.0025007393608908E-12</v>
      </c>
      <c r="BG150" s="20">
        <f t="shared" si="115"/>
        <v>9.3922404915174053E-12</v>
      </c>
      <c r="BH150" s="59">
        <f t="shared" si="116"/>
        <v>293.33333333334269</v>
      </c>
      <c r="BI150" s="59">
        <f ca="1">AVERAGE(OFFSET($BH$3,0,0,'Données projet'!$E$11+1,1))-AVERAGE(OFFSET($H$3,0,0,'Données projet'!$E$11+1,1))</f>
        <v>209.93608079129638</v>
      </c>
      <c r="BJ150" s="59">
        <f t="shared" si="146"/>
        <v>240.15652428700969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0.68531771938870401</v>
      </c>
      <c r="BQ150" s="21">
        <f>EXP(-LN(2)/25)*BQ149+(1-EXP(-LN(2)/25))/(LN(2)/25)*Calculateur!BL150*Calculateur!BN150*VLOOKUP('Données projet'!$B$11,Paramètres!$A$1:$I$89,3,0)*0.475*44/12</f>
        <v>0.81094316174040626</v>
      </c>
      <c r="BR150" s="21">
        <f>EXP(-LN(2)/2)*BR149+(1-EXP(-LN(2)/2))/(LN(2)/2)*BL150*BO150*VLOOKUP('Données projet'!$B$11,Paramètres!$A$1:$I$89,3,0)*0.475*44/12</f>
        <v>4.9533511182903957E-17</v>
      </c>
      <c r="BS150" s="22">
        <f t="shared" si="117"/>
        <v>1.4962608811291103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215.23235148064941</v>
      </c>
      <c r="CE150" s="59">
        <f t="shared" si="148"/>
        <v>184.07239726900434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0.30894367546371149</v>
      </c>
      <c r="CL150" s="21">
        <f>EXP(-LN(2)/25)*CL149+(1-EXP(-LN(2)/25))/(LN(2)/25)*Calculateur!CG150*Calculateur!CI150*VLOOKUP('Données projet'!$B$12,Paramètres!$A$1:$I$89,3,0)*0.475*44/12</f>
        <v>0.30644425402804415</v>
      </c>
      <c r="CM150" s="21">
        <f>EXP(-LN(2)/2)*CM149+(1-EXP(-LN(2)/2))/(LN(2)/2)*CG150*CJ150*VLOOKUP('Données projet'!$B$12,Paramètres!$A$1:$I$89,3,0)*0.475*44/12</f>
        <v>2.4120978350251125E-17</v>
      </c>
      <c r="CN150" s="22">
        <f t="shared" si="120"/>
        <v>0.61538792949175569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-1.1527845344971866E-13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279.20364724206644</v>
      </c>
      <c r="CZ150" s="59">
        <f t="shared" si="150"/>
        <v>173.99850582760712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0.13578687378325546</v>
      </c>
      <c r="DH150" s="21">
        <f>EXP(-LN(2)/2)*DH149+(1-EXP(-LN(2)/2))/(LN(2)/2)*DB150*DE150*VLOOKUP('Données projet'!$B$13,Paramètres!$A$1:$I$89,3,0)*0.475*44/12</f>
        <v>1.7016706502601399E-17</v>
      </c>
      <c r="DI150" s="22">
        <f t="shared" si="123"/>
        <v>0.13578687378325549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-1.1882548278663309E-13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291.18074901939718</v>
      </c>
      <c r="DU150" s="59">
        <f t="shared" si="152"/>
        <v>181.05123751753774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0.13996493143812491</v>
      </c>
      <c r="EC150" s="21">
        <f>EXP(-LN(2)/2)*EC149+(1-EXP(-LN(2)/2))/(LN(2)/2)*DW150*DZ150*VLOOKUP('Données projet'!$B$14,Paramètres!$A$1:$I$89,3,0)*0.475*44/12</f>
        <v>1.7540297471912228E-17</v>
      </c>
      <c r="ED150" s="22">
        <f t="shared" si="126"/>
        <v>0.13996493143812494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168.08890945052406</v>
      </c>
      <c r="EP150" s="59">
        <f t="shared" si="154"/>
        <v>182.52462557642343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0.61227939831955902</v>
      </c>
      <c r="EW150" s="21">
        <f>EXP(-LN(2)/25)*EW149+(1-EXP(-LN(2)/25))/(LN(2)/25)*Calculateur!ER150*Calculateur!ET150*VLOOKUP('Données projet'!$B$15,Paramètres!$A$1:$I$89,3,0)*0.475*44/12</f>
        <v>0.48103178156328591</v>
      </c>
      <c r="EX150" s="21">
        <f>EXP(-LN(2)/2)*EX149+(1-EXP(-LN(2)/2))/(LN(2)/2)*ER150*EU150*VLOOKUP('Données projet'!$B$15,Paramètres!$A$1:$I$89,3,0)*0.475*44/12</f>
        <v>1.3359750826321249E-17</v>
      </c>
      <c r="EY150" s="22">
        <f t="shared" si="129"/>
        <v>1.093311179882845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3.813056537183002E-14</v>
      </c>
      <c r="FG150" s="13">
        <f t="shared" si="155"/>
        <v>6.4086286045526829E-13</v>
      </c>
      <c r="FH150" s="20">
        <f t="shared" si="130"/>
        <v>1.1825802166488628E-12</v>
      </c>
      <c r="FI150" s="59">
        <f t="shared" si="131"/>
        <v>293.33333333333451</v>
      </c>
      <c r="FJ150" s="59">
        <f ca="1">AVERAGE(OFFSET($FI$3,0,0,'Données projet'!$E$16+1,1))-AVERAGE(OFFSET($H$3,0,0,'Données projet'!$E$16+1,1))</f>
        <v>156.63226020379989</v>
      </c>
      <c r="FK150" s="59">
        <f t="shared" si="156"/>
        <v>196.0481096619543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0.33821801923856565</v>
      </c>
      <c r="FS150" s="21">
        <f>EXP(-LN(2)/2)*FS149+(1-EXP(-LN(2)/2))/(LN(2)/2)*FM150*FP150*VLOOKUP('Données projet'!$B$16,Paramètres!$A$1:$I$89,3,0)*0.475*44/12</f>
        <v>2.2259668875791844E-17</v>
      </c>
      <c r="FT150" s="22">
        <f t="shared" si="132"/>
        <v>0.33821801923856565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-4.5474735088646412E-13</v>
      </c>
      <c r="GA150" s="17">
        <f>FZ150*VLOOKUP('Données projet'!$B$17,Paramètres!$A$1:$I$89,3,0)*VLOOKUP('Données projet'!$B$17,Paramètres!$A$1:$I$89,5,0)</f>
        <v>-2.7193891583010558E-13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216.94426559495264</v>
      </c>
      <c r="GF150" s="59">
        <f t="shared" si="158"/>
        <v>225.33715877618704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0.50125400695820921</v>
      </c>
      <c r="GN150" s="21">
        <f>EXP(-LN(2)/2)*GN149+(1-EXP(-LN(2)/2))/(LN(2)/2)*GH150*GK150*VLOOKUP('Données projet'!$B$17,Paramètres!$A$1:$I$89,3,0)*0.475*44/12</f>
        <v>5.8214514042619597E-17</v>
      </c>
      <c r="GO150" s="21">
        <f t="shared" si="135"/>
        <v>0.50125400695820932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-1.1368683772161603E-13</v>
      </c>
      <c r="GV150" s="17">
        <f>GU150*VLOOKUP('Données projet'!$B$18,Paramètres!$A$1:$I$89,3,0)*VLOOKUP('Données projet'!$B$18,Paramètres!$A$1:$I$89,5,0)</f>
        <v>-1.0995790944434703E-13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261.22357949323879</v>
      </c>
      <c r="HA150" s="59">
        <f t="shared" si="160"/>
        <v>163.41029152029387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0.12951978730095137</v>
      </c>
      <c r="HI150" s="21">
        <f>EXP(-LN(2)/2)*HI149+(1-EXP(-LN(2)/2))/(LN(2)/2)*HC150*HF150*VLOOKUP('Données projet'!$B$18,Paramètres!$A$1:$I$89,3,0)*0.475*44/12</f>
        <v>1.6231320048635179E-17</v>
      </c>
      <c r="HJ150" s="22">
        <f t="shared" si="138"/>
        <v>0.1295197873009514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237.22177246688199</v>
      </c>
      <c r="T151" s="59">
        <f t="shared" si="142"/>
        <v>149.27472147904302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227.99999999999986</v>
      </c>
      <c r="AJ151" s="13">
        <f>AI151*VLOOKUP('Données projet'!$B$10,Paramètres!$A$1:$I$89,3,0)*VLOOKUP('Données projet'!$B$10,Paramètres!$A$1:$I$89,5,0)</f>
        <v>199.18079999999992</v>
      </c>
      <c r="AK151" s="13">
        <f t="shared" si="143"/>
        <v>49.564089376413683</v>
      </c>
      <c r="AL151" s="20">
        <f t="shared" si="112"/>
        <v>433.23068233058694</v>
      </c>
      <c r="AM151" s="59">
        <f t="shared" si="113"/>
        <v>726.56401566392026</v>
      </c>
      <c r="AN151" s="59">
        <f ca="1">AVERAGE(OFFSET($AM$3,0,0,'Données projet'!$E$10+1,1))-AVERAGE(OFFSET($H$3,0,0,'Données projet'!$E$10+1,1))</f>
        <v>210.07838338464626</v>
      </c>
      <c r="AO151" s="59">
        <f t="shared" si="144"/>
        <v>241.76003724236273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0.51214459198533191</v>
      </c>
      <c r="AV151" s="21">
        <f>EXP(-LN(2)/25)*AV150+(1-EXP(-LN(2)/25))/(LN(2)/25)*Calculateur!AQ151*Calculateur!AS151*VLOOKUP('Données projet'!$B$10,Paramètres!$A$1:$I$89,3,0)*0.475*44/12</f>
        <v>0.51451155080550248</v>
      </c>
      <c r="AW151" s="21">
        <f>EXP(-LN(2)/2)*AW150+(1-EXP(-LN(2)/2))/(LN(2)/2)*AQ151*AT151*VLOOKUP('Données projet'!$B$10,Paramètres!$A$1:$I$89,3,0)*0.475*44/12</f>
        <v>2.7706004974372882E-17</v>
      </c>
      <c r="AX151" s="21">
        <f t="shared" si="114"/>
        <v>1.0266561427908343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3.9017322706058616E-13</v>
      </c>
      <c r="BF151" s="13">
        <f t="shared" si="145"/>
        <v>5.0025007393608908E-12</v>
      </c>
      <c r="BG151" s="20">
        <f t="shared" si="115"/>
        <v>9.3922404915174053E-12</v>
      </c>
      <c r="BH151" s="59">
        <f t="shared" si="116"/>
        <v>293.33333333334269</v>
      </c>
      <c r="BI151" s="59">
        <f ca="1">AVERAGE(OFFSET($BH$3,0,0,'Données projet'!$E$11+1,1))-AVERAGE(OFFSET($H$3,0,0,'Données projet'!$E$11+1,1))</f>
        <v>209.93608079129638</v>
      </c>
      <c r="BJ151" s="59">
        <f t="shared" si="146"/>
        <v>240.15652428700969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0.67187905691402605</v>
      </c>
      <c r="BQ151" s="21">
        <f>EXP(-LN(2)/25)*BQ150+(1-EXP(-LN(2)/25))/(LN(2)/25)*Calculateur!BL151*Calculateur!BN151*VLOOKUP('Données projet'!$B$11,Paramètres!$A$1:$I$89,3,0)*0.475*44/12</f>
        <v>0.78876787833696738</v>
      </c>
      <c r="BR151" s="21">
        <f>EXP(-LN(2)/2)*BR150+(1-EXP(-LN(2)/2))/(LN(2)/2)*BL151*BO151*VLOOKUP('Données projet'!$B$11,Paramètres!$A$1:$I$89,3,0)*0.475*44/12</f>
        <v>3.5025481653411072E-17</v>
      </c>
      <c r="BS151" s="22">
        <f t="shared" si="117"/>
        <v>1.4606469352509934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215.23235148064941</v>
      </c>
      <c r="CE151" s="59">
        <f t="shared" si="148"/>
        <v>184.07239726900434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0.30288547842490354</v>
      </c>
      <c r="CL151" s="21">
        <f>EXP(-LN(2)/25)*CL150+(1-EXP(-LN(2)/25))/(LN(2)/25)*Calculateur!CG151*Calculateur!CI151*VLOOKUP('Données projet'!$B$12,Paramètres!$A$1:$I$89,3,0)*0.475*44/12</f>
        <v>0.29806451978644433</v>
      </c>
      <c r="CM151" s="21">
        <f>EXP(-LN(2)/2)*CM150+(1-EXP(-LN(2)/2))/(LN(2)/2)*CG151*CJ151*VLOOKUP('Données projet'!$B$12,Paramètres!$A$1:$I$89,3,0)*0.475*44/12</f>
        <v>1.7056107360316472E-17</v>
      </c>
      <c r="CN151" s="22">
        <f t="shared" si="120"/>
        <v>0.60094999821134787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-1.1527845344971866E-13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279.20364724206644</v>
      </c>
      <c r="CZ151" s="59">
        <f t="shared" si="150"/>
        <v>173.99850582760712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0.13207377457893099</v>
      </c>
      <c r="DH151" s="21">
        <f>EXP(-LN(2)/2)*DH150+(1-EXP(-LN(2)/2))/(LN(2)/2)*DB151*DE151*VLOOKUP('Données projet'!$B$13,Paramètres!$A$1:$I$89,3,0)*0.475*44/12</f>
        <v>1.2032628561450668E-17</v>
      </c>
      <c r="DI151" s="22">
        <f t="shared" si="123"/>
        <v>0.13207377457893099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-1.1882548278663309E-13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291.18074901939718</v>
      </c>
      <c r="DU151" s="59">
        <f t="shared" si="152"/>
        <v>181.05123751753774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0.13613758302751353</v>
      </c>
      <c r="EC151" s="21">
        <f>EXP(-LN(2)/2)*EC150+(1-EXP(-LN(2)/2))/(LN(2)/2)*DW151*DZ151*VLOOKUP('Données projet'!$B$14,Paramètres!$A$1:$I$89,3,0)*0.475*44/12</f>
        <v>1.2402863286418393E-17</v>
      </c>
      <c r="ED151" s="22">
        <f t="shared" si="126"/>
        <v>0.13613758302751353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168.08890945052406</v>
      </c>
      <c r="EP151" s="59">
        <f t="shared" si="154"/>
        <v>182.52462557642343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0.60027297277206992</v>
      </c>
      <c r="EW151" s="21">
        <f>EXP(-LN(2)/25)*EW150+(1-EXP(-LN(2)/25))/(LN(2)/25)*Calculateur!ER151*Calculateur!ET151*VLOOKUP('Données projet'!$B$15,Paramètres!$A$1:$I$89,3,0)*0.475*44/12</f>
        <v>0.46787794220007589</v>
      </c>
      <c r="EX151" s="21">
        <f>EXP(-LN(2)/2)*EX150+(1-EXP(-LN(2)/2))/(LN(2)/2)*ER151*EU151*VLOOKUP('Données projet'!$B$15,Paramètres!$A$1:$I$89,3,0)*0.475*44/12</f>
        <v>9.4467704042543367E-18</v>
      </c>
      <c r="EY151" s="22">
        <f t="shared" si="129"/>
        <v>1.0681509149721458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3.813056537183002E-14</v>
      </c>
      <c r="FG151" s="13">
        <f t="shared" si="155"/>
        <v>6.4086286045526829E-13</v>
      </c>
      <c r="FH151" s="20">
        <f t="shared" si="130"/>
        <v>1.1825802166488628E-12</v>
      </c>
      <c r="FI151" s="59">
        <f t="shared" si="131"/>
        <v>293.33333333333451</v>
      </c>
      <c r="FJ151" s="59">
        <f ca="1">AVERAGE(OFFSET($FI$3,0,0,'Données projet'!$E$16+1,1))-AVERAGE(OFFSET($H$3,0,0,'Données projet'!$E$16+1,1))</f>
        <v>156.63226020379989</v>
      </c>
      <c r="FK151" s="59">
        <f t="shared" si="156"/>
        <v>196.0481096619543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0.32896942971637444</v>
      </c>
      <c r="FS151" s="21">
        <f>EXP(-LN(2)/2)*FS150+(1-EXP(-LN(2)/2))/(LN(2)/2)*FM151*FP151*VLOOKUP('Données projet'!$B$16,Paramètres!$A$1:$I$89,3,0)*0.475*44/12</f>
        <v>1.5739962809039546E-17</v>
      </c>
      <c r="FT151" s="22">
        <f t="shared" si="132"/>
        <v>0.32896942971637444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-4.5474735088646412E-13</v>
      </c>
      <c r="GA151" s="17">
        <f>FZ151*VLOOKUP('Données projet'!$B$17,Paramètres!$A$1:$I$89,3,0)*VLOOKUP('Données projet'!$B$17,Paramètres!$A$1:$I$89,5,0)</f>
        <v>-2.7193891583010558E-13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216.94426559495264</v>
      </c>
      <c r="GF151" s="59">
        <f t="shared" si="158"/>
        <v>225.33715877618704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0.48754718977813438</v>
      </c>
      <c r="GN151" s="21">
        <f>EXP(-LN(2)/2)*GN150+(1-EXP(-LN(2)/2))/(LN(2)/2)*GH151*GK151*VLOOKUP('Données projet'!$B$17,Paramètres!$A$1:$I$89,3,0)*0.475*44/12</f>
        <v>4.1163877643015815E-17</v>
      </c>
      <c r="GO151" s="21">
        <f t="shared" si="135"/>
        <v>0.48754718977813444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-1.1368683772161603E-13</v>
      </c>
      <c r="GV151" s="17">
        <f>GU151*VLOOKUP('Données projet'!$B$18,Paramètres!$A$1:$I$89,3,0)*VLOOKUP('Données projet'!$B$18,Paramètres!$A$1:$I$89,5,0)</f>
        <v>-1.0995790944434703E-13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261.22357949323879</v>
      </c>
      <c r="HA151" s="59">
        <f t="shared" si="160"/>
        <v>163.41029152029387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0.12597806190605726</v>
      </c>
      <c r="HI151" s="21">
        <f>EXP(-LN(2)/2)*HI150+(1-EXP(-LN(2)/2))/(LN(2)/2)*HC151*HF151*VLOOKUP('Données projet'!$B$18,Paramètres!$A$1:$I$89,3,0)*0.475*44/12</f>
        <v>1.1477276473999098E-17</v>
      </c>
      <c r="HJ151" s="22">
        <f t="shared" si="138"/>
        <v>0.12597806190605726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237.22177246688199</v>
      </c>
      <c r="T152" s="59">
        <f t="shared" si="142"/>
        <v>149.27472147904302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227.99999999999986</v>
      </c>
      <c r="AJ152" s="13">
        <f>AI152*VLOOKUP('Données projet'!$B$10,Paramètres!$A$1:$I$89,3,0)*VLOOKUP('Données projet'!$B$10,Paramètres!$A$1:$I$89,5,0)</f>
        <v>199.18079999999992</v>
      </c>
      <c r="AK152" s="13">
        <f t="shared" si="143"/>
        <v>49.564089376413683</v>
      </c>
      <c r="AL152" s="20">
        <f t="shared" si="112"/>
        <v>433.23068233058694</v>
      </c>
      <c r="AM152" s="59">
        <f t="shared" si="113"/>
        <v>726.56401566392026</v>
      </c>
      <c r="AN152" s="59">
        <f ca="1">AVERAGE(OFFSET($AM$3,0,0,'Données projet'!$E$10+1,1))-AVERAGE(OFFSET($H$3,0,0,'Données projet'!$E$10+1,1))</f>
        <v>210.07838338464626</v>
      </c>
      <c r="AO152" s="59">
        <f t="shared" si="144"/>
        <v>241.76003724236273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0.50210174891385595</v>
      </c>
      <c r="AV152" s="21">
        <f>EXP(-LN(2)/25)*AV151+(1-EXP(-LN(2)/25))/(LN(2)/25)*Calculateur!AQ152*Calculateur!AS152*VLOOKUP('Données projet'!$B$10,Paramètres!$A$1:$I$89,3,0)*0.475*44/12</f>
        <v>0.50044220539173945</v>
      </c>
      <c r="AW152" s="21">
        <f>EXP(-LN(2)/2)*AW151+(1-EXP(-LN(2)/2))/(LN(2)/2)*AQ152*AT152*VLOOKUP('Données projet'!$B$10,Paramètres!$A$1:$I$89,3,0)*0.475*44/12</f>
        <v>1.9591103996967284E-17</v>
      </c>
      <c r="AX152" s="21">
        <f t="shared" si="114"/>
        <v>1.0025439543055954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3.9017322706058616E-13</v>
      </c>
      <c r="BF152" s="13">
        <f t="shared" si="145"/>
        <v>5.0025007393608908E-12</v>
      </c>
      <c r="BG152" s="20">
        <f t="shared" si="115"/>
        <v>9.3922404915174053E-12</v>
      </c>
      <c r="BH152" s="59">
        <f t="shared" si="116"/>
        <v>293.33333333334269</v>
      </c>
      <c r="BI152" s="59">
        <f ca="1">AVERAGE(OFFSET($BH$3,0,0,'Données projet'!$E$11+1,1))-AVERAGE(OFFSET($H$3,0,0,'Données projet'!$E$11+1,1))</f>
        <v>209.93608079129638</v>
      </c>
      <c r="BJ152" s="59">
        <f t="shared" si="146"/>
        <v>240.15652428700969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0.65870391841370179</v>
      </c>
      <c r="BQ152" s="21">
        <f>EXP(-LN(2)/25)*BQ151+(1-EXP(-LN(2)/25))/(LN(2)/25)*Calculateur!BL152*Calculateur!BN152*VLOOKUP('Données projet'!$B$11,Paramètres!$A$1:$I$89,3,0)*0.475*44/12</f>
        <v>0.76719897922434299</v>
      </c>
      <c r="BR152" s="21">
        <f>EXP(-LN(2)/2)*BR151+(1-EXP(-LN(2)/2))/(LN(2)/2)*BL152*BO152*VLOOKUP('Données projet'!$B$11,Paramètres!$A$1:$I$89,3,0)*0.475*44/12</f>
        <v>2.4766755591451978E-17</v>
      </c>
      <c r="BS152" s="22">
        <f t="shared" si="117"/>
        <v>1.4259028976380448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215.23235148064941</v>
      </c>
      <c r="CE152" s="59">
        <f t="shared" si="148"/>
        <v>184.07239726900434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0.29694607893489128</v>
      </c>
      <c r="CL152" s="21">
        <f>EXP(-LN(2)/25)*CL151+(1-EXP(-LN(2)/25))/(LN(2)/25)*Calculateur!CG152*Calculateur!CI152*VLOOKUP('Données projet'!$B$12,Paramètres!$A$1:$I$89,3,0)*0.475*44/12</f>
        <v>0.28991392981835212</v>
      </c>
      <c r="CM152" s="21">
        <f>EXP(-LN(2)/2)*CM151+(1-EXP(-LN(2)/2))/(LN(2)/2)*CG152*CJ152*VLOOKUP('Données projet'!$B$12,Paramètres!$A$1:$I$89,3,0)*0.475*44/12</f>
        <v>1.2060489175125562E-17</v>
      </c>
      <c r="CN152" s="22">
        <f t="shared" si="120"/>
        <v>0.5868600087532434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-1.1527845344971866E-13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279.20364724206644</v>
      </c>
      <c r="CZ152" s="59">
        <f t="shared" si="150"/>
        <v>173.99850582760712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0.12846221026761218</v>
      </c>
      <c r="DH152" s="21">
        <f>EXP(-LN(2)/2)*DH151+(1-EXP(-LN(2)/2))/(LN(2)/2)*DB152*DE152*VLOOKUP('Données projet'!$B$13,Paramètres!$A$1:$I$89,3,0)*0.475*44/12</f>
        <v>8.5083532513006993E-18</v>
      </c>
      <c r="DI152" s="22">
        <f t="shared" si="123"/>
        <v>0.12846221026761218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-1.1882548278663309E-13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291.18074901939718</v>
      </c>
      <c r="DU152" s="59">
        <f t="shared" si="152"/>
        <v>181.05123751753774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0.13241489366046183</v>
      </c>
      <c r="EC152" s="21">
        <f>EXP(-LN(2)/2)*EC151+(1-EXP(-LN(2)/2))/(LN(2)/2)*DW152*DZ152*VLOOKUP('Données projet'!$B$14,Paramètres!$A$1:$I$89,3,0)*0.475*44/12</f>
        <v>8.770148735956114E-18</v>
      </c>
      <c r="ED152" s="22">
        <f t="shared" si="126"/>
        <v>0.13241489366046183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168.08890945052406</v>
      </c>
      <c r="EP152" s="59">
        <f t="shared" si="154"/>
        <v>182.52462557642343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0.58850198590637071</v>
      </c>
      <c r="EW152" s="21">
        <f>EXP(-LN(2)/25)*EW151+(1-EXP(-LN(2)/25))/(LN(2)/25)*Calculateur!ER152*Calculateur!ET152*VLOOKUP('Données projet'!$B$15,Paramètres!$A$1:$I$89,3,0)*0.475*44/12</f>
        <v>0.45508379526598319</v>
      </c>
      <c r="EX152" s="21">
        <f>EXP(-LN(2)/2)*EX151+(1-EXP(-LN(2)/2))/(LN(2)/2)*ER152*EU152*VLOOKUP('Données projet'!$B$15,Paramètres!$A$1:$I$89,3,0)*0.475*44/12</f>
        <v>6.6798754131606244E-18</v>
      </c>
      <c r="EY152" s="22">
        <f t="shared" si="129"/>
        <v>1.0435857811723539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3.813056537183002E-14</v>
      </c>
      <c r="FG152" s="13">
        <f t="shared" si="155"/>
        <v>6.4086286045526829E-13</v>
      </c>
      <c r="FH152" s="20">
        <f t="shared" si="130"/>
        <v>1.1825802166488628E-12</v>
      </c>
      <c r="FI152" s="59">
        <f t="shared" si="131"/>
        <v>293.33333333333451</v>
      </c>
      <c r="FJ152" s="59">
        <f ca="1">AVERAGE(OFFSET($FI$3,0,0,'Données projet'!$E$16+1,1))-AVERAGE(OFFSET($H$3,0,0,'Données projet'!$E$16+1,1))</f>
        <v>156.63226020379989</v>
      </c>
      <c r="FK152" s="59">
        <f t="shared" si="156"/>
        <v>196.0481096619543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0.31997374336102974</v>
      </c>
      <c r="FS152" s="21">
        <f>EXP(-LN(2)/2)*FS151+(1-EXP(-LN(2)/2))/(LN(2)/2)*FM152*FP152*VLOOKUP('Données projet'!$B$16,Paramètres!$A$1:$I$89,3,0)*0.475*44/12</f>
        <v>1.1129834437895922E-17</v>
      </c>
      <c r="FT152" s="22">
        <f t="shared" si="132"/>
        <v>0.31997374336102974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-4.5474735088646412E-13</v>
      </c>
      <c r="GA152" s="17">
        <f>FZ152*VLOOKUP('Données projet'!$B$17,Paramètres!$A$1:$I$89,3,0)*VLOOKUP('Données projet'!$B$17,Paramètres!$A$1:$I$89,5,0)</f>
        <v>-2.7193891583010558E-13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216.94426559495264</v>
      </c>
      <c r="GF152" s="59">
        <f t="shared" si="158"/>
        <v>225.33715877618704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0.47421518623465891</v>
      </c>
      <c r="GN152" s="21">
        <f>EXP(-LN(2)/2)*GN151+(1-EXP(-LN(2)/2))/(LN(2)/2)*GH152*GK152*VLOOKUP('Données projet'!$B$17,Paramètres!$A$1:$I$89,3,0)*0.475*44/12</f>
        <v>2.9107257021309799E-17</v>
      </c>
      <c r="GO152" s="21">
        <f t="shared" si="135"/>
        <v>0.47421518623465897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-1.1368683772161603E-13</v>
      </c>
      <c r="GV152" s="17">
        <f>GU152*VLOOKUP('Données projet'!$B$18,Paramètres!$A$1:$I$89,3,0)*VLOOKUP('Données projet'!$B$18,Paramètres!$A$1:$I$89,5,0)</f>
        <v>-1.0995790944434703E-13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261.22357949323879</v>
      </c>
      <c r="HA152" s="59">
        <f t="shared" si="160"/>
        <v>163.41029152029387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0.12253318517833778</v>
      </c>
      <c r="HI152" s="21">
        <f>EXP(-LN(2)/2)*HI151+(1-EXP(-LN(2)/2))/(LN(2)/2)*HC152*HF152*VLOOKUP('Données projet'!$B$18,Paramètres!$A$1:$I$89,3,0)*0.475*44/12</f>
        <v>8.1156600243175897E-18</v>
      </c>
      <c r="HJ152" s="22">
        <f t="shared" si="138"/>
        <v>0.12253318517833779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237.22177246688199</v>
      </c>
      <c r="T153" s="59">
        <f t="shared" si="142"/>
        <v>149.27472147904302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227.99999999999986</v>
      </c>
      <c r="AJ153" s="13">
        <f>AI153*VLOOKUP('Données projet'!$B$10,Paramètres!$A$1:$I$89,3,0)*VLOOKUP('Données projet'!$B$10,Paramètres!$A$1:$I$89,5,0)</f>
        <v>199.18079999999992</v>
      </c>
      <c r="AK153" s="13">
        <f t="shared" si="143"/>
        <v>49.564089376413683</v>
      </c>
      <c r="AL153" s="20">
        <f t="shared" si="112"/>
        <v>433.23068233058694</v>
      </c>
      <c r="AM153" s="59">
        <f t="shared" si="113"/>
        <v>726.56401566392026</v>
      </c>
      <c r="AN153" s="59">
        <f ca="1">AVERAGE(OFFSET($AM$3,0,0,'Données projet'!$E$10+1,1))-AVERAGE(OFFSET($H$3,0,0,'Données projet'!$E$10+1,1))</f>
        <v>210.07838338464626</v>
      </c>
      <c r="AO153" s="59">
        <f t="shared" si="144"/>
        <v>241.76003724236273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0.49225583986948224</v>
      </c>
      <c r="AV153" s="21">
        <f>EXP(-LN(2)/25)*AV152+(1-EXP(-LN(2)/25))/(LN(2)/25)*Calculateur!AQ153*Calculateur!AS153*VLOOKUP('Données projet'!$B$10,Paramètres!$A$1:$I$89,3,0)*0.475*44/12</f>
        <v>0.48675758696819055</v>
      </c>
      <c r="AW153" s="21">
        <f>EXP(-LN(2)/2)*AW152+(1-EXP(-LN(2)/2))/(LN(2)/2)*AQ153*AT153*VLOOKUP('Données projet'!$B$10,Paramètres!$A$1:$I$89,3,0)*0.475*44/12</f>
        <v>1.3853002487186443E-17</v>
      </c>
      <c r="AX153" s="21">
        <f t="shared" si="114"/>
        <v>0.97901342683767278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3.9017322706058616E-13</v>
      </c>
      <c r="BF153" s="13">
        <f t="shared" si="145"/>
        <v>5.0025007393608908E-12</v>
      </c>
      <c r="BG153" s="20">
        <f t="shared" si="115"/>
        <v>9.3922404915174053E-12</v>
      </c>
      <c r="BH153" s="59">
        <f t="shared" si="116"/>
        <v>293.33333333334269</v>
      </c>
      <c r="BI153" s="59">
        <f ca="1">AVERAGE(OFFSET($BH$3,0,0,'Données projet'!$E$11+1,1))-AVERAGE(OFFSET($H$3,0,0,'Données projet'!$E$11+1,1))</f>
        <v>209.93608079129638</v>
      </c>
      <c r="BJ153" s="59">
        <f t="shared" si="146"/>
        <v>240.15652428700969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0.64578713634332785</v>
      </c>
      <c r="BQ153" s="21">
        <f>EXP(-LN(2)/25)*BQ152+(1-EXP(-LN(2)/25))/(LN(2)/25)*Calculateur!BL153*Calculateur!BN153*VLOOKUP('Données projet'!$B$11,Paramètres!$A$1:$I$89,3,0)*0.475*44/12</f>
        <v>0.74621988279221252</v>
      </c>
      <c r="BR153" s="21">
        <f>EXP(-LN(2)/2)*BR152+(1-EXP(-LN(2)/2))/(LN(2)/2)*BL153*BO153*VLOOKUP('Données projet'!$B$11,Paramètres!$A$1:$I$89,3,0)*0.475*44/12</f>
        <v>1.7512740826705536E-17</v>
      </c>
      <c r="BS153" s="22">
        <f t="shared" si="117"/>
        <v>1.3920070191355403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215.23235148064941</v>
      </c>
      <c r="CE153" s="59">
        <f t="shared" si="148"/>
        <v>184.07239726900434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0.29112314744620216</v>
      </c>
      <c r="CL153" s="21">
        <f>EXP(-LN(2)/25)*CL152+(1-EXP(-LN(2)/25))/(LN(2)/25)*Calculateur!CG153*Calculateur!CI153*VLOOKUP('Données projet'!$B$12,Paramètres!$A$1:$I$89,3,0)*0.475*44/12</f>
        <v>0.28198621816155833</v>
      </c>
      <c r="CM153" s="21">
        <f>EXP(-LN(2)/2)*CM152+(1-EXP(-LN(2)/2))/(LN(2)/2)*CG153*CJ153*VLOOKUP('Données projet'!$B$12,Paramètres!$A$1:$I$89,3,0)*0.475*44/12</f>
        <v>8.5280536801582359E-18</v>
      </c>
      <c r="CN153" s="22">
        <f t="shared" si="120"/>
        <v>0.57310936560776049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-1.1527845344971866E-13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279.20364724206644</v>
      </c>
      <c r="CZ153" s="59">
        <f t="shared" si="150"/>
        <v>173.99850582760712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0.12494940437231029</v>
      </c>
      <c r="DH153" s="21">
        <f>EXP(-LN(2)/2)*DH152+(1-EXP(-LN(2)/2))/(LN(2)/2)*DB153*DE153*VLOOKUP('Données projet'!$B$13,Paramètres!$A$1:$I$89,3,0)*0.475*44/12</f>
        <v>6.0163142807253338E-18</v>
      </c>
      <c r="DI153" s="22">
        <f t="shared" si="123"/>
        <v>0.12494940437231029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-1.1882548278663309E-13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291.18074901939718</v>
      </c>
      <c r="DU153" s="59">
        <f t="shared" si="152"/>
        <v>181.05123751753774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0.12879400142991987</v>
      </c>
      <c r="EC153" s="21">
        <f>EXP(-LN(2)/2)*EC152+(1-EXP(-LN(2)/2))/(LN(2)/2)*DW153*DZ153*VLOOKUP('Données projet'!$B$14,Paramètres!$A$1:$I$89,3,0)*0.475*44/12</f>
        <v>6.2014316432091963E-18</v>
      </c>
      <c r="ED153" s="22">
        <f t="shared" si="126"/>
        <v>0.12879400142991987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168.08890945052406</v>
      </c>
      <c r="EP153" s="59">
        <f t="shared" si="154"/>
        <v>182.52462557642343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0.57696182091351478</v>
      </c>
      <c r="EW153" s="21">
        <f>EXP(-LN(2)/25)*EW152+(1-EXP(-LN(2)/25))/(LN(2)/25)*Calculateur!ER153*Calculateur!ET153*VLOOKUP('Données projet'!$B$15,Paramètres!$A$1:$I$89,3,0)*0.475*44/12</f>
        <v>0.44263950495261822</v>
      </c>
      <c r="EX153" s="21">
        <f>EXP(-LN(2)/2)*EX152+(1-EXP(-LN(2)/2))/(LN(2)/2)*ER153*EU153*VLOOKUP('Données projet'!$B$15,Paramètres!$A$1:$I$89,3,0)*0.475*44/12</f>
        <v>4.7233852021271683E-18</v>
      </c>
      <c r="EY153" s="22">
        <f t="shared" si="129"/>
        <v>1.0196013258661329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3.813056537183002E-14</v>
      </c>
      <c r="FG153" s="13">
        <f t="shared" si="155"/>
        <v>6.4086286045526829E-13</v>
      </c>
      <c r="FH153" s="20">
        <f t="shared" si="130"/>
        <v>1.1825802166488628E-12</v>
      </c>
      <c r="FI153" s="59">
        <f t="shared" si="131"/>
        <v>293.33333333333451</v>
      </c>
      <c r="FJ153" s="59">
        <f ca="1">AVERAGE(OFFSET($FI$3,0,0,'Données projet'!$E$16+1,1))-AVERAGE(OFFSET($H$3,0,0,'Données projet'!$E$16+1,1))</f>
        <v>156.63226020379989</v>
      </c>
      <c r="FK153" s="59">
        <f t="shared" si="156"/>
        <v>196.0481096619543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0.31122404452213454</v>
      </c>
      <c r="FS153" s="21">
        <f>EXP(-LN(2)/2)*FS152+(1-EXP(-LN(2)/2))/(LN(2)/2)*FM153*FP153*VLOOKUP('Données projet'!$B$16,Paramètres!$A$1:$I$89,3,0)*0.475*44/12</f>
        <v>7.869981404519773E-18</v>
      </c>
      <c r="FT153" s="22">
        <f t="shared" si="132"/>
        <v>0.31122404452213454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-4.5474735088646412E-13</v>
      </c>
      <c r="GA153" s="17">
        <f>FZ153*VLOOKUP('Données projet'!$B$17,Paramètres!$A$1:$I$89,3,0)*VLOOKUP('Données projet'!$B$17,Paramètres!$A$1:$I$89,5,0)</f>
        <v>-2.7193891583010558E-13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216.94426559495264</v>
      </c>
      <c r="GF153" s="59">
        <f t="shared" si="158"/>
        <v>225.33715877618704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0.46124774702917937</v>
      </c>
      <c r="GN153" s="21">
        <f>EXP(-LN(2)/2)*GN152+(1-EXP(-LN(2)/2))/(LN(2)/2)*GH153*GK153*VLOOKUP('Données projet'!$B$17,Paramètres!$A$1:$I$89,3,0)*0.475*44/12</f>
        <v>2.0581938821507907E-17</v>
      </c>
      <c r="GO153" s="21">
        <f t="shared" si="135"/>
        <v>0.46124774702917937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-1.1368683772161603E-13</v>
      </c>
      <c r="GV153" s="17">
        <f>GU153*VLOOKUP('Données projet'!$B$18,Paramètres!$A$1:$I$89,3,0)*VLOOKUP('Données projet'!$B$18,Paramètres!$A$1:$I$89,5,0)</f>
        <v>-1.0995790944434703E-13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261.22357949323879</v>
      </c>
      <c r="HA153" s="59">
        <f t="shared" si="160"/>
        <v>163.41029152029387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0.11918250878589598</v>
      </c>
      <c r="HI153" s="21">
        <f>EXP(-LN(2)/2)*HI152+(1-EXP(-LN(2)/2))/(LN(2)/2)*HC153*HF153*VLOOKUP('Données projet'!$B$18,Paramètres!$A$1:$I$89,3,0)*0.475*44/12</f>
        <v>5.738638236999549E-18</v>
      </c>
      <c r="HJ153" s="22">
        <f t="shared" si="138"/>
        <v>0.11918250878589598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237.22177246688199</v>
      </c>
      <c r="T154" s="59">
        <f t="shared" si="142"/>
        <v>149.27472147904302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227.99999999999986</v>
      </c>
      <c r="AJ154" s="13">
        <f>AI154*VLOOKUP('Données projet'!$B$10,Paramètres!$A$1:$I$89,3,0)*VLOOKUP('Données projet'!$B$10,Paramètres!$A$1:$I$89,5,0)</f>
        <v>199.18079999999992</v>
      </c>
      <c r="AK154" s="13">
        <f t="shared" ref="AK154:AK203" si="164">EXP(-1.0587+0.8836*LN(AJ154)+0.284)</f>
        <v>49.564089376413683</v>
      </c>
      <c r="AL154" s="20">
        <f t="shared" ref="AL154:AL203" si="165">(AJ154+AK154)*0.475*44/12</f>
        <v>433.23068233058694</v>
      </c>
      <c r="AM154" s="59">
        <f t="shared" si="113"/>
        <v>726.56401566392026</v>
      </c>
      <c r="AN154" s="59">
        <f ca="1">AVERAGE(OFFSET($AM$3,0,0,'Données projet'!$E$10+1,1))-AVERAGE(OFFSET($H$3,0,0,'Données projet'!$E$10+1,1))</f>
        <v>210.07838338464626</v>
      </c>
      <c r="AO154" s="59">
        <f t="shared" si="144"/>
        <v>241.76003724236273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0.48260300309605714</v>
      </c>
      <c r="AV154" s="21">
        <f>EXP(-LN(2)/25)*AV153+(1-EXP(-LN(2)/25))/(LN(2)/25)*Calculateur!AQ154*Calculateur!AS154*VLOOKUP('Données projet'!$B$10,Paramètres!$A$1:$I$89,3,0)*0.475*44/12</f>
        <v>0.47344717515507639</v>
      </c>
      <c r="AW154" s="21">
        <f>EXP(-LN(2)/2)*AW153+(1-EXP(-LN(2)/2))/(LN(2)/2)*AQ154*AT154*VLOOKUP('Données projet'!$B$10,Paramètres!$A$1:$I$89,3,0)*0.475*44/12</f>
        <v>9.7955519984836437E-18</v>
      </c>
      <c r="AX154" s="21">
        <f t="shared" ref="AX154:AX203" si="166">SUM(AU154:AW154)</f>
        <v>0.95605017825113348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3.9017322706058616E-13</v>
      </c>
      <c r="BF154" s="13">
        <f t="shared" ref="BF154:BF203" si="167">EXP(-1.0587+0.8836*LN(BE154)+0.284)</f>
        <v>5.0025007393608908E-12</v>
      </c>
      <c r="BG154" s="20">
        <f t="shared" ref="BG154:BG203" si="168">(BE154+BF154)*0.475*44/12</f>
        <v>9.3922404915174053E-12</v>
      </c>
      <c r="BH154" s="59">
        <f t="shared" si="116"/>
        <v>293.33333333334269</v>
      </c>
      <c r="BI154" s="59">
        <f ca="1">AVERAGE(OFFSET($BH$3,0,0,'Données projet'!$E$11+1,1))-AVERAGE(OFFSET($H$3,0,0,'Données projet'!$E$11+1,1))</f>
        <v>209.93608079129638</v>
      </c>
      <c r="BJ154" s="59">
        <f t="shared" si="146"/>
        <v>240.15652428700969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0.63312364449089487</v>
      </c>
      <c r="BQ154" s="21">
        <f>EXP(-LN(2)/25)*BQ153+(1-EXP(-LN(2)/25))/(LN(2)/25)*Calculateur!BL154*Calculateur!BN154*VLOOKUP('Données projet'!$B$11,Paramètres!$A$1:$I$89,3,0)*0.475*44/12</f>
        <v>0.72581446085526136</v>
      </c>
      <c r="BR154" s="21">
        <f>EXP(-LN(2)/2)*BR153+(1-EXP(-LN(2)/2))/(LN(2)/2)*BL154*BO154*VLOOKUP('Données projet'!$B$11,Paramètres!$A$1:$I$89,3,0)*0.475*44/12</f>
        <v>1.2383377795725989E-17</v>
      </c>
      <c r="BS154" s="22">
        <f t="shared" ref="BS154:BS203" si="169">SUM(BP154:BR154)</f>
        <v>1.3589381053461562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215.23235148064941</v>
      </c>
      <c r="CE154" s="59">
        <f t="shared" si="148"/>
        <v>184.07239726900434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0.28541440009236874</v>
      </c>
      <c r="CL154" s="21">
        <f>EXP(-LN(2)/25)*CL153+(1-EXP(-LN(2)/25))/(LN(2)/25)*Calculateur!CG154*Calculateur!CI154*VLOOKUP('Données projet'!$B$12,Paramètres!$A$1:$I$89,3,0)*0.475*44/12</f>
        <v>0.27427529019691982</v>
      </c>
      <c r="CM154" s="21">
        <f>EXP(-LN(2)/2)*CM153+(1-EXP(-LN(2)/2))/(LN(2)/2)*CG154*CJ154*VLOOKUP('Données projet'!$B$12,Paramètres!$A$1:$I$89,3,0)*0.475*44/12</f>
        <v>6.0302445875627812E-18</v>
      </c>
      <c r="CN154" s="22">
        <f t="shared" ref="CN154:CN203" si="172">SUM(CK154:CM154)</f>
        <v>0.5596896902892885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-1.1527845344971866E-13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279.20364724206644</v>
      </c>
      <c r="CZ154" s="59">
        <f t="shared" si="150"/>
        <v>173.99850582760712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0.12153265633894587</v>
      </c>
      <c r="DH154" s="21">
        <f>EXP(-LN(2)/2)*DH153+(1-EXP(-LN(2)/2))/(LN(2)/2)*DB154*DE154*VLOOKUP('Données projet'!$B$13,Paramètres!$A$1:$I$89,3,0)*0.475*44/12</f>
        <v>4.2541766256503497E-18</v>
      </c>
      <c r="DI154" s="22">
        <f t="shared" ref="DI154:DI203" si="175">SUM(DF154:DH154)</f>
        <v>0.12153265633894587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-1.1882548278663309E-13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291.18074901939718</v>
      </c>
      <c r="DU154" s="59">
        <f t="shared" si="152"/>
        <v>181.05123751753774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0.12527212268783655</v>
      </c>
      <c r="EC154" s="21">
        <f>EXP(-LN(2)/2)*EC153+(1-EXP(-LN(2)/2))/(LN(2)/2)*DW154*DZ154*VLOOKUP('Données projet'!$B$14,Paramètres!$A$1:$I$89,3,0)*0.475*44/12</f>
        <v>4.385074367978057E-18</v>
      </c>
      <c r="ED154" s="22">
        <f t="shared" ref="ED154:ED203" si="178">SUM(EA154:EC154)</f>
        <v>0.12527212268783655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168.08890945052406</v>
      </c>
      <c r="EP154" s="59">
        <f t="shared" si="154"/>
        <v>182.52462557642343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0.56564795151736313</v>
      </c>
      <c r="EW154" s="21">
        <f>EXP(-LN(2)/25)*EW153+(1-EXP(-LN(2)/25))/(LN(2)/25)*Calculateur!ER154*Calculateur!ET154*VLOOKUP('Données projet'!$B$15,Paramètres!$A$1:$I$89,3,0)*0.475*44/12</f>
        <v>0.43053550441228899</v>
      </c>
      <c r="EX154" s="21">
        <f>EXP(-LN(2)/2)*EX153+(1-EXP(-LN(2)/2))/(LN(2)/2)*ER154*EU154*VLOOKUP('Données projet'!$B$15,Paramètres!$A$1:$I$89,3,0)*0.475*44/12</f>
        <v>3.3399377065803122E-18</v>
      </c>
      <c r="EY154" s="22">
        <f t="shared" ref="EY154:EY203" si="181">SUM(EV154:EX154)</f>
        <v>0.99618345592965207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3.813056537183002E-14</v>
      </c>
      <c r="FG154" s="13">
        <f t="shared" ref="FG154:FG203" si="182">EXP(-1.0587+0.8836*LN(FF154)+0.284)</f>
        <v>6.4086286045526829E-13</v>
      </c>
      <c r="FH154" s="20">
        <f t="shared" ref="FH154:FH203" si="183">(FF154+FG154)*0.475*44/12</f>
        <v>1.1825802166488628E-12</v>
      </c>
      <c r="FI154" s="59">
        <f t="shared" si="131"/>
        <v>293.33333333333451</v>
      </c>
      <c r="FJ154" s="59">
        <f ca="1">AVERAGE(OFFSET($FI$3,0,0,'Données projet'!$E$16+1,1))-AVERAGE(OFFSET($H$3,0,0,'Données projet'!$E$16+1,1))</f>
        <v>156.63226020379989</v>
      </c>
      <c r="FK154" s="59">
        <f t="shared" si="156"/>
        <v>196.0481096619543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0.30271360665811559</v>
      </c>
      <c r="FS154" s="21">
        <f>EXP(-LN(2)/2)*FS153+(1-EXP(-LN(2)/2))/(LN(2)/2)*FM154*FP154*VLOOKUP('Données projet'!$B$16,Paramètres!$A$1:$I$89,3,0)*0.475*44/12</f>
        <v>5.5649172189479611E-18</v>
      </c>
      <c r="FT154" s="22">
        <f t="shared" ref="FT154:FT203" si="184">SUM(FQ154:FS154)</f>
        <v>0.30271360665811559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-4.5474735088646412E-13</v>
      </c>
      <c r="GA154" s="17">
        <f>FZ154*VLOOKUP('Données projet'!$B$17,Paramètres!$A$1:$I$89,3,0)*VLOOKUP('Données projet'!$B$17,Paramètres!$A$1:$I$89,5,0)</f>
        <v>-2.7193891583010558E-13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216.94426559495264</v>
      </c>
      <c r="GF154" s="59">
        <f t="shared" si="158"/>
        <v>225.33715877618704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0.44863490313070165</v>
      </c>
      <c r="GN154" s="21">
        <f>EXP(-LN(2)/2)*GN153+(1-EXP(-LN(2)/2))/(LN(2)/2)*GH154*GK154*VLOOKUP('Données projet'!$B$17,Paramètres!$A$1:$I$89,3,0)*0.475*44/12</f>
        <v>1.4553628510654899E-17</v>
      </c>
      <c r="GO154" s="21">
        <f t="shared" ref="GO154:GO203" si="187">SUM(GL154:GN154)</f>
        <v>0.44863490313070165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-1.1368683772161603E-13</v>
      </c>
      <c r="GV154" s="17">
        <f>GU154*VLOOKUP('Données projet'!$B$18,Paramètres!$A$1:$I$89,3,0)*VLOOKUP('Données projet'!$B$18,Paramètres!$A$1:$I$89,5,0)</f>
        <v>-1.0995790944434703E-13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261.22357949323879</v>
      </c>
      <c r="HA154" s="59">
        <f t="shared" si="160"/>
        <v>163.41029152029387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0.11592345681560991</v>
      </c>
      <c r="HI154" s="21">
        <f>EXP(-LN(2)/2)*HI153+(1-EXP(-LN(2)/2))/(LN(2)/2)*HC154*HF154*VLOOKUP('Données projet'!$B$18,Paramètres!$A$1:$I$89,3,0)*0.475*44/12</f>
        <v>4.0578300121587949E-18</v>
      </c>
      <c r="HJ154" s="22">
        <f t="shared" ref="HJ154:HJ203" si="190">SUM(HG154:HI154)</f>
        <v>0.11592345681560991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237.22177246688199</v>
      </c>
      <c r="T155" s="59">
        <f t="shared" si="142"/>
        <v>149.27472147904302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227.99999999999986</v>
      </c>
      <c r="AJ155" s="13">
        <f>AI155*VLOOKUP('Données projet'!$B$10,Paramètres!$A$1:$I$89,3,0)*VLOOKUP('Données projet'!$B$10,Paramètres!$A$1:$I$89,5,0)</f>
        <v>199.18079999999992</v>
      </c>
      <c r="AK155" s="13">
        <f t="shared" si="164"/>
        <v>49.564089376413683</v>
      </c>
      <c r="AL155" s="20">
        <f t="shared" si="165"/>
        <v>433.23068233058694</v>
      </c>
      <c r="AM155" s="59">
        <f t="shared" si="113"/>
        <v>726.56401566392026</v>
      </c>
      <c r="AN155" s="59">
        <f ca="1">AVERAGE(OFFSET($AM$3,0,0,'Données projet'!$E$10+1,1))-AVERAGE(OFFSET($H$3,0,0,'Données projet'!$E$10+1,1))</f>
        <v>210.07838338464626</v>
      </c>
      <c r="AO155" s="59">
        <f t="shared" si="144"/>
        <v>241.76003724236273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0.47313945256410983</v>
      </c>
      <c r="AV155" s="21">
        <f>EXP(-LN(2)/25)*AV154+(1-EXP(-LN(2)/25))/(LN(2)/25)*Calculateur!AQ155*Calculateur!AS155*VLOOKUP('Données projet'!$B$10,Paramètres!$A$1:$I$89,3,0)*0.475*44/12</f>
        <v>0.46050073725295598</v>
      </c>
      <c r="AW155" s="21">
        <f>EXP(-LN(2)/2)*AW154+(1-EXP(-LN(2)/2))/(LN(2)/2)*AQ155*AT155*VLOOKUP('Données projet'!$B$10,Paramètres!$A$1:$I$89,3,0)*0.475*44/12</f>
        <v>6.9265012435932229E-18</v>
      </c>
      <c r="AX155" s="21">
        <f t="shared" si="166"/>
        <v>0.93364018981706587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3.9017322706058616E-13</v>
      </c>
      <c r="BF155" s="13">
        <f t="shared" si="167"/>
        <v>5.0025007393608908E-12</v>
      </c>
      <c r="BG155" s="20">
        <f t="shared" si="168"/>
        <v>9.3922404915174053E-12</v>
      </c>
      <c r="BH155" s="59">
        <f t="shared" si="116"/>
        <v>293.33333333334269</v>
      </c>
      <c r="BI155" s="59">
        <f ca="1">AVERAGE(OFFSET($BH$3,0,0,'Données projet'!$E$11+1,1))-AVERAGE(OFFSET($H$3,0,0,'Données projet'!$E$11+1,1))</f>
        <v>209.93608079129638</v>
      </c>
      <c r="BJ155" s="59">
        <f t="shared" si="146"/>
        <v>240.15652428700969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0.62070847598972068</v>
      </c>
      <c r="BQ155" s="21">
        <f>EXP(-LN(2)/25)*BQ154+(1-EXP(-LN(2)/25))/(LN(2)/25)*Calculateur!BL155*Calculateur!BN155*VLOOKUP('Données projet'!$B$11,Paramètres!$A$1:$I$89,3,0)*0.475*44/12</f>
        <v>0.70596702625425056</v>
      </c>
      <c r="BR155" s="21">
        <f>EXP(-LN(2)/2)*BR154+(1-EXP(-LN(2)/2))/(LN(2)/2)*BL155*BO155*VLOOKUP('Données projet'!$B$11,Paramètres!$A$1:$I$89,3,0)*0.475*44/12</f>
        <v>8.7563704133527681E-18</v>
      </c>
      <c r="BS155" s="22">
        <f t="shared" si="169"/>
        <v>1.3266755022439711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215.23235148064941</v>
      </c>
      <c r="CE155" s="59">
        <f t="shared" si="148"/>
        <v>184.07239726900434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0.27981759779215193</v>
      </c>
      <c r="CL155" s="21">
        <f>EXP(-LN(2)/25)*CL154+(1-EXP(-LN(2)/25))/(LN(2)/25)*Calculateur!CG155*Calculateur!CI155*VLOOKUP('Données projet'!$B$12,Paramètres!$A$1:$I$89,3,0)*0.475*44/12</f>
        <v>0.26677521796297438</v>
      </c>
      <c r="CM155" s="21">
        <f>EXP(-LN(2)/2)*CM154+(1-EXP(-LN(2)/2))/(LN(2)/2)*CG155*CJ155*VLOOKUP('Données projet'!$B$12,Paramètres!$A$1:$I$89,3,0)*0.475*44/12</f>
        <v>4.264026840079118E-18</v>
      </c>
      <c r="CN155" s="22">
        <f t="shared" si="172"/>
        <v>0.5465928157551263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-1.1527845344971866E-13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279.20364724206644</v>
      </c>
      <c r="CZ155" s="59">
        <f t="shared" si="150"/>
        <v>173.99850582760712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0.11820933946023277</v>
      </c>
      <c r="DH155" s="21">
        <f>EXP(-LN(2)/2)*DH154+(1-EXP(-LN(2)/2))/(LN(2)/2)*DB155*DE155*VLOOKUP('Données projet'!$B$13,Paramètres!$A$1:$I$89,3,0)*0.475*44/12</f>
        <v>3.0081571403626669E-18</v>
      </c>
      <c r="DI155" s="22">
        <f t="shared" si="175"/>
        <v>0.11820933946023277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-1.1882548278663309E-13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291.18074901939718</v>
      </c>
      <c r="DU155" s="59">
        <f t="shared" si="152"/>
        <v>181.05123751753774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0.12184654990516304</v>
      </c>
      <c r="EC155" s="21">
        <f>EXP(-LN(2)/2)*EC154+(1-EXP(-LN(2)/2))/(LN(2)/2)*DW155*DZ155*VLOOKUP('Données projet'!$B$14,Paramètres!$A$1:$I$89,3,0)*0.475*44/12</f>
        <v>3.1007158216045982E-18</v>
      </c>
      <c r="ED155" s="22">
        <f t="shared" si="178"/>
        <v>0.12184654990516304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168.08890945052406</v>
      </c>
      <c r="EP155" s="59">
        <f t="shared" si="154"/>
        <v>182.52462557642343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0.554555940199291</v>
      </c>
      <c r="EW155" s="21">
        <f>EXP(-LN(2)/25)*EW154+(1-EXP(-LN(2)/25))/(LN(2)/25)*Calculateur!ER155*Calculateur!ET155*VLOOKUP('Données projet'!$B$15,Paramètres!$A$1:$I$89,3,0)*0.475*44/12</f>
        <v>0.41876248840325675</v>
      </c>
      <c r="EX155" s="21">
        <f>EXP(-LN(2)/2)*EX154+(1-EXP(-LN(2)/2))/(LN(2)/2)*ER155*EU155*VLOOKUP('Données projet'!$B$15,Paramètres!$A$1:$I$89,3,0)*0.475*44/12</f>
        <v>2.3616926010635842E-18</v>
      </c>
      <c r="EY155" s="22">
        <f t="shared" si="181"/>
        <v>0.9733184286025478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3.813056537183002E-14</v>
      </c>
      <c r="FG155" s="13">
        <f t="shared" si="182"/>
        <v>6.4086286045526829E-13</v>
      </c>
      <c r="FH155" s="20">
        <f t="shared" si="183"/>
        <v>1.1825802166488628E-12</v>
      </c>
      <c r="FI155" s="59">
        <f t="shared" si="131"/>
        <v>293.33333333333451</v>
      </c>
      <c r="FJ155" s="59">
        <f ca="1">AVERAGE(OFFSET($FI$3,0,0,'Données projet'!$E$16+1,1))-AVERAGE(OFFSET($H$3,0,0,'Données projet'!$E$16+1,1))</f>
        <v>156.63226020379989</v>
      </c>
      <c r="FK155" s="59">
        <f t="shared" si="156"/>
        <v>196.0481096619543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0.29443588716503272</v>
      </c>
      <c r="FS155" s="21">
        <f>EXP(-LN(2)/2)*FS154+(1-EXP(-LN(2)/2))/(LN(2)/2)*FM155*FP155*VLOOKUP('Données projet'!$B$16,Paramètres!$A$1:$I$89,3,0)*0.475*44/12</f>
        <v>3.9349907022598865E-18</v>
      </c>
      <c r="FT155" s="22">
        <f t="shared" si="184"/>
        <v>0.29443588716503272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-4.5474735088646412E-13</v>
      </c>
      <c r="GA155" s="17">
        <f>FZ155*VLOOKUP('Données projet'!$B$17,Paramètres!$A$1:$I$89,3,0)*VLOOKUP('Données projet'!$B$17,Paramètres!$A$1:$I$89,5,0)</f>
        <v>-2.7193891583010558E-13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216.94426559495264</v>
      </c>
      <c r="GF155" s="59">
        <f t="shared" si="158"/>
        <v>225.33715877618704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0.4363669581119084</v>
      </c>
      <c r="GN155" s="21">
        <f>EXP(-LN(2)/2)*GN154+(1-EXP(-LN(2)/2))/(LN(2)/2)*GH155*GK155*VLOOKUP('Données projet'!$B$17,Paramètres!$A$1:$I$89,3,0)*0.475*44/12</f>
        <v>1.0290969410753954E-17</v>
      </c>
      <c r="GO155" s="21">
        <f t="shared" si="187"/>
        <v>0.4363669581119084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-1.1368683772161603E-13</v>
      </c>
      <c r="GV155" s="17">
        <f>GU155*VLOOKUP('Données projet'!$B$18,Paramètres!$A$1:$I$89,3,0)*VLOOKUP('Données projet'!$B$18,Paramètres!$A$1:$I$89,5,0)</f>
        <v>-1.0995790944434703E-13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261.22357949323879</v>
      </c>
      <c r="HA155" s="59">
        <f t="shared" si="160"/>
        <v>163.41029152029387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0.1127535237928374</v>
      </c>
      <c r="HI155" s="21">
        <f>EXP(-LN(2)/2)*HI154+(1-EXP(-LN(2)/2))/(LN(2)/2)*HC155*HF155*VLOOKUP('Données projet'!$B$18,Paramètres!$A$1:$I$89,3,0)*0.475*44/12</f>
        <v>2.8693191184997745E-18</v>
      </c>
      <c r="HJ155" s="22">
        <f t="shared" si="190"/>
        <v>0.1127535237928374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237.22177246688199</v>
      </c>
      <c r="T156" s="59">
        <f t="shared" si="142"/>
        <v>149.27472147904302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227.99999999999986</v>
      </c>
      <c r="AJ156" s="13">
        <f>AI156*VLOOKUP('Données projet'!$B$10,Paramètres!$A$1:$I$89,3,0)*VLOOKUP('Données projet'!$B$10,Paramètres!$A$1:$I$89,5,0)</f>
        <v>199.18079999999992</v>
      </c>
      <c r="AK156" s="13">
        <f t="shared" si="164"/>
        <v>49.564089376413683</v>
      </c>
      <c r="AL156" s="20">
        <f t="shared" si="165"/>
        <v>433.23068233058694</v>
      </c>
      <c r="AM156" s="59">
        <f t="shared" si="113"/>
        <v>726.56401566392026</v>
      </c>
      <c r="AN156" s="59">
        <f ca="1">AVERAGE(OFFSET($AM$3,0,0,'Données projet'!$E$10+1,1))-AVERAGE(OFFSET($H$3,0,0,'Données projet'!$E$10+1,1))</f>
        <v>210.07838338464626</v>
      </c>
      <c r="AO156" s="59">
        <f t="shared" si="144"/>
        <v>241.76003724236273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0.46386147648589815</v>
      </c>
      <c r="AV156" s="21">
        <f>EXP(-LN(2)/25)*AV155+(1-EXP(-LN(2)/25))/(LN(2)/25)*Calculateur!AQ156*Calculateur!AS156*VLOOKUP('Données projet'!$B$10,Paramètres!$A$1:$I$89,3,0)*0.475*44/12</f>
        <v>0.44790832037609263</v>
      </c>
      <c r="AW156" s="21">
        <f>EXP(-LN(2)/2)*AW155+(1-EXP(-LN(2)/2))/(LN(2)/2)*AQ156*AT156*VLOOKUP('Données projet'!$B$10,Paramètres!$A$1:$I$89,3,0)*0.475*44/12</f>
        <v>4.8977759992418226E-18</v>
      </c>
      <c r="AX156" s="21">
        <f t="shared" si="166"/>
        <v>0.91176979686199078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3.9017322706058616E-13</v>
      </c>
      <c r="BF156" s="13">
        <f t="shared" si="167"/>
        <v>5.0025007393608908E-12</v>
      </c>
      <c r="BG156" s="20">
        <f t="shared" si="168"/>
        <v>9.3922404915174053E-12</v>
      </c>
      <c r="BH156" s="59">
        <f t="shared" si="116"/>
        <v>293.33333333334269</v>
      </c>
      <c r="BI156" s="59">
        <f ca="1">AVERAGE(OFFSET($BH$3,0,0,'Données projet'!$E$11+1,1))-AVERAGE(OFFSET($H$3,0,0,'Données projet'!$E$11+1,1))</f>
        <v>209.93608079129638</v>
      </c>
      <c r="BJ156" s="59">
        <f t="shared" si="146"/>
        <v>240.15652428700969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0.60853676137034951</v>
      </c>
      <c r="BQ156" s="21">
        <f>EXP(-LN(2)/25)*BQ155+(1-EXP(-LN(2)/25))/(LN(2)/25)*Calculateur!BL156*Calculateur!BN156*VLOOKUP('Données projet'!$B$11,Paramètres!$A$1:$I$89,3,0)*0.475*44/12</f>
        <v>0.68666232079613565</v>
      </c>
      <c r="BR156" s="21">
        <f>EXP(-LN(2)/2)*BR155+(1-EXP(-LN(2)/2))/(LN(2)/2)*BL156*BO156*VLOOKUP('Données projet'!$B$11,Paramètres!$A$1:$I$89,3,0)*0.475*44/12</f>
        <v>6.1916888978629946E-18</v>
      </c>
      <c r="BS156" s="22">
        <f t="shared" si="169"/>
        <v>1.2951990821664852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215.23235148064941</v>
      </c>
      <c r="CE156" s="59">
        <f t="shared" si="148"/>
        <v>184.07239726900434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0.27433054537133006</v>
      </c>
      <c r="CL156" s="21">
        <f>EXP(-LN(2)/25)*CL155+(1-EXP(-LN(2)/25))/(LN(2)/25)*Calculateur!CG156*Calculateur!CI156*VLOOKUP('Données projet'!$B$12,Paramètres!$A$1:$I$89,3,0)*0.475*44/12</f>
        <v>0.25948023559867783</v>
      </c>
      <c r="CM156" s="21">
        <f>EXP(-LN(2)/2)*CM155+(1-EXP(-LN(2)/2))/(LN(2)/2)*CG156*CJ156*VLOOKUP('Données projet'!$B$12,Paramètres!$A$1:$I$89,3,0)*0.475*44/12</f>
        <v>3.0151222937813906E-18</v>
      </c>
      <c r="CN156" s="22">
        <f t="shared" si="172"/>
        <v>0.53381078097000789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-1.1527845344971866E-13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279.20364724206644</v>
      </c>
      <c r="CZ156" s="59">
        <f t="shared" si="150"/>
        <v>173.99850582760712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0.11497689885633371</v>
      </c>
      <c r="DH156" s="21">
        <f>EXP(-LN(2)/2)*DH155+(1-EXP(-LN(2)/2))/(LN(2)/2)*DB156*DE156*VLOOKUP('Données projet'!$B$13,Paramètres!$A$1:$I$89,3,0)*0.475*44/12</f>
        <v>2.1270883128251748E-18</v>
      </c>
      <c r="DI156" s="22">
        <f t="shared" si="175"/>
        <v>0.11497689885633371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-1.1882548278663309E-13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291.18074901939718</v>
      </c>
      <c r="DU156" s="59">
        <f t="shared" si="152"/>
        <v>181.05123751753774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0.11851464959037478</v>
      </c>
      <c r="EC156" s="21">
        <f>EXP(-LN(2)/2)*EC155+(1-EXP(-LN(2)/2))/(LN(2)/2)*DW156*DZ156*VLOOKUP('Données projet'!$B$14,Paramètres!$A$1:$I$89,3,0)*0.475*44/12</f>
        <v>2.1925371839890285E-18</v>
      </c>
      <c r="ED156" s="22">
        <f t="shared" si="178"/>
        <v>0.11851464959037478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168.08890945052406</v>
      </c>
      <c r="EP156" s="59">
        <f t="shared" si="154"/>
        <v>182.52462557642343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0.54368143645770739</v>
      </c>
      <c r="EW156" s="21">
        <f>EXP(-LN(2)/25)*EW155+(1-EXP(-LN(2)/25))/(LN(2)/25)*Calculateur!ER156*Calculateur!ET156*VLOOKUP('Données projet'!$B$15,Paramètres!$A$1:$I$89,3,0)*0.475*44/12</f>
        <v>0.4073114061361075</v>
      </c>
      <c r="EX156" s="21">
        <f>EXP(-LN(2)/2)*EX155+(1-EXP(-LN(2)/2))/(LN(2)/2)*ER156*EU156*VLOOKUP('Données projet'!$B$15,Paramètres!$A$1:$I$89,3,0)*0.475*44/12</f>
        <v>1.6699688532901561E-18</v>
      </c>
      <c r="EY156" s="22">
        <f t="shared" si="181"/>
        <v>0.95099284259381489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3.813056537183002E-14</v>
      </c>
      <c r="FG156" s="13">
        <f t="shared" si="182"/>
        <v>6.4086286045526829E-13</v>
      </c>
      <c r="FH156" s="20">
        <f t="shared" si="183"/>
        <v>1.1825802166488628E-12</v>
      </c>
      <c r="FI156" s="59">
        <f t="shared" si="131"/>
        <v>293.33333333333451</v>
      </c>
      <c r="FJ156" s="59">
        <f ca="1">AVERAGE(OFFSET($FI$3,0,0,'Données projet'!$E$16+1,1))-AVERAGE(OFFSET($H$3,0,0,'Données projet'!$E$16+1,1))</f>
        <v>156.63226020379989</v>
      </c>
      <c r="FK156" s="59">
        <f t="shared" si="156"/>
        <v>196.0481096619543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0.28638452234679451</v>
      </c>
      <c r="FS156" s="21">
        <f>EXP(-LN(2)/2)*FS155+(1-EXP(-LN(2)/2))/(LN(2)/2)*FM156*FP156*VLOOKUP('Données projet'!$B$16,Paramètres!$A$1:$I$89,3,0)*0.475*44/12</f>
        <v>2.7824586094739806E-18</v>
      </c>
      <c r="FT156" s="22">
        <f t="shared" si="184"/>
        <v>0.28638452234679451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-4.5474735088646412E-13</v>
      </c>
      <c r="GA156" s="17">
        <f>FZ156*VLOOKUP('Données projet'!$B$17,Paramètres!$A$1:$I$89,3,0)*VLOOKUP('Données projet'!$B$17,Paramètres!$A$1:$I$89,5,0)</f>
        <v>-2.7193891583010558E-13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216.94426559495264</v>
      </c>
      <c r="GF156" s="59">
        <f t="shared" si="158"/>
        <v>225.33715877618704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0.42443448069479728</v>
      </c>
      <c r="GN156" s="21">
        <f>EXP(-LN(2)/2)*GN155+(1-EXP(-LN(2)/2))/(LN(2)/2)*GH156*GK156*VLOOKUP('Données projet'!$B$17,Paramètres!$A$1:$I$89,3,0)*0.475*44/12</f>
        <v>7.2768142553274497E-18</v>
      </c>
      <c r="GO156" s="21">
        <f t="shared" si="187"/>
        <v>0.42443448069479728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-1.1368683772161603E-13</v>
      </c>
      <c r="GV156" s="17">
        <f>GU156*VLOOKUP('Données projet'!$B$18,Paramètres!$A$1:$I$89,3,0)*VLOOKUP('Données projet'!$B$18,Paramètres!$A$1:$I$89,5,0)</f>
        <v>-1.0995790944434703E-13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261.22357949323879</v>
      </c>
      <c r="HA156" s="59">
        <f t="shared" si="160"/>
        <v>163.41029152029387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0.10967027275527215</v>
      </c>
      <c r="HI156" s="21">
        <f>EXP(-LN(2)/2)*HI155+(1-EXP(-LN(2)/2))/(LN(2)/2)*HC156*HF156*VLOOKUP('Données projet'!$B$18,Paramètres!$A$1:$I$89,3,0)*0.475*44/12</f>
        <v>2.0289150060793974E-18</v>
      </c>
      <c r="HJ156" s="22">
        <f t="shared" si="190"/>
        <v>0.10967027275527215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237.22177246688199</v>
      </c>
      <c r="T157" s="59">
        <f t="shared" si="142"/>
        <v>149.27472147904302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227.99999999999986</v>
      </c>
      <c r="AJ157" s="13">
        <f>AI157*VLOOKUP('Données projet'!$B$10,Paramètres!$A$1:$I$89,3,0)*VLOOKUP('Données projet'!$B$10,Paramètres!$A$1:$I$89,5,0)</f>
        <v>199.18079999999992</v>
      </c>
      <c r="AK157" s="13">
        <f t="shared" si="164"/>
        <v>49.564089376413683</v>
      </c>
      <c r="AL157" s="20">
        <f t="shared" si="165"/>
        <v>433.23068233058694</v>
      </c>
      <c r="AM157" s="59">
        <f t="shared" si="113"/>
        <v>726.56401566392026</v>
      </c>
      <c r="AN157" s="59">
        <f ca="1">AVERAGE(OFFSET($AM$3,0,0,'Données projet'!$E$10+1,1))-AVERAGE(OFFSET($H$3,0,0,'Données projet'!$E$10+1,1))</f>
        <v>210.07838338464626</v>
      </c>
      <c r="AO157" s="59">
        <f t="shared" si="144"/>
        <v>241.76003724236273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0.45476543585957357</v>
      </c>
      <c r="AV157" s="21">
        <f>EXP(-LN(2)/25)*AV156+(1-EXP(-LN(2)/25))/(LN(2)/25)*Calculateur!AQ157*Calculateur!AS157*VLOOKUP('Données projet'!$B$10,Paramètres!$A$1:$I$89,3,0)*0.475*44/12</f>
        <v>0.43566024380093349</v>
      </c>
      <c r="AW157" s="21">
        <f>EXP(-LN(2)/2)*AW156+(1-EXP(-LN(2)/2))/(LN(2)/2)*AQ157*AT157*VLOOKUP('Données projet'!$B$10,Paramètres!$A$1:$I$89,3,0)*0.475*44/12</f>
        <v>3.4632506217966118E-18</v>
      </c>
      <c r="AX157" s="21">
        <f t="shared" si="166"/>
        <v>0.89042567966050701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3.9017322706058616E-13</v>
      </c>
      <c r="BF157" s="13">
        <f t="shared" si="167"/>
        <v>5.0025007393608908E-12</v>
      </c>
      <c r="BG157" s="20">
        <f t="shared" si="168"/>
        <v>9.3922404915174053E-12</v>
      </c>
      <c r="BH157" s="59">
        <f t="shared" si="116"/>
        <v>293.33333333334269</v>
      </c>
      <c r="BI157" s="59">
        <f ca="1">AVERAGE(OFFSET($BH$3,0,0,'Données projet'!$E$11+1,1))-AVERAGE(OFFSET($H$3,0,0,'Données projet'!$E$11+1,1))</f>
        <v>209.93608079129638</v>
      </c>
      <c r="BJ157" s="59">
        <f t="shared" si="146"/>
        <v>240.15652428700969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0.59660372665065131</v>
      </c>
      <c r="BQ157" s="21">
        <f>EXP(-LN(2)/25)*BQ156+(1-EXP(-LN(2)/25))/(LN(2)/25)*Calculateur!BL157*Calculateur!BN157*VLOOKUP('Données projet'!$B$11,Paramètres!$A$1:$I$89,3,0)*0.475*44/12</f>
        <v>0.66788550352396325</v>
      </c>
      <c r="BR157" s="21">
        <f>EXP(-LN(2)/2)*BR156+(1-EXP(-LN(2)/2))/(LN(2)/2)*BL157*BO157*VLOOKUP('Données projet'!$B$11,Paramètres!$A$1:$I$89,3,0)*0.475*44/12</f>
        <v>4.3781852066763841E-18</v>
      </c>
      <c r="BS157" s="22">
        <f t="shared" si="169"/>
        <v>1.2644892301746147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215.23235148064941</v>
      </c>
      <c r="CE157" s="59">
        <f t="shared" si="148"/>
        <v>184.07239726900434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0.26895109070170897</v>
      </c>
      <c r="CL157" s="21">
        <f>EXP(-LN(2)/25)*CL156+(1-EXP(-LN(2)/25))/(LN(2)/25)*Calculateur!CG157*Calculateur!CI157*VLOOKUP('Données projet'!$B$12,Paramètres!$A$1:$I$89,3,0)*0.475*44/12</f>
        <v>0.25238473491075947</v>
      </c>
      <c r="CM157" s="21">
        <f>EXP(-LN(2)/2)*CM156+(1-EXP(-LN(2)/2))/(LN(2)/2)*CG157*CJ157*VLOOKUP('Données projet'!$B$12,Paramètres!$A$1:$I$89,3,0)*0.475*44/12</f>
        <v>2.132013420039559E-18</v>
      </c>
      <c r="CN157" s="22">
        <f t="shared" si="172"/>
        <v>0.5213358256124685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-1.1527845344971866E-13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279.20364724206644</v>
      </c>
      <c r="CZ157" s="59">
        <f t="shared" si="150"/>
        <v>173.99850582760712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0.11183284951073494</v>
      </c>
      <c r="DH157" s="21">
        <f>EXP(-LN(2)/2)*DH156+(1-EXP(-LN(2)/2))/(LN(2)/2)*DB157*DE157*VLOOKUP('Données projet'!$B$13,Paramètres!$A$1:$I$89,3,0)*0.475*44/12</f>
        <v>1.5040785701813335E-18</v>
      </c>
      <c r="DI157" s="22">
        <f t="shared" si="175"/>
        <v>0.11183284951073494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-1.1882548278663309E-13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291.18074901939718</v>
      </c>
      <c r="DU157" s="59">
        <f t="shared" si="152"/>
        <v>181.05123751753774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0.11527386026491143</v>
      </c>
      <c r="EC157" s="21">
        <f>EXP(-LN(2)/2)*EC156+(1-EXP(-LN(2)/2))/(LN(2)/2)*DW157*DZ157*VLOOKUP('Données projet'!$B$14,Paramètres!$A$1:$I$89,3,0)*0.475*44/12</f>
        <v>1.5503579108022991E-18</v>
      </c>
      <c r="ED157" s="22">
        <f t="shared" si="178"/>
        <v>0.11527386026491143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168.08890945052406</v>
      </c>
      <c r="EP157" s="59">
        <f t="shared" si="154"/>
        <v>182.52462557642343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0.53302017510170396</v>
      </c>
      <c r="EW157" s="21">
        <f>EXP(-LN(2)/25)*EW156+(1-EXP(-LN(2)/25))/(LN(2)/25)*Calculateur!ER157*Calculateur!ET157*VLOOKUP('Données projet'!$B$15,Paramètres!$A$1:$I$89,3,0)*0.475*44/12</f>
        <v>0.39617345431573969</v>
      </c>
      <c r="EX157" s="21">
        <f>EXP(-LN(2)/2)*EX156+(1-EXP(-LN(2)/2))/(LN(2)/2)*ER157*EU157*VLOOKUP('Données projet'!$B$15,Paramètres!$A$1:$I$89,3,0)*0.475*44/12</f>
        <v>1.1808463005317921E-18</v>
      </c>
      <c r="EY157" s="22">
        <f t="shared" si="181"/>
        <v>0.92919362941744366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3.813056537183002E-14</v>
      </c>
      <c r="FG157" s="13">
        <f t="shared" si="182"/>
        <v>6.4086286045526829E-13</v>
      </c>
      <c r="FH157" s="20">
        <f t="shared" si="183"/>
        <v>1.1825802166488628E-12</v>
      </c>
      <c r="FI157" s="59">
        <f t="shared" si="131"/>
        <v>293.33333333333451</v>
      </c>
      <c r="FJ157" s="59">
        <f ca="1">AVERAGE(OFFSET($FI$3,0,0,'Données projet'!$E$16+1,1))-AVERAGE(OFFSET($H$3,0,0,'Données projet'!$E$16+1,1))</f>
        <v>156.63226020379989</v>
      </c>
      <c r="FK157" s="59">
        <f t="shared" si="156"/>
        <v>196.0481096619543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0.27855332252291393</v>
      </c>
      <c r="FS157" s="21">
        <f>EXP(-LN(2)/2)*FS156+(1-EXP(-LN(2)/2))/(LN(2)/2)*FM157*FP157*VLOOKUP('Données projet'!$B$16,Paramètres!$A$1:$I$89,3,0)*0.475*44/12</f>
        <v>1.9674953511299433E-18</v>
      </c>
      <c r="FT157" s="22">
        <f t="shared" si="184"/>
        <v>0.27855332252291393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-4.5474735088646412E-13</v>
      </c>
      <c r="GA157" s="17">
        <f>FZ157*VLOOKUP('Données projet'!$B$17,Paramètres!$A$1:$I$89,3,0)*VLOOKUP('Données projet'!$B$17,Paramètres!$A$1:$I$89,5,0)</f>
        <v>-2.7193891583010558E-13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216.94426559495264</v>
      </c>
      <c r="GF157" s="59">
        <f t="shared" si="158"/>
        <v>225.33715877618704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0.41282829750015876</v>
      </c>
      <c r="GN157" s="21">
        <f>EXP(-LN(2)/2)*GN156+(1-EXP(-LN(2)/2))/(LN(2)/2)*GH157*GK157*VLOOKUP('Données projet'!$B$17,Paramètres!$A$1:$I$89,3,0)*0.475*44/12</f>
        <v>5.1454847053769769E-18</v>
      </c>
      <c r="GO157" s="21">
        <f t="shared" si="187"/>
        <v>0.41282829750015876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-1.1368683772161603E-13</v>
      </c>
      <c r="GV157" s="17">
        <f>GU157*VLOOKUP('Données projet'!$B$18,Paramètres!$A$1:$I$89,3,0)*VLOOKUP('Données projet'!$B$18,Paramètres!$A$1:$I$89,5,0)</f>
        <v>-1.0995790944434703E-13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261.22357949323879</v>
      </c>
      <c r="HA157" s="59">
        <f t="shared" si="160"/>
        <v>163.41029152029387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0.10667133337947024</v>
      </c>
      <c r="HI157" s="21">
        <f>EXP(-LN(2)/2)*HI156+(1-EXP(-LN(2)/2))/(LN(2)/2)*HC157*HF157*VLOOKUP('Données projet'!$B$18,Paramètres!$A$1:$I$89,3,0)*0.475*44/12</f>
        <v>1.4346595592498873E-18</v>
      </c>
      <c r="HJ157" s="22">
        <f t="shared" si="190"/>
        <v>0.10667133337947024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237.22177246688199</v>
      </c>
      <c r="T158" s="59">
        <f t="shared" si="142"/>
        <v>149.27472147904302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227.99999999999986</v>
      </c>
      <c r="AJ158" s="13">
        <f>AI158*VLOOKUP('Données projet'!$B$10,Paramètres!$A$1:$I$89,3,0)*VLOOKUP('Données projet'!$B$10,Paramètres!$A$1:$I$89,5,0)</f>
        <v>199.18079999999992</v>
      </c>
      <c r="AK158" s="13">
        <f t="shared" si="164"/>
        <v>49.564089376413683</v>
      </c>
      <c r="AL158" s="20">
        <f t="shared" si="165"/>
        <v>433.23068233058694</v>
      </c>
      <c r="AM158" s="59">
        <f t="shared" si="113"/>
        <v>726.56401566392026</v>
      </c>
      <c r="AN158" s="59">
        <f ca="1">AVERAGE(OFFSET($AM$3,0,0,'Données projet'!$E$10+1,1))-AVERAGE(OFFSET($H$3,0,0,'Données projet'!$E$10+1,1))</f>
        <v>210.07838338464626</v>
      </c>
      <c r="AO158" s="59">
        <f t="shared" si="144"/>
        <v>241.76003724236273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0.44584776304189427</v>
      </c>
      <c r="AV158" s="21">
        <f>EXP(-LN(2)/25)*AV157+(1-EXP(-LN(2)/25))/(LN(2)/25)*Calculateur!AQ158*Calculateur!AS158*VLOOKUP('Données projet'!$B$10,Paramètres!$A$1:$I$89,3,0)*0.475*44/12</f>
        <v>0.42374709152382045</v>
      </c>
      <c r="AW158" s="21">
        <f>EXP(-LN(2)/2)*AW157+(1-EXP(-LN(2)/2))/(LN(2)/2)*AQ158*AT158*VLOOKUP('Données projet'!$B$10,Paramètres!$A$1:$I$89,3,0)*0.475*44/12</f>
        <v>2.4488879996209117E-18</v>
      </c>
      <c r="AX158" s="21">
        <f t="shared" si="166"/>
        <v>0.86959485456571473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3.9017322706058616E-13</v>
      </c>
      <c r="BF158" s="13">
        <f t="shared" si="167"/>
        <v>5.0025007393608908E-12</v>
      </c>
      <c r="BG158" s="20">
        <f t="shared" si="168"/>
        <v>9.3922404915174053E-12</v>
      </c>
      <c r="BH158" s="59">
        <f t="shared" si="116"/>
        <v>293.33333333334269</v>
      </c>
      <c r="BI158" s="59">
        <f ca="1">AVERAGE(OFFSET($BH$3,0,0,'Données projet'!$E$11+1,1))-AVERAGE(OFFSET($H$3,0,0,'Données projet'!$E$11+1,1))</f>
        <v>209.93608079129638</v>
      </c>
      <c r="BJ158" s="59">
        <f t="shared" si="146"/>
        <v>240.15652428700969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0.58490469146337387</v>
      </c>
      <c r="BQ158" s="21">
        <f>EXP(-LN(2)/25)*BQ157+(1-EXP(-LN(2)/25))/(LN(2)/25)*Calculateur!BL158*Calculateur!BN158*VLOOKUP('Données projet'!$B$11,Paramètres!$A$1:$I$89,3,0)*0.475*44/12</f>
        <v>0.64962213930752832</v>
      </c>
      <c r="BR158" s="21">
        <f>EXP(-LN(2)/2)*BR157+(1-EXP(-LN(2)/2))/(LN(2)/2)*BL158*BO158*VLOOKUP('Données projet'!$B$11,Paramètres!$A$1:$I$89,3,0)*0.475*44/12</f>
        <v>3.0958444489314973E-18</v>
      </c>
      <c r="BS158" s="22">
        <f t="shared" si="169"/>
        <v>1.2345268307709021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215.23235148064941</v>
      </c>
      <c r="CE158" s="59">
        <f t="shared" si="148"/>
        <v>184.07239726900434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0.2636771238570158</v>
      </c>
      <c r="CL158" s="21">
        <f>EXP(-LN(2)/25)*CL157+(1-EXP(-LN(2)/25))/(LN(2)/25)*Calculateur!CG158*Calculateur!CI158*VLOOKUP('Données projet'!$B$12,Paramètres!$A$1:$I$89,3,0)*0.475*44/12</f>
        <v>0.24548326106228838</v>
      </c>
      <c r="CM158" s="21">
        <f>EXP(-LN(2)/2)*CM157+(1-EXP(-LN(2)/2))/(LN(2)/2)*CG158*CJ158*VLOOKUP('Données projet'!$B$12,Paramètres!$A$1:$I$89,3,0)*0.475*44/12</f>
        <v>1.5075611468906953E-18</v>
      </c>
      <c r="CN158" s="22">
        <f t="shared" si="172"/>
        <v>0.50916038491930415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-1.1527845344971866E-13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279.20364724206644</v>
      </c>
      <c r="CZ158" s="59">
        <f t="shared" si="150"/>
        <v>173.99850582760712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0.10877477435982993</v>
      </c>
      <c r="DH158" s="21">
        <f>EXP(-LN(2)/2)*DH157+(1-EXP(-LN(2)/2))/(LN(2)/2)*DB158*DE158*VLOOKUP('Données projet'!$B$13,Paramètres!$A$1:$I$89,3,0)*0.475*44/12</f>
        <v>1.0635441564125874E-18</v>
      </c>
      <c r="DI158" s="22">
        <f t="shared" si="175"/>
        <v>0.10877477435982993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-1.1882548278663309E-13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291.18074901939718</v>
      </c>
      <c r="DU158" s="59">
        <f t="shared" si="152"/>
        <v>181.05123751753774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0.11212169049397858</v>
      </c>
      <c r="EC158" s="21">
        <f>EXP(-LN(2)/2)*EC157+(1-EXP(-LN(2)/2))/(LN(2)/2)*DW158*DZ158*VLOOKUP('Données projet'!$B$14,Paramètres!$A$1:$I$89,3,0)*0.475*44/12</f>
        <v>1.0962685919945142E-18</v>
      </c>
      <c r="ED158" s="22">
        <f t="shared" si="178"/>
        <v>0.11212169049397858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168.08890945052406</v>
      </c>
      <c r="EP158" s="59">
        <f t="shared" si="154"/>
        <v>182.52462557642343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0.5225679745781644</v>
      </c>
      <c r="EW158" s="21">
        <f>EXP(-LN(2)/25)*EW157+(1-EXP(-LN(2)/25))/(LN(2)/25)*Calculateur!ER158*Calculateur!ET158*VLOOKUP('Données projet'!$B$15,Paramètres!$A$1:$I$89,3,0)*0.475*44/12</f>
        <v>0.38534007037361928</v>
      </c>
      <c r="EX158" s="21">
        <f>EXP(-LN(2)/2)*EX157+(1-EXP(-LN(2)/2))/(LN(2)/2)*ER158*EU158*VLOOKUP('Données projet'!$B$15,Paramètres!$A$1:$I$89,3,0)*0.475*44/12</f>
        <v>8.3498442664507805E-19</v>
      </c>
      <c r="EY158" s="22">
        <f t="shared" si="181"/>
        <v>0.90790804495178368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3.813056537183002E-14</v>
      </c>
      <c r="FG158" s="13">
        <f t="shared" si="182"/>
        <v>6.4086286045526829E-13</v>
      </c>
      <c r="FH158" s="20">
        <f t="shared" si="183"/>
        <v>1.1825802166488628E-12</v>
      </c>
      <c r="FI158" s="59">
        <f t="shared" si="131"/>
        <v>293.33333333333451</v>
      </c>
      <c r="FJ158" s="59">
        <f ca="1">AVERAGE(OFFSET($FI$3,0,0,'Données projet'!$E$16+1,1))-AVERAGE(OFFSET($H$3,0,0,'Données projet'!$E$16+1,1))</f>
        <v>156.63226020379989</v>
      </c>
      <c r="FK158" s="59">
        <f t="shared" si="156"/>
        <v>196.0481096619543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0.27093626727004227</v>
      </c>
      <c r="FS158" s="21">
        <f>EXP(-LN(2)/2)*FS157+(1-EXP(-LN(2)/2))/(LN(2)/2)*FM158*FP158*VLOOKUP('Données projet'!$B$16,Paramètres!$A$1:$I$89,3,0)*0.475*44/12</f>
        <v>1.3912293047369903E-18</v>
      </c>
      <c r="FT158" s="22">
        <f t="shared" si="184"/>
        <v>0.27093626727004227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-4.5474735088646412E-13</v>
      </c>
      <c r="GA158" s="17">
        <f>FZ158*VLOOKUP('Données projet'!$B$17,Paramètres!$A$1:$I$89,3,0)*VLOOKUP('Données projet'!$B$17,Paramètres!$A$1:$I$89,5,0)</f>
        <v>-2.7193891583010558E-13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216.94426559495264</v>
      </c>
      <c r="GF158" s="59">
        <f t="shared" si="158"/>
        <v>225.33715877618704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0.4015394859953203</v>
      </c>
      <c r="GN158" s="21">
        <f>EXP(-LN(2)/2)*GN157+(1-EXP(-LN(2)/2))/(LN(2)/2)*GH158*GK158*VLOOKUP('Données projet'!$B$17,Paramètres!$A$1:$I$89,3,0)*0.475*44/12</f>
        <v>3.6384071276637248E-18</v>
      </c>
      <c r="GO158" s="21">
        <f t="shared" si="187"/>
        <v>0.4015394859953203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-1.1368683772161603E-13</v>
      </c>
      <c r="GV158" s="17">
        <f>GU158*VLOOKUP('Données projet'!$B$18,Paramètres!$A$1:$I$89,3,0)*VLOOKUP('Données projet'!$B$18,Paramètres!$A$1:$I$89,5,0)</f>
        <v>-1.0995790944434703E-13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261.22357949323879</v>
      </c>
      <c r="HA158" s="59">
        <f t="shared" si="160"/>
        <v>163.41029152029387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0.103754400158607</v>
      </c>
      <c r="HI158" s="21">
        <f>EXP(-LN(2)/2)*HI157+(1-EXP(-LN(2)/2))/(LN(2)/2)*HC158*HF158*VLOOKUP('Données projet'!$B$18,Paramètres!$A$1:$I$89,3,0)*0.475*44/12</f>
        <v>1.0144575030396987E-18</v>
      </c>
      <c r="HJ158" s="22">
        <f t="shared" si="190"/>
        <v>0.103754400158607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237.22177246688199</v>
      </c>
      <c r="T159" s="59">
        <f t="shared" si="142"/>
        <v>149.27472147904302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227.99999999999986</v>
      </c>
      <c r="AJ159" s="13">
        <f>AI159*VLOOKUP('Données projet'!$B$10,Paramètres!$A$1:$I$89,3,0)*VLOOKUP('Données projet'!$B$10,Paramètres!$A$1:$I$89,5,0)</f>
        <v>199.18079999999992</v>
      </c>
      <c r="AK159" s="13">
        <f t="shared" si="164"/>
        <v>49.564089376413683</v>
      </c>
      <c r="AL159" s="20">
        <f t="shared" si="165"/>
        <v>433.23068233058694</v>
      </c>
      <c r="AM159" s="59">
        <f t="shared" si="113"/>
        <v>726.56401566392026</v>
      </c>
      <c r="AN159" s="59">
        <f ca="1">AVERAGE(OFFSET($AM$3,0,0,'Données projet'!$E$10+1,1))-AVERAGE(OFFSET($H$3,0,0,'Données projet'!$E$10+1,1))</f>
        <v>210.07838338464626</v>
      </c>
      <c r="AO159" s="59">
        <f t="shared" si="144"/>
        <v>241.76003724236273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0.43710496034892632</v>
      </c>
      <c r="AV159" s="21">
        <f>EXP(-LN(2)/25)*AV158+(1-EXP(-LN(2)/25))/(LN(2)/25)*Calculateur!AQ159*Calculateur!AS159*VLOOKUP('Données projet'!$B$10,Paramètres!$A$1:$I$89,3,0)*0.475*44/12</f>
        <v>0.4121597050222105</v>
      </c>
      <c r="AW159" s="21">
        <f>EXP(-LN(2)/2)*AW158+(1-EXP(-LN(2)/2))/(LN(2)/2)*AQ159*AT159*VLOOKUP('Données projet'!$B$10,Paramètres!$A$1:$I$89,3,0)*0.475*44/12</f>
        <v>1.7316253108983063E-18</v>
      </c>
      <c r="AX159" s="21">
        <f t="shared" si="166"/>
        <v>0.84926466537113687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3.9017322706058616E-13</v>
      </c>
      <c r="BF159" s="13">
        <f t="shared" si="167"/>
        <v>5.0025007393608908E-12</v>
      </c>
      <c r="BG159" s="20">
        <f t="shared" si="168"/>
        <v>9.3922404915174053E-12</v>
      </c>
      <c r="BH159" s="59">
        <f t="shared" si="116"/>
        <v>293.33333333334269</v>
      </c>
      <c r="BI159" s="59">
        <f ca="1">AVERAGE(OFFSET($BH$3,0,0,'Données projet'!$E$11+1,1))-AVERAGE(OFFSET($H$3,0,0,'Données projet'!$E$11+1,1))</f>
        <v>209.93608079129638</v>
      </c>
      <c r="BJ159" s="59">
        <f t="shared" si="146"/>
        <v>240.15652428700969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0.57343506722041215</v>
      </c>
      <c r="BQ159" s="21">
        <f>EXP(-LN(2)/25)*BQ158+(1-EXP(-LN(2)/25))/(LN(2)/25)*Calculateur!BL159*Calculateur!BN159*VLOOKUP('Données projet'!$B$11,Paramètres!$A$1:$I$89,3,0)*0.475*44/12</f>
        <v>0.63185818774602043</v>
      </c>
      <c r="BR159" s="21">
        <f>EXP(-LN(2)/2)*BR158+(1-EXP(-LN(2)/2))/(LN(2)/2)*BL159*BO159*VLOOKUP('Données projet'!$B$11,Paramètres!$A$1:$I$89,3,0)*0.475*44/12</f>
        <v>2.189092603338192E-18</v>
      </c>
      <c r="BS159" s="22">
        <f t="shared" si="169"/>
        <v>1.2052932549664326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215.23235148064941</v>
      </c>
      <c r="CE159" s="59">
        <f t="shared" si="148"/>
        <v>184.07239726900434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0.2585065762853449</v>
      </c>
      <c r="CL159" s="21">
        <f>EXP(-LN(2)/25)*CL158+(1-EXP(-LN(2)/25))/(LN(2)/25)*Calculateur!CG159*Calculateur!CI159*VLOOKUP('Données projet'!$B$12,Paramètres!$A$1:$I$89,3,0)*0.475*44/12</f>
        <v>0.23877050837913646</v>
      </c>
      <c r="CM159" s="21">
        <f>EXP(-LN(2)/2)*CM158+(1-EXP(-LN(2)/2))/(LN(2)/2)*CG159*CJ159*VLOOKUP('Données projet'!$B$12,Paramètres!$A$1:$I$89,3,0)*0.475*44/12</f>
        <v>1.0660067100197795E-18</v>
      </c>
      <c r="CN159" s="22">
        <f t="shared" si="172"/>
        <v>0.49727708466448139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-1.1527845344971866E-13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279.20364724206644</v>
      </c>
      <c r="CZ159" s="59">
        <f t="shared" si="150"/>
        <v>173.99850582760712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0.1058003224347436</v>
      </c>
      <c r="DH159" s="21">
        <f>EXP(-LN(2)/2)*DH158+(1-EXP(-LN(2)/2))/(LN(2)/2)*DB159*DE159*VLOOKUP('Données projet'!$B$13,Paramètres!$A$1:$I$89,3,0)*0.475*44/12</f>
        <v>7.5203928509066673E-19</v>
      </c>
      <c r="DI159" s="22">
        <f t="shared" si="175"/>
        <v>0.1058003224347436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-1.1882548278663309E-13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291.18074901939718</v>
      </c>
      <c r="DU159" s="59">
        <f t="shared" si="152"/>
        <v>181.05123751753774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0.10905571697119729</v>
      </c>
      <c r="EC159" s="21">
        <f>EXP(-LN(2)/2)*EC158+(1-EXP(-LN(2)/2))/(LN(2)/2)*DW159*DZ159*VLOOKUP('Données projet'!$B$14,Paramètres!$A$1:$I$89,3,0)*0.475*44/12</f>
        <v>7.7517895540114954E-19</v>
      </c>
      <c r="ED159" s="22">
        <f t="shared" si="178"/>
        <v>0.10905571697119729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168.08890945052406</v>
      </c>
      <c r="EP159" s="59">
        <f t="shared" si="154"/>
        <v>182.52462557642343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0.51232073533167866</v>
      </c>
      <c r="EW159" s="21">
        <f>EXP(-LN(2)/25)*EW158+(1-EXP(-LN(2)/25))/(LN(2)/25)*Calculateur!ER159*Calculateur!ET159*VLOOKUP('Données projet'!$B$15,Paramètres!$A$1:$I$89,3,0)*0.475*44/12</f>
        <v>0.37480292588509906</v>
      </c>
      <c r="EX159" s="21">
        <f>EXP(-LN(2)/2)*EX158+(1-EXP(-LN(2)/2))/(LN(2)/2)*ER159*EU159*VLOOKUP('Données projet'!$B$15,Paramètres!$A$1:$I$89,3,0)*0.475*44/12</f>
        <v>5.9042315026589604E-19</v>
      </c>
      <c r="EY159" s="22">
        <f t="shared" si="181"/>
        <v>0.88712366121677766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3.813056537183002E-14</v>
      </c>
      <c r="FG159" s="13">
        <f t="shared" si="182"/>
        <v>6.4086286045526829E-13</v>
      </c>
      <c r="FH159" s="20">
        <f t="shared" si="183"/>
        <v>1.1825802166488628E-12</v>
      </c>
      <c r="FI159" s="59">
        <f t="shared" si="131"/>
        <v>293.33333333333451</v>
      </c>
      <c r="FJ159" s="59">
        <f ca="1">AVERAGE(OFFSET($FI$3,0,0,'Données projet'!$E$16+1,1))-AVERAGE(OFFSET($H$3,0,0,'Données projet'!$E$16+1,1))</f>
        <v>156.63226020379989</v>
      </c>
      <c r="FK159" s="59">
        <f t="shared" si="156"/>
        <v>196.0481096619543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0.26352750079362391</v>
      </c>
      <c r="FS159" s="21">
        <f>EXP(-LN(2)/2)*FS158+(1-EXP(-LN(2)/2))/(LN(2)/2)*FM159*FP159*VLOOKUP('Données projet'!$B$16,Paramètres!$A$1:$I$89,3,0)*0.475*44/12</f>
        <v>9.8374767556497163E-19</v>
      </c>
      <c r="FT159" s="22">
        <f t="shared" si="184"/>
        <v>0.26352750079362391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-4.5474735088646412E-13</v>
      </c>
      <c r="GA159" s="17">
        <f>FZ159*VLOOKUP('Données projet'!$B$17,Paramètres!$A$1:$I$89,3,0)*VLOOKUP('Données projet'!$B$17,Paramètres!$A$1:$I$89,5,0)</f>
        <v>-2.7193891583010558E-13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216.94426559495264</v>
      </c>
      <c r="GF159" s="59">
        <f t="shared" si="158"/>
        <v>225.33715877618704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0.39055936763473442</v>
      </c>
      <c r="GN159" s="21">
        <f>EXP(-LN(2)/2)*GN158+(1-EXP(-LN(2)/2))/(LN(2)/2)*GH159*GK159*VLOOKUP('Données projet'!$B$17,Paramètres!$A$1:$I$89,3,0)*0.475*44/12</f>
        <v>2.5727423526884884E-18</v>
      </c>
      <c r="GO159" s="21">
        <f t="shared" si="187"/>
        <v>0.39055936763473442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-1.1368683772161603E-13</v>
      </c>
      <c r="GV159" s="17">
        <f>GU159*VLOOKUP('Données projet'!$B$18,Paramètres!$A$1:$I$89,3,0)*VLOOKUP('Données projet'!$B$18,Paramètres!$A$1:$I$89,5,0)</f>
        <v>-1.0995790944434703E-13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261.22357949323879</v>
      </c>
      <c r="HA159" s="59">
        <f t="shared" si="160"/>
        <v>163.41029152029387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0.10091723063006312</v>
      </c>
      <c r="HI159" s="21">
        <f>EXP(-LN(2)/2)*HI158+(1-EXP(-LN(2)/2))/(LN(2)/2)*HC159*HF159*VLOOKUP('Données projet'!$B$18,Paramètres!$A$1:$I$89,3,0)*0.475*44/12</f>
        <v>7.1732977962494363E-19</v>
      </c>
      <c r="HJ159" s="22">
        <f t="shared" si="190"/>
        <v>0.10091723063006312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237.22177246688199</v>
      </c>
      <c r="T160" s="59">
        <f t="shared" si="142"/>
        <v>149.27472147904302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227.99999999999986</v>
      </c>
      <c r="AJ160" s="13">
        <f>AI160*VLOOKUP('Données projet'!$B$10,Paramètres!$A$1:$I$89,3,0)*VLOOKUP('Données projet'!$B$10,Paramètres!$A$1:$I$89,5,0)</f>
        <v>199.18079999999992</v>
      </c>
      <c r="AK160" s="13">
        <f t="shared" si="164"/>
        <v>49.564089376413683</v>
      </c>
      <c r="AL160" s="20">
        <f t="shared" si="165"/>
        <v>433.23068233058694</v>
      </c>
      <c r="AM160" s="59">
        <f t="shared" si="113"/>
        <v>726.56401566392026</v>
      </c>
      <c r="AN160" s="59">
        <f ca="1">AVERAGE(OFFSET($AM$3,0,0,'Données projet'!$E$10+1,1))-AVERAGE(OFFSET($H$3,0,0,'Données projet'!$E$10+1,1))</f>
        <v>210.07838338464626</v>
      </c>
      <c r="AO160" s="59">
        <f t="shared" si="144"/>
        <v>241.76003724236273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0.42853359868418434</v>
      </c>
      <c r="AV160" s="21">
        <f>EXP(-LN(2)/25)*AV159+(1-EXP(-LN(2)/25))/(LN(2)/25)*Calculateur!AQ160*Calculateur!AS160*VLOOKUP('Données projet'!$B$10,Paramètres!$A$1:$I$89,3,0)*0.475*44/12</f>
        <v>0.40088917621384129</v>
      </c>
      <c r="AW160" s="21">
        <f>EXP(-LN(2)/2)*AW159+(1-EXP(-LN(2)/2))/(LN(2)/2)*AQ160*AT160*VLOOKUP('Données projet'!$B$10,Paramètres!$A$1:$I$89,3,0)*0.475*44/12</f>
        <v>1.224443999810456E-18</v>
      </c>
      <c r="AX160" s="21">
        <f t="shared" si="166"/>
        <v>0.82942277489802563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3.9017322706058616E-13</v>
      </c>
      <c r="BF160" s="13">
        <f t="shared" si="167"/>
        <v>5.0025007393608908E-12</v>
      </c>
      <c r="BG160" s="20">
        <f t="shared" si="168"/>
        <v>9.3922404915174053E-12</v>
      </c>
      <c r="BH160" s="59">
        <f t="shared" si="116"/>
        <v>293.33333333334269</v>
      </c>
      <c r="BI160" s="59">
        <f ca="1">AVERAGE(OFFSET($BH$3,0,0,'Données projet'!$E$11+1,1))-AVERAGE(OFFSET($H$3,0,0,'Données projet'!$E$11+1,1))</f>
        <v>209.93608079129638</v>
      </c>
      <c r="BJ160" s="59">
        <f t="shared" si="146"/>
        <v>240.15652428700969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0.56219035531307482</v>
      </c>
      <c r="BQ160" s="21">
        <f>EXP(-LN(2)/25)*BQ159+(1-EXP(-LN(2)/25))/(LN(2)/25)*Calculateur!BL160*Calculateur!BN160*VLOOKUP('Données projet'!$B$11,Paramètres!$A$1:$I$89,3,0)*0.475*44/12</f>
        <v>0.61457999237412753</v>
      </c>
      <c r="BR160" s="21">
        <f>EXP(-LN(2)/2)*BR159+(1-EXP(-LN(2)/2))/(LN(2)/2)*BL160*BO160*VLOOKUP('Données projet'!$B$11,Paramètres!$A$1:$I$89,3,0)*0.475*44/12</f>
        <v>1.5479222244657486E-18</v>
      </c>
      <c r="BS160" s="22">
        <f t="shared" si="169"/>
        <v>1.1767703476872025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215.23235148064941</v>
      </c>
      <c r="CE160" s="59">
        <f t="shared" si="148"/>
        <v>184.07239726900434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0.25343741999783187</v>
      </c>
      <c r="CL160" s="21">
        <f>EXP(-LN(2)/25)*CL159+(1-EXP(-LN(2)/25))/(LN(2)/25)*Calculateur!CG160*Calculateur!CI160*VLOOKUP('Données projet'!$B$12,Paramètres!$A$1:$I$89,3,0)*0.475*44/12</f>
        <v>0.23224131627111366</v>
      </c>
      <c r="CM160" s="21">
        <f>EXP(-LN(2)/2)*CM159+(1-EXP(-LN(2)/2))/(LN(2)/2)*CG160*CJ160*VLOOKUP('Données projet'!$B$12,Paramètres!$A$1:$I$89,3,0)*0.475*44/12</f>
        <v>7.5378057344534765E-19</v>
      </c>
      <c r="CN160" s="22">
        <f t="shared" si="172"/>
        <v>0.48567873626894553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-1.1527845344971866E-13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279.20364724206644</v>
      </c>
      <c r="CZ160" s="59">
        <f t="shared" si="150"/>
        <v>173.99850582760712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0.1029072070539684</v>
      </c>
      <c r="DH160" s="21">
        <f>EXP(-LN(2)/2)*DH159+(1-EXP(-LN(2)/2))/(LN(2)/2)*DB160*DE160*VLOOKUP('Données projet'!$B$13,Paramètres!$A$1:$I$89,3,0)*0.475*44/12</f>
        <v>5.3177207820629371E-19</v>
      </c>
      <c r="DI160" s="22">
        <f t="shared" si="175"/>
        <v>0.1029072070539684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-1.1882548278663309E-13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291.18074901939718</v>
      </c>
      <c r="DU160" s="59">
        <f t="shared" si="152"/>
        <v>181.05123751753774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0.106073582655629</v>
      </c>
      <c r="EC160" s="21">
        <f>EXP(-LN(2)/2)*EC159+(1-EXP(-LN(2)/2))/(LN(2)/2)*DW160*DZ160*VLOOKUP('Données projet'!$B$14,Paramètres!$A$1:$I$89,3,0)*0.475*44/12</f>
        <v>5.4813429599725712E-19</v>
      </c>
      <c r="ED160" s="22">
        <f t="shared" si="178"/>
        <v>0.106073582655629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168.08890945052406</v>
      </c>
      <c r="EP160" s="59">
        <f t="shared" si="154"/>
        <v>182.52462557642343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0.50227443819661766</v>
      </c>
      <c r="EW160" s="21">
        <f>EXP(-LN(2)/25)*EW159+(1-EXP(-LN(2)/25))/(LN(2)/25)*Calculateur!ER160*Calculateur!ET160*VLOOKUP('Données projet'!$B$15,Paramètres!$A$1:$I$89,3,0)*0.475*44/12</f>
        <v>0.36455392016674176</v>
      </c>
      <c r="EX160" s="21">
        <f>EXP(-LN(2)/2)*EX159+(1-EXP(-LN(2)/2))/(LN(2)/2)*ER160*EU160*VLOOKUP('Données projet'!$B$15,Paramètres!$A$1:$I$89,3,0)*0.475*44/12</f>
        <v>4.1749221332253903E-19</v>
      </c>
      <c r="EY160" s="22">
        <f t="shared" si="181"/>
        <v>0.86682835836335936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3.813056537183002E-14</v>
      </c>
      <c r="FG160" s="13">
        <f t="shared" si="182"/>
        <v>6.4086286045526829E-13</v>
      </c>
      <c r="FH160" s="20">
        <f t="shared" si="183"/>
        <v>1.1825802166488628E-12</v>
      </c>
      <c r="FI160" s="59">
        <f t="shared" si="131"/>
        <v>293.33333333333451</v>
      </c>
      <c r="FJ160" s="59">
        <f ca="1">AVERAGE(OFFSET($FI$3,0,0,'Données projet'!$E$16+1,1))-AVERAGE(OFFSET($H$3,0,0,'Données projet'!$E$16+1,1))</f>
        <v>156.63226020379989</v>
      </c>
      <c r="FK160" s="59">
        <f t="shared" si="156"/>
        <v>196.0481096619543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0.2563213274261133</v>
      </c>
      <c r="FS160" s="21">
        <f>EXP(-LN(2)/2)*FS159+(1-EXP(-LN(2)/2))/(LN(2)/2)*FM160*FP160*VLOOKUP('Données projet'!$B$16,Paramètres!$A$1:$I$89,3,0)*0.475*44/12</f>
        <v>6.9561465236849514E-19</v>
      </c>
      <c r="FT160" s="22">
        <f t="shared" si="184"/>
        <v>0.2563213274261133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-4.5474735088646412E-13</v>
      </c>
      <c r="GA160" s="17">
        <f>FZ160*VLOOKUP('Données projet'!$B$17,Paramètres!$A$1:$I$89,3,0)*VLOOKUP('Données projet'!$B$17,Paramètres!$A$1:$I$89,5,0)</f>
        <v>-2.7193891583010558E-13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216.94426559495264</v>
      </c>
      <c r="GF160" s="59">
        <f t="shared" si="158"/>
        <v>225.33715877618704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0.37987950118813812</v>
      </c>
      <c r="GN160" s="21">
        <f>EXP(-LN(2)/2)*GN159+(1-EXP(-LN(2)/2))/(LN(2)/2)*GH160*GK160*VLOOKUP('Données projet'!$B$17,Paramètres!$A$1:$I$89,3,0)*0.475*44/12</f>
        <v>1.8192035638318624E-18</v>
      </c>
      <c r="GO160" s="21">
        <f t="shared" si="187"/>
        <v>0.37987950118813812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-1.1368683772161603E-13</v>
      </c>
      <c r="GV160" s="17">
        <f>GU160*VLOOKUP('Données projet'!$B$18,Paramètres!$A$1:$I$89,3,0)*VLOOKUP('Données projet'!$B$18,Paramètres!$A$1:$I$89,5,0)</f>
        <v>-1.0995790944434703E-13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261.22357949323879</v>
      </c>
      <c r="HA160" s="59">
        <f t="shared" si="160"/>
        <v>163.41029152029387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9.8157643651477541E-2</v>
      </c>
      <c r="HI160" s="21">
        <f>EXP(-LN(2)/2)*HI159+(1-EXP(-LN(2)/2))/(LN(2)/2)*HC160*HF160*VLOOKUP('Données projet'!$B$18,Paramètres!$A$1:$I$89,3,0)*0.475*44/12</f>
        <v>5.0722875151984936E-19</v>
      </c>
      <c r="HJ160" s="22">
        <f t="shared" si="190"/>
        <v>9.8157643651477541E-2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237.22177246688199</v>
      </c>
      <c r="T161" s="59">
        <f t="shared" si="142"/>
        <v>149.27472147904302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227.99999999999986</v>
      </c>
      <c r="AJ161" s="13">
        <f>AI161*VLOOKUP('Données projet'!$B$10,Paramètres!$A$1:$I$89,3,0)*VLOOKUP('Données projet'!$B$10,Paramètres!$A$1:$I$89,5,0)</f>
        <v>199.18079999999992</v>
      </c>
      <c r="AK161" s="13">
        <f t="shared" si="164"/>
        <v>49.564089376413683</v>
      </c>
      <c r="AL161" s="20">
        <f t="shared" si="165"/>
        <v>433.23068233058694</v>
      </c>
      <c r="AM161" s="59">
        <f t="shared" si="113"/>
        <v>726.56401566392026</v>
      </c>
      <c r="AN161" s="59">
        <f ca="1">AVERAGE(OFFSET($AM$3,0,0,'Données projet'!$E$10+1,1))-AVERAGE(OFFSET($H$3,0,0,'Données projet'!$E$10+1,1))</f>
        <v>210.07838338464626</v>
      </c>
      <c r="AO161" s="59">
        <f t="shared" si="144"/>
        <v>241.76003724236273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0.42013031619367358</v>
      </c>
      <c r="AV161" s="21">
        <f>EXP(-LN(2)/25)*AV160+(1-EXP(-LN(2)/25))/(LN(2)/25)*Calculateur!AQ161*Calculateur!AS161*VLOOKUP('Données projet'!$B$10,Paramètres!$A$1:$I$89,3,0)*0.475*44/12</f>
        <v>0.38992684060842825</v>
      </c>
      <c r="AW161" s="21">
        <f>EXP(-LN(2)/2)*AW160+(1-EXP(-LN(2)/2))/(LN(2)/2)*AQ161*AT161*VLOOKUP('Données projet'!$B$10,Paramètres!$A$1:$I$89,3,0)*0.475*44/12</f>
        <v>8.6581265544915324E-19</v>
      </c>
      <c r="AX161" s="21">
        <f t="shared" si="166"/>
        <v>0.81005715680210177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3.9017322706058616E-13</v>
      </c>
      <c r="BF161" s="13">
        <f t="shared" si="167"/>
        <v>5.0025007393608908E-12</v>
      </c>
      <c r="BG161" s="20">
        <f t="shared" si="168"/>
        <v>9.3922404915174053E-12</v>
      </c>
      <c r="BH161" s="59">
        <f t="shared" si="116"/>
        <v>293.33333333334269</v>
      </c>
      <c r="BI161" s="59">
        <f ca="1">AVERAGE(OFFSET($BH$3,0,0,'Données projet'!$E$11+1,1))-AVERAGE(OFFSET($H$3,0,0,'Données projet'!$E$11+1,1))</f>
        <v>209.93608079129638</v>
      </c>
      <c r="BJ161" s="59">
        <f t="shared" si="146"/>
        <v>240.15652428700969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0.55116614534764341</v>
      </c>
      <c r="BQ161" s="21">
        <f>EXP(-LN(2)/25)*BQ160+(1-EXP(-LN(2)/25))/(LN(2)/25)*Calculateur!BL161*Calculateur!BN161*VLOOKUP('Données projet'!$B$11,Paramètres!$A$1:$I$89,3,0)*0.475*44/12</f>
        <v>0.59777427016329987</v>
      </c>
      <c r="BR161" s="21">
        <f>EXP(-LN(2)/2)*BR160+(1-EXP(-LN(2)/2))/(LN(2)/2)*BL161*BO161*VLOOKUP('Données projet'!$B$11,Paramètres!$A$1:$I$89,3,0)*0.475*44/12</f>
        <v>1.094546301669096E-18</v>
      </c>
      <c r="BS161" s="22">
        <f t="shared" si="169"/>
        <v>1.1489404155109433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215.23235148064941</v>
      </c>
      <c r="CE161" s="59">
        <f t="shared" si="148"/>
        <v>184.07239726900434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0.24846766677323692</v>
      </c>
      <c r="CL161" s="21">
        <f>EXP(-LN(2)/25)*CL160+(1-EXP(-LN(2)/25))/(LN(2)/25)*Calculateur!CG161*Calculateur!CI161*VLOOKUP('Données projet'!$B$12,Paramètres!$A$1:$I$89,3,0)*0.475*44/12</f>
        <v>0.22589066526464002</v>
      </c>
      <c r="CM161" s="21">
        <f>EXP(-LN(2)/2)*CM160+(1-EXP(-LN(2)/2))/(LN(2)/2)*CG161*CJ161*VLOOKUP('Données projet'!$B$12,Paramètres!$A$1:$I$89,3,0)*0.475*44/12</f>
        <v>5.3300335500988974E-19</v>
      </c>
      <c r="CN161" s="22">
        <f t="shared" si="172"/>
        <v>0.47435833203787692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-1.1527845344971866E-13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279.20364724206644</v>
      </c>
      <c r="CZ161" s="59">
        <f t="shared" si="150"/>
        <v>173.99850582760712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0.10009320406542281</v>
      </c>
      <c r="DH161" s="21">
        <f>EXP(-LN(2)/2)*DH160+(1-EXP(-LN(2)/2))/(LN(2)/2)*DB161*DE161*VLOOKUP('Données projet'!$B$13,Paramètres!$A$1:$I$89,3,0)*0.475*44/12</f>
        <v>3.7601964254533337E-19</v>
      </c>
      <c r="DI161" s="22">
        <f t="shared" si="175"/>
        <v>0.10009320406542281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-1.1882548278663309E-13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291.18074901939718</v>
      </c>
      <c r="DU161" s="59">
        <f t="shared" si="152"/>
        <v>181.05123751753774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0.10317299495974354</v>
      </c>
      <c r="EC161" s="21">
        <f>EXP(-LN(2)/2)*EC160+(1-EXP(-LN(2)/2))/(LN(2)/2)*DW161*DZ161*VLOOKUP('Données projet'!$B$14,Paramètres!$A$1:$I$89,3,0)*0.475*44/12</f>
        <v>3.8758947770057477E-19</v>
      </c>
      <c r="ED161" s="22">
        <f t="shared" si="178"/>
        <v>0.10317299495974354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168.08890945052406</v>
      </c>
      <c r="EP161" s="59">
        <f t="shared" si="154"/>
        <v>182.52462557642343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0.49242514282073901</v>
      </c>
      <c r="EW161" s="21">
        <f>EXP(-LN(2)/25)*EW160+(1-EXP(-LN(2)/25))/(LN(2)/25)*Calculateur!ER161*Calculateur!ET161*VLOOKUP('Données projet'!$B$15,Paramètres!$A$1:$I$89,3,0)*0.475*44/12</f>
        <v>0.35458517404872475</v>
      </c>
      <c r="EX161" s="21">
        <f>EXP(-LN(2)/2)*EX160+(1-EXP(-LN(2)/2))/(LN(2)/2)*ER161*EU161*VLOOKUP('Données projet'!$B$15,Paramètres!$A$1:$I$89,3,0)*0.475*44/12</f>
        <v>2.9521157513294802E-19</v>
      </c>
      <c r="EY161" s="22">
        <f t="shared" si="181"/>
        <v>0.84701031686946382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3.813056537183002E-14</v>
      </c>
      <c r="FG161" s="13">
        <f t="shared" si="182"/>
        <v>6.4086286045526829E-13</v>
      </c>
      <c r="FH161" s="20">
        <f t="shared" si="183"/>
        <v>1.1825802166488628E-12</v>
      </c>
      <c r="FI161" s="59">
        <f t="shared" si="131"/>
        <v>293.33333333333451</v>
      </c>
      <c r="FJ161" s="59">
        <f ca="1">AVERAGE(OFFSET($FI$3,0,0,'Données projet'!$E$16+1,1))-AVERAGE(OFFSET($H$3,0,0,'Données projet'!$E$16+1,1))</f>
        <v>156.63226020379989</v>
      </c>
      <c r="FK161" s="59">
        <f t="shared" si="156"/>
        <v>196.0481096619543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0.24931220724829345</v>
      </c>
      <c r="FS161" s="21">
        <f>EXP(-LN(2)/2)*FS160+(1-EXP(-LN(2)/2))/(LN(2)/2)*FM161*FP161*VLOOKUP('Données projet'!$B$16,Paramètres!$A$1:$I$89,3,0)*0.475*44/12</f>
        <v>4.9187383778248581E-19</v>
      </c>
      <c r="FT161" s="22">
        <f t="shared" si="184"/>
        <v>0.24931220724829345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-4.5474735088646412E-13</v>
      </c>
      <c r="GA161" s="17">
        <f>FZ161*VLOOKUP('Données projet'!$B$17,Paramètres!$A$1:$I$89,3,0)*VLOOKUP('Données projet'!$B$17,Paramètres!$A$1:$I$89,5,0)</f>
        <v>-2.7193891583010558E-13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216.94426559495264</v>
      </c>
      <c r="GF161" s="59">
        <f t="shared" si="158"/>
        <v>225.33715877618704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0.36949167625115376</v>
      </c>
      <c r="GN161" s="21">
        <f>EXP(-LN(2)/2)*GN160+(1-EXP(-LN(2)/2))/(LN(2)/2)*GH161*GK161*VLOOKUP('Données projet'!$B$17,Paramètres!$A$1:$I$89,3,0)*0.475*44/12</f>
        <v>1.2863711763442442E-18</v>
      </c>
      <c r="GO161" s="21">
        <f t="shared" si="187"/>
        <v>0.36949167625115376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-1.1368683772161603E-13</v>
      </c>
      <c r="GV161" s="17">
        <f>GU161*VLOOKUP('Données projet'!$B$18,Paramètres!$A$1:$I$89,3,0)*VLOOKUP('Données projet'!$B$18,Paramètres!$A$1:$I$89,5,0)</f>
        <v>-1.0995790944434703E-13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261.22357949323879</v>
      </c>
      <c r="HA161" s="59">
        <f t="shared" si="160"/>
        <v>163.41029152029387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9.5473517723941748E-2</v>
      </c>
      <c r="HI161" s="21">
        <f>EXP(-LN(2)/2)*HI160+(1-EXP(-LN(2)/2))/(LN(2)/2)*HC161*HF161*VLOOKUP('Données projet'!$B$18,Paramètres!$A$1:$I$89,3,0)*0.475*44/12</f>
        <v>3.5866488981247181E-19</v>
      </c>
      <c r="HJ161" s="22">
        <f t="shared" si="190"/>
        <v>9.5473517723941748E-2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237.22177246688199</v>
      </c>
      <c r="T162" s="59">
        <f t="shared" si="142"/>
        <v>149.27472147904302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227.99999999999986</v>
      </c>
      <c r="AJ162" s="13">
        <f>AI162*VLOOKUP('Données projet'!$B$10,Paramètres!$A$1:$I$89,3,0)*VLOOKUP('Données projet'!$B$10,Paramètres!$A$1:$I$89,5,0)</f>
        <v>199.18079999999992</v>
      </c>
      <c r="AK162" s="13">
        <f t="shared" si="164"/>
        <v>49.564089376413683</v>
      </c>
      <c r="AL162" s="20">
        <f t="shared" si="165"/>
        <v>433.23068233058694</v>
      </c>
      <c r="AM162" s="59">
        <f t="shared" si="113"/>
        <v>726.56401566392026</v>
      </c>
      <c r="AN162" s="59">
        <f ca="1">AVERAGE(OFFSET($AM$3,0,0,'Données projet'!$E$10+1,1))-AVERAGE(OFFSET($H$3,0,0,'Données projet'!$E$10+1,1))</f>
        <v>210.07838338464626</v>
      </c>
      <c r="AO162" s="59">
        <f t="shared" si="144"/>
        <v>241.76003724236273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0.41189181694730553</v>
      </c>
      <c r="AV162" s="21">
        <f>EXP(-LN(2)/25)*AV161+(1-EXP(-LN(2)/25))/(LN(2)/25)*Calculateur!AQ162*Calculateur!AS162*VLOOKUP('Données projet'!$B$10,Paramètres!$A$1:$I$89,3,0)*0.475*44/12</f>
        <v>0.37926427064662943</v>
      </c>
      <c r="AW162" s="21">
        <f>EXP(-LN(2)/2)*AW161+(1-EXP(-LN(2)/2))/(LN(2)/2)*AQ162*AT162*VLOOKUP('Données projet'!$B$10,Paramètres!$A$1:$I$89,3,0)*0.475*44/12</f>
        <v>6.1222199990522812E-19</v>
      </c>
      <c r="AX162" s="21">
        <f t="shared" si="166"/>
        <v>0.79115608759393496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3.9017322706058616E-13</v>
      </c>
      <c r="BF162" s="13">
        <f t="shared" si="167"/>
        <v>5.0025007393608908E-12</v>
      </c>
      <c r="BG162" s="20">
        <f t="shared" si="168"/>
        <v>9.3922404915174053E-12</v>
      </c>
      <c r="BH162" s="59">
        <f t="shared" si="116"/>
        <v>293.33333333334269</v>
      </c>
      <c r="BI162" s="59">
        <f ca="1">AVERAGE(OFFSET($BH$3,0,0,'Données projet'!$E$11+1,1))-AVERAGE(OFFSET($H$3,0,0,'Données projet'!$E$11+1,1))</f>
        <v>209.93608079129638</v>
      </c>
      <c r="BJ162" s="59">
        <f t="shared" si="146"/>
        <v>240.15652428700969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0.54035811341552997</v>
      </c>
      <c r="BQ162" s="21">
        <f>EXP(-LN(2)/25)*BQ161+(1-EXP(-LN(2)/25))/(LN(2)/25)*Calculateur!BL162*Calculateur!BN162*VLOOKUP('Données projet'!$B$11,Paramètres!$A$1:$I$89,3,0)*0.475*44/12</f>
        <v>0.58142810131010181</v>
      </c>
      <c r="BR162" s="21">
        <f>EXP(-LN(2)/2)*BR161+(1-EXP(-LN(2)/2))/(LN(2)/2)*BL162*BO162*VLOOKUP('Données projet'!$B$11,Paramètres!$A$1:$I$89,3,0)*0.475*44/12</f>
        <v>7.7396111223287432E-19</v>
      </c>
      <c r="BS162" s="22">
        <f t="shared" si="169"/>
        <v>1.1217862147256317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215.23235148064941</v>
      </c>
      <c r="CE162" s="59">
        <f t="shared" si="148"/>
        <v>184.07239726900434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0.24359536737812612</v>
      </c>
      <c r="CL162" s="21">
        <f>EXP(-LN(2)/25)*CL161+(1-EXP(-LN(2)/25))/(LN(2)/25)*Calculateur!CG162*Calculateur!CI162*VLOOKUP('Données projet'!$B$12,Paramètres!$A$1:$I$89,3,0)*0.475*44/12</f>
        <v>0.21971367314390464</v>
      </c>
      <c r="CM162" s="21">
        <f>EXP(-LN(2)/2)*CM161+(1-EXP(-LN(2)/2))/(LN(2)/2)*CG162*CJ162*VLOOKUP('Données projet'!$B$12,Paramètres!$A$1:$I$89,3,0)*0.475*44/12</f>
        <v>3.7689028672267382E-19</v>
      </c>
      <c r="CN162" s="22">
        <f t="shared" si="172"/>
        <v>0.46330904052203076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-1.1527845344971866E-13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279.20364724206644</v>
      </c>
      <c r="CZ162" s="59">
        <f t="shared" si="150"/>
        <v>173.99850582760712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9.7356150136580985E-2</v>
      </c>
      <c r="DH162" s="21">
        <f>EXP(-LN(2)/2)*DH161+(1-EXP(-LN(2)/2))/(LN(2)/2)*DB162*DE162*VLOOKUP('Données projet'!$B$13,Paramètres!$A$1:$I$89,3,0)*0.475*44/12</f>
        <v>2.6588603910314685E-19</v>
      </c>
      <c r="DI162" s="22">
        <f t="shared" si="175"/>
        <v>9.7356150136580985E-2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-1.1882548278663309E-13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291.18074901939718</v>
      </c>
      <c r="DU162" s="59">
        <f t="shared" si="152"/>
        <v>181.05123751753774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0.10035172398693736</v>
      </c>
      <c r="EC162" s="21">
        <f>EXP(-LN(2)/2)*EC161+(1-EXP(-LN(2)/2))/(LN(2)/2)*DW162*DZ162*VLOOKUP('Données projet'!$B$14,Paramètres!$A$1:$I$89,3,0)*0.475*44/12</f>
        <v>2.7406714799862856E-19</v>
      </c>
      <c r="ED162" s="22">
        <f t="shared" si="178"/>
        <v>0.10035172398693736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168.08890945052406</v>
      </c>
      <c r="EP162" s="59">
        <f t="shared" si="154"/>
        <v>182.52462557642343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0.48276898611970437</v>
      </c>
      <c r="EW162" s="21">
        <f>EXP(-LN(2)/25)*EW161+(1-EXP(-LN(2)/25))/(LN(2)/25)*Calculateur!ER162*Calculateur!ET162*VLOOKUP('Données projet'!$B$15,Paramètres!$A$1:$I$89,3,0)*0.475*44/12</f>
        <v>0.3448890238175385</v>
      </c>
      <c r="EX162" s="21">
        <f>EXP(-LN(2)/2)*EX161+(1-EXP(-LN(2)/2))/(LN(2)/2)*ER162*EU162*VLOOKUP('Données projet'!$B$15,Paramètres!$A$1:$I$89,3,0)*0.475*44/12</f>
        <v>2.0874610666126951E-19</v>
      </c>
      <c r="EY162" s="22">
        <f t="shared" si="181"/>
        <v>0.82765800993724281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3.813056537183002E-14</v>
      </c>
      <c r="FG162" s="13">
        <f t="shared" si="182"/>
        <v>6.4086286045526829E-13</v>
      </c>
      <c r="FH162" s="20">
        <f t="shared" si="183"/>
        <v>1.1825802166488628E-12</v>
      </c>
      <c r="FI162" s="59">
        <f t="shared" si="131"/>
        <v>293.33333333333451</v>
      </c>
      <c r="FJ162" s="59">
        <f ca="1">AVERAGE(OFFSET($FI$3,0,0,'Données projet'!$E$16+1,1))-AVERAGE(OFFSET($H$3,0,0,'Données projet'!$E$16+1,1))</f>
        <v>156.63226020379989</v>
      </c>
      <c r="FK162" s="59">
        <f t="shared" si="156"/>
        <v>196.0481096619543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0.2424947518303297</v>
      </c>
      <c r="FS162" s="21">
        <f>EXP(-LN(2)/2)*FS161+(1-EXP(-LN(2)/2))/(LN(2)/2)*FM162*FP162*VLOOKUP('Données projet'!$B$16,Paramètres!$A$1:$I$89,3,0)*0.475*44/12</f>
        <v>3.4780732618424757E-19</v>
      </c>
      <c r="FT162" s="22">
        <f t="shared" si="184"/>
        <v>0.2424947518303297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-4.5474735088646412E-13</v>
      </c>
      <c r="GA162" s="17">
        <f>FZ162*VLOOKUP('Données projet'!$B$17,Paramètres!$A$1:$I$89,3,0)*VLOOKUP('Données projet'!$B$17,Paramètres!$A$1:$I$89,5,0)</f>
        <v>-2.7193891583010558E-13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216.94426559495264</v>
      </c>
      <c r="GF162" s="59">
        <f t="shared" si="158"/>
        <v>225.33715877618704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0.35938790693334316</v>
      </c>
      <c r="GN162" s="21">
        <f>EXP(-LN(2)/2)*GN161+(1-EXP(-LN(2)/2))/(LN(2)/2)*GH162*GK162*VLOOKUP('Données projet'!$B$17,Paramètres!$A$1:$I$89,3,0)*0.475*44/12</f>
        <v>9.0960178191593121E-19</v>
      </c>
      <c r="GO162" s="21">
        <f t="shared" si="187"/>
        <v>0.35938790693334316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-1.1368683772161603E-13</v>
      </c>
      <c r="GV162" s="17">
        <f>GU162*VLOOKUP('Données projet'!$B$18,Paramètres!$A$1:$I$89,3,0)*VLOOKUP('Données projet'!$B$18,Paramètres!$A$1:$I$89,5,0)</f>
        <v>-1.0995790944434703E-13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261.22357949323879</v>
      </c>
      <c r="HA162" s="59">
        <f t="shared" si="160"/>
        <v>163.41029152029387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9.2862789361046472E-2</v>
      </c>
      <c r="HI162" s="21">
        <f>EXP(-LN(2)/2)*HI161+(1-EXP(-LN(2)/2))/(LN(2)/2)*HC162*HF162*VLOOKUP('Données projet'!$B$18,Paramètres!$A$1:$I$89,3,0)*0.475*44/12</f>
        <v>2.5361437575992468E-19</v>
      </c>
      <c r="HJ162" s="22">
        <f t="shared" si="190"/>
        <v>9.2862789361046472E-2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237.22177246688199</v>
      </c>
      <c r="T163" s="59">
        <f t="shared" si="142"/>
        <v>149.27472147904302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227.99999999999986</v>
      </c>
      <c r="AJ163" s="13">
        <f>AI163*VLOOKUP('Données projet'!$B$10,Paramètres!$A$1:$I$89,3,0)*VLOOKUP('Données projet'!$B$10,Paramètres!$A$1:$I$89,5,0)</f>
        <v>199.18079999999992</v>
      </c>
      <c r="AK163" s="13">
        <f t="shared" si="164"/>
        <v>49.564089376413683</v>
      </c>
      <c r="AL163" s="20">
        <f t="shared" si="165"/>
        <v>433.23068233058694</v>
      </c>
      <c r="AM163" s="59">
        <f t="shared" si="113"/>
        <v>726.56401566392026</v>
      </c>
      <c r="AN163" s="59">
        <f ca="1">AVERAGE(OFFSET($AM$3,0,0,'Données projet'!$E$10+1,1))-AVERAGE(OFFSET($H$3,0,0,'Données projet'!$E$10+1,1))</f>
        <v>210.07838338464626</v>
      </c>
      <c r="AO163" s="59">
        <f t="shared" si="144"/>
        <v>241.76003724236273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0.40381486964617036</v>
      </c>
      <c r="AV163" s="21">
        <f>EXP(-LN(2)/25)*AV162+(1-EXP(-LN(2)/25))/(LN(2)/25)*Calculateur!AQ163*Calculateur!AS163*VLOOKUP('Données projet'!$B$10,Paramètres!$A$1:$I$89,3,0)*0.475*44/12</f>
        <v>0.36889326922115617</v>
      </c>
      <c r="AW163" s="21">
        <f>EXP(-LN(2)/2)*AW162+(1-EXP(-LN(2)/2))/(LN(2)/2)*AQ163*AT163*VLOOKUP('Données projet'!$B$10,Paramètres!$A$1:$I$89,3,0)*0.475*44/12</f>
        <v>4.3290632772457667E-19</v>
      </c>
      <c r="AX163" s="21">
        <f t="shared" si="166"/>
        <v>0.77270813886732648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3.9017322706058616E-13</v>
      </c>
      <c r="BF163" s="13">
        <f t="shared" si="167"/>
        <v>5.0025007393608908E-12</v>
      </c>
      <c r="BG163" s="20">
        <f t="shared" si="168"/>
        <v>9.3922404915174053E-12</v>
      </c>
      <c r="BH163" s="59">
        <f t="shared" si="116"/>
        <v>293.33333333334269</v>
      </c>
      <c r="BI163" s="59">
        <f ca="1">AVERAGE(OFFSET($BH$3,0,0,'Données projet'!$E$11+1,1))-AVERAGE(OFFSET($H$3,0,0,'Données projet'!$E$11+1,1))</f>
        <v>209.93608079129638</v>
      </c>
      <c r="BJ163" s="59">
        <f t="shared" si="146"/>
        <v>240.15652428700969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0.52976202039735676</v>
      </c>
      <c r="BQ163" s="21">
        <f>EXP(-LN(2)/25)*BQ162+(1-EXP(-LN(2)/25))/(LN(2)/25)*Calculateur!BL163*Calculateur!BN163*VLOOKUP('Données projet'!$B$11,Paramètres!$A$1:$I$89,3,0)*0.475*44/12</f>
        <v>0.56552891930380211</v>
      </c>
      <c r="BR163" s="21">
        <f>EXP(-LN(2)/2)*BR162+(1-EXP(-LN(2)/2))/(LN(2)/2)*BL163*BO163*VLOOKUP('Données projet'!$B$11,Paramètres!$A$1:$I$89,3,0)*0.475*44/12</f>
        <v>5.4727315083454801E-19</v>
      </c>
      <c r="BS163" s="22">
        <f t="shared" si="169"/>
        <v>1.095290939701159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215.23235148064941</v>
      </c>
      <c r="CE163" s="59">
        <f t="shared" si="148"/>
        <v>184.07239726900434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0.23881861080234426</v>
      </c>
      <c r="CL163" s="21">
        <f>EXP(-LN(2)/25)*CL162+(1-EXP(-LN(2)/25))/(LN(2)/25)*Calculateur!CG163*Calculateur!CI163*VLOOKUP('Données projet'!$B$12,Paramètres!$A$1:$I$89,3,0)*0.475*44/12</f>
        <v>0.21370559119754465</v>
      </c>
      <c r="CM163" s="21">
        <f>EXP(-LN(2)/2)*CM162+(1-EXP(-LN(2)/2))/(LN(2)/2)*CG163*CJ163*VLOOKUP('Données projet'!$B$12,Paramètres!$A$1:$I$89,3,0)*0.475*44/12</f>
        <v>2.6650167750494487E-19</v>
      </c>
      <c r="CN163" s="22">
        <f t="shared" si="172"/>
        <v>0.45252420199988891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-1.1527845344971866E-13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279.20364724206644</v>
      </c>
      <c r="CZ163" s="59">
        <f t="shared" si="150"/>
        <v>173.99850582760712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9.4693941091358758E-2</v>
      </c>
      <c r="DH163" s="21">
        <f>EXP(-LN(2)/2)*DH162+(1-EXP(-LN(2)/2))/(LN(2)/2)*DB163*DE163*VLOOKUP('Données projet'!$B$13,Paramètres!$A$1:$I$89,3,0)*0.475*44/12</f>
        <v>1.8800982127266668E-19</v>
      </c>
      <c r="DI163" s="22">
        <f t="shared" si="175"/>
        <v>9.4693941091358758E-2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-1.1882548278663309E-13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291.18074901939718</v>
      </c>
      <c r="DU163" s="59">
        <f t="shared" si="152"/>
        <v>181.05123751753774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9.7607600817246745E-2</v>
      </c>
      <c r="EC163" s="21">
        <f>EXP(-LN(2)/2)*EC162+(1-EXP(-LN(2)/2))/(LN(2)/2)*DW163*DZ163*VLOOKUP('Données projet'!$B$14,Paramètres!$A$1:$I$89,3,0)*0.475*44/12</f>
        <v>1.9379473885028738E-19</v>
      </c>
      <c r="ED163" s="22">
        <f t="shared" si="178"/>
        <v>9.7607600817246745E-2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168.08890945052406</v>
      </c>
      <c r="EP163" s="59">
        <f t="shared" si="154"/>
        <v>182.52462557642343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0.473302180761903</v>
      </c>
      <c r="EW163" s="21">
        <f>EXP(-LN(2)/25)*EW162+(1-EXP(-LN(2)/25))/(LN(2)/25)*Calculateur!ER163*Calculateur!ET163*VLOOKUP('Données projet'!$B$15,Paramètres!$A$1:$I$89,3,0)*0.475*44/12</f>
        <v>0.3354580153243224</v>
      </c>
      <c r="EX163" s="21">
        <f>EXP(-LN(2)/2)*EX162+(1-EXP(-LN(2)/2))/(LN(2)/2)*ER163*EU163*VLOOKUP('Données projet'!$B$15,Paramètres!$A$1:$I$89,3,0)*0.475*44/12</f>
        <v>1.4760578756647401E-19</v>
      </c>
      <c r="EY163" s="22">
        <f t="shared" si="181"/>
        <v>0.8087601960862254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3.813056537183002E-14</v>
      </c>
      <c r="FG163" s="13">
        <f t="shared" si="182"/>
        <v>6.4086286045526829E-13</v>
      </c>
      <c r="FH163" s="20">
        <f t="shared" si="183"/>
        <v>1.1825802166488628E-12</v>
      </c>
      <c r="FI163" s="59">
        <f t="shared" si="131"/>
        <v>293.33333333333451</v>
      </c>
      <c r="FJ163" s="59">
        <f ca="1">AVERAGE(OFFSET($FI$3,0,0,'Données projet'!$E$16+1,1))-AVERAGE(OFFSET($H$3,0,0,'Données projet'!$E$16+1,1))</f>
        <v>156.63226020379989</v>
      </c>
      <c r="FK163" s="59">
        <f t="shared" si="156"/>
        <v>196.0481096619543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0.23586372008928458</v>
      </c>
      <c r="FS163" s="21">
        <f>EXP(-LN(2)/2)*FS162+(1-EXP(-LN(2)/2))/(LN(2)/2)*FM163*FP163*VLOOKUP('Données projet'!$B$16,Paramètres!$A$1:$I$89,3,0)*0.475*44/12</f>
        <v>2.4593691889124291E-19</v>
      </c>
      <c r="FT163" s="22">
        <f t="shared" si="184"/>
        <v>0.23586372008928458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-4.5474735088646412E-13</v>
      </c>
      <c r="GA163" s="17">
        <f>FZ163*VLOOKUP('Données projet'!$B$17,Paramètres!$A$1:$I$89,3,0)*VLOOKUP('Données projet'!$B$17,Paramètres!$A$1:$I$89,5,0)</f>
        <v>-2.7193891583010558E-13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216.94426559495264</v>
      </c>
      <c r="GF163" s="59">
        <f t="shared" si="158"/>
        <v>225.33715877618704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0.34956042571886226</v>
      </c>
      <c r="GN163" s="21">
        <f>EXP(-LN(2)/2)*GN162+(1-EXP(-LN(2)/2))/(LN(2)/2)*GH163*GK163*VLOOKUP('Données projet'!$B$17,Paramètres!$A$1:$I$89,3,0)*0.475*44/12</f>
        <v>6.4318558817212211E-19</v>
      </c>
      <c r="GO163" s="21">
        <f t="shared" si="187"/>
        <v>0.34956042571886226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-1.1368683772161603E-13</v>
      </c>
      <c r="GV163" s="17">
        <f>GU163*VLOOKUP('Données projet'!$B$18,Paramètres!$A$1:$I$89,3,0)*VLOOKUP('Données projet'!$B$18,Paramètres!$A$1:$I$89,5,0)</f>
        <v>-1.0995790944434703E-13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261.22357949323879</v>
      </c>
      <c r="HA163" s="59">
        <f t="shared" si="160"/>
        <v>163.41029152029387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9.0323451502526811E-2</v>
      </c>
      <c r="HI163" s="21">
        <f>EXP(-LN(2)/2)*HI162+(1-EXP(-LN(2)/2))/(LN(2)/2)*HC163*HF163*VLOOKUP('Données projet'!$B$18,Paramètres!$A$1:$I$89,3,0)*0.475*44/12</f>
        <v>1.7933244490623591E-19</v>
      </c>
      <c r="HJ163" s="22">
        <f t="shared" si="190"/>
        <v>9.0323451502526811E-2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237.22177246688199</v>
      </c>
      <c r="T164" s="59">
        <f t="shared" si="142"/>
        <v>149.27472147904302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227.99999999999986</v>
      </c>
      <c r="AJ164" s="13">
        <f>AI164*VLOOKUP('Données projet'!$B$10,Paramètres!$A$1:$I$89,3,0)*VLOOKUP('Données projet'!$B$10,Paramètres!$A$1:$I$89,5,0)</f>
        <v>199.18079999999992</v>
      </c>
      <c r="AK164" s="13">
        <f t="shared" si="164"/>
        <v>49.564089376413683</v>
      </c>
      <c r="AL164" s="20">
        <f t="shared" si="165"/>
        <v>433.23068233058694</v>
      </c>
      <c r="AM164" s="59">
        <f t="shared" si="113"/>
        <v>726.56401566392026</v>
      </c>
      <c r="AN164" s="59">
        <f ca="1">AVERAGE(OFFSET($AM$3,0,0,'Données projet'!$E$10+1,1))-AVERAGE(OFFSET($H$3,0,0,'Données projet'!$E$10+1,1))</f>
        <v>210.07838338464626</v>
      </c>
      <c r="AO164" s="59">
        <f t="shared" si="144"/>
        <v>241.76003724236273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0.39589630635515904</v>
      </c>
      <c r="AV164" s="21">
        <f>EXP(-LN(2)/25)*AV163+(1-EXP(-LN(2)/25))/(LN(2)/25)*Calculateur!AQ164*Calculateur!AS164*VLOOKUP('Données projet'!$B$10,Paramètres!$A$1:$I$89,3,0)*0.475*44/12</f>
        <v>0.35880586337504977</v>
      </c>
      <c r="AW164" s="21">
        <f>EXP(-LN(2)/2)*AW163+(1-EXP(-LN(2)/2))/(LN(2)/2)*AQ164*AT164*VLOOKUP('Données projet'!$B$10,Paramètres!$A$1:$I$89,3,0)*0.475*44/12</f>
        <v>3.0611099995261411E-19</v>
      </c>
      <c r="AX164" s="21">
        <f t="shared" si="166"/>
        <v>0.75470216973020876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3.9017322706058616E-13</v>
      </c>
      <c r="BF164" s="13">
        <f t="shared" si="167"/>
        <v>5.0025007393608908E-12</v>
      </c>
      <c r="BG164" s="20">
        <f t="shared" si="168"/>
        <v>9.3922404915174053E-12</v>
      </c>
      <c r="BH164" s="59">
        <f t="shared" si="116"/>
        <v>293.33333333334269</v>
      </c>
      <c r="BI164" s="59">
        <f ca="1">AVERAGE(OFFSET($BH$3,0,0,'Données projet'!$E$11+1,1))-AVERAGE(OFFSET($H$3,0,0,'Données projet'!$E$11+1,1))</f>
        <v>209.93608079129638</v>
      </c>
      <c r="BJ164" s="59">
        <f t="shared" si="146"/>
        <v>240.15652428700969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0.51937371030029134</v>
      </c>
      <c r="BQ164" s="21">
        <f>EXP(-LN(2)/25)*BQ163+(1-EXP(-LN(2)/25))/(LN(2)/25)*Calculateur!BL164*Calculateur!BN164*VLOOKUP('Données projet'!$B$11,Paramètres!$A$1:$I$89,3,0)*0.475*44/12</f>
        <v>0.55006450126556627</v>
      </c>
      <c r="BR164" s="21">
        <f>EXP(-LN(2)/2)*BR163+(1-EXP(-LN(2)/2))/(LN(2)/2)*BL164*BO164*VLOOKUP('Données projet'!$B$11,Paramètres!$A$1:$I$89,3,0)*0.475*44/12</f>
        <v>3.8698055611643716E-19</v>
      </c>
      <c r="BS164" s="22">
        <f t="shared" si="169"/>
        <v>1.0694382115658576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215.23235148064941</v>
      </c>
      <c r="CE164" s="59">
        <f t="shared" si="148"/>
        <v>184.07239726900434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0.23413552350947966</v>
      </c>
      <c r="CL164" s="21">
        <f>EXP(-LN(2)/25)*CL163+(1-EXP(-LN(2)/25))/(LN(2)/25)*Calculateur!CG164*Calculateur!CI164*VLOOKUP('Données projet'!$B$12,Paramètres!$A$1:$I$89,3,0)*0.475*44/12</f>
        <v>0.20786180056795917</v>
      </c>
      <c r="CM164" s="21">
        <f>EXP(-LN(2)/2)*CM163+(1-EXP(-LN(2)/2))/(LN(2)/2)*CG164*CJ164*VLOOKUP('Données projet'!$B$12,Paramètres!$A$1:$I$89,3,0)*0.475*44/12</f>
        <v>1.8844514336133691E-19</v>
      </c>
      <c r="CN164" s="22">
        <f t="shared" si="172"/>
        <v>0.44199732407743886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-1.1527845344971866E-13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279.20364724206644</v>
      </c>
      <c r="CZ164" s="59">
        <f t="shared" si="150"/>
        <v>173.99850582760712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9.2104530292477615E-2</v>
      </c>
      <c r="DH164" s="21">
        <f>EXP(-LN(2)/2)*DH163+(1-EXP(-LN(2)/2))/(LN(2)/2)*DB164*DE164*VLOOKUP('Données projet'!$B$13,Paramètres!$A$1:$I$89,3,0)*0.475*44/12</f>
        <v>1.3294301955157343E-19</v>
      </c>
      <c r="DI164" s="22">
        <f t="shared" si="175"/>
        <v>9.2104530292477615E-2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-1.1882548278663309E-13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291.18074901939718</v>
      </c>
      <c r="DU164" s="59">
        <f t="shared" si="152"/>
        <v>181.05123751753774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9.4938515839938495E-2</v>
      </c>
      <c r="EC164" s="21">
        <f>EXP(-LN(2)/2)*EC163+(1-EXP(-LN(2)/2))/(LN(2)/2)*DW164*DZ164*VLOOKUP('Données projet'!$B$14,Paramètres!$A$1:$I$89,3,0)*0.475*44/12</f>
        <v>1.3703357399931428E-19</v>
      </c>
      <c r="ED164" s="22">
        <f t="shared" si="178"/>
        <v>9.4938515839938495E-2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168.08890945052406</v>
      </c>
      <c r="EP164" s="59">
        <f t="shared" si="154"/>
        <v>182.52462557642343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0.46402101368298698</v>
      </c>
      <c r="EW164" s="21">
        <f>EXP(-LN(2)/25)*EW163+(1-EXP(-LN(2)/25))/(LN(2)/25)*Calculateur!ER164*Calculateur!ET164*VLOOKUP('Données projet'!$B$15,Paramètres!$A$1:$I$89,3,0)*0.475*44/12</f>
        <v>0.32628489825430845</v>
      </c>
      <c r="EX164" s="21">
        <f>EXP(-LN(2)/2)*EX163+(1-EXP(-LN(2)/2))/(LN(2)/2)*ER164*EU164*VLOOKUP('Données projet'!$B$15,Paramètres!$A$1:$I$89,3,0)*0.475*44/12</f>
        <v>1.0437305333063476E-19</v>
      </c>
      <c r="EY164" s="22">
        <f t="shared" si="181"/>
        <v>0.79030591193729549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3.813056537183002E-14</v>
      </c>
      <c r="FG164" s="13">
        <f t="shared" si="182"/>
        <v>6.4086286045526829E-13</v>
      </c>
      <c r="FH164" s="20">
        <f t="shared" si="183"/>
        <v>1.1825802166488628E-12</v>
      </c>
      <c r="FI164" s="59">
        <f t="shared" si="131"/>
        <v>293.33333333333451</v>
      </c>
      <c r="FJ164" s="59">
        <f ca="1">AVERAGE(OFFSET($FI$3,0,0,'Données projet'!$E$16+1,1))-AVERAGE(OFFSET($H$3,0,0,'Données projet'!$E$16+1,1))</f>
        <v>156.63226020379989</v>
      </c>
      <c r="FK164" s="59">
        <f t="shared" si="156"/>
        <v>196.0481096619543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0.22941401425990912</v>
      </c>
      <c r="FS164" s="21">
        <f>EXP(-LN(2)/2)*FS163+(1-EXP(-LN(2)/2))/(LN(2)/2)*FM164*FP164*VLOOKUP('Données projet'!$B$16,Paramètres!$A$1:$I$89,3,0)*0.475*44/12</f>
        <v>1.7390366309212378E-19</v>
      </c>
      <c r="FT164" s="22">
        <f t="shared" si="184"/>
        <v>0.22941401425990912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-4.5474735088646412E-13</v>
      </c>
      <c r="GA164" s="17">
        <f>FZ164*VLOOKUP('Données projet'!$B$17,Paramètres!$A$1:$I$89,3,0)*VLOOKUP('Données projet'!$B$17,Paramètres!$A$1:$I$89,5,0)</f>
        <v>-2.7193891583010558E-13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216.94426559495264</v>
      </c>
      <c r="GF164" s="59">
        <f t="shared" si="158"/>
        <v>225.33715877618704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0.3400016774949961</v>
      </c>
      <c r="GN164" s="21">
        <f>EXP(-LN(2)/2)*GN163+(1-EXP(-LN(2)/2))/(LN(2)/2)*GH164*GK164*VLOOKUP('Données projet'!$B$17,Paramètres!$A$1:$I$89,3,0)*0.475*44/12</f>
        <v>4.548008909579656E-19</v>
      </c>
      <c r="GO164" s="21">
        <f t="shared" si="187"/>
        <v>0.3400016774949961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-1.1368683772161603E-13</v>
      </c>
      <c r="GV164" s="17">
        <f>GU164*VLOOKUP('Données projet'!$B$18,Paramètres!$A$1:$I$89,3,0)*VLOOKUP('Données projet'!$B$18,Paramètres!$A$1:$I$89,5,0)</f>
        <v>-1.0995790944434703E-13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261.22357949323879</v>
      </c>
      <c r="HA164" s="59">
        <f t="shared" si="160"/>
        <v>163.41029152029387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8.7853551971286331E-2</v>
      </c>
      <c r="HI164" s="21">
        <f>EXP(-LN(2)/2)*HI163+(1-EXP(-LN(2)/2))/(LN(2)/2)*HC164*HF164*VLOOKUP('Données projet'!$B$18,Paramètres!$A$1:$I$89,3,0)*0.475*44/12</f>
        <v>1.2680718787996234E-19</v>
      </c>
      <c r="HJ164" s="22">
        <f t="shared" si="190"/>
        <v>8.7853551971286331E-2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237.22177246688199</v>
      </c>
      <c r="T165" s="59">
        <f t="shared" si="142"/>
        <v>149.27472147904302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227.99999999999986</v>
      </c>
      <c r="AJ165" s="13">
        <f>AI165*VLOOKUP('Données projet'!$B$10,Paramètres!$A$1:$I$89,3,0)*VLOOKUP('Données projet'!$B$10,Paramètres!$A$1:$I$89,5,0)</f>
        <v>199.18079999999992</v>
      </c>
      <c r="AK165" s="13">
        <f t="shared" si="164"/>
        <v>49.564089376413683</v>
      </c>
      <c r="AL165" s="20">
        <f t="shared" si="165"/>
        <v>433.23068233058694</v>
      </c>
      <c r="AM165" s="59">
        <f t="shared" si="113"/>
        <v>726.56401566392026</v>
      </c>
      <c r="AN165" s="59">
        <f ca="1">AVERAGE(OFFSET($AM$3,0,0,'Données projet'!$E$10+1,1))-AVERAGE(OFFSET($H$3,0,0,'Données projet'!$E$10+1,1))</f>
        <v>210.07838338464626</v>
      </c>
      <c r="AO165" s="59">
        <f t="shared" si="144"/>
        <v>241.76003724236273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0.3881330212604378</v>
      </c>
      <c r="AV165" s="21">
        <f>EXP(-LN(2)/25)*AV164+(1-EXP(-LN(2)/25))/(LN(2)/25)*Calculateur!AQ165*Calculateur!AS165*VLOOKUP('Données projet'!$B$10,Paramètres!$A$1:$I$89,3,0)*0.475*44/12</f>
        <v>0.34899429817227873</v>
      </c>
      <c r="AW165" s="21">
        <f>EXP(-LN(2)/2)*AW164+(1-EXP(-LN(2)/2))/(LN(2)/2)*AQ165*AT165*VLOOKUP('Données projet'!$B$10,Paramètres!$A$1:$I$89,3,0)*0.475*44/12</f>
        <v>2.1645316386228838E-19</v>
      </c>
      <c r="AX165" s="21">
        <f t="shared" si="166"/>
        <v>0.73712731943271659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3.9017322706058616E-13</v>
      </c>
      <c r="BF165" s="13">
        <f t="shared" si="167"/>
        <v>5.0025007393608908E-12</v>
      </c>
      <c r="BG165" s="20">
        <f t="shared" si="168"/>
        <v>9.3922404915174053E-12</v>
      </c>
      <c r="BH165" s="59">
        <f t="shared" si="116"/>
        <v>293.33333333334269</v>
      </c>
      <c r="BI165" s="59">
        <f ca="1">AVERAGE(OFFSET($BH$3,0,0,'Données projet'!$E$11+1,1))-AVERAGE(OFFSET($H$3,0,0,'Données projet'!$E$11+1,1))</f>
        <v>209.93608079129638</v>
      </c>
      <c r="BJ165" s="59">
        <f t="shared" si="146"/>
        <v>240.15652428700969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0.50918910862798583</v>
      </c>
      <c r="BQ165" s="21">
        <f>EXP(-LN(2)/25)*BQ164+(1-EXP(-LN(2)/25))/(LN(2)/25)*Calculateur!BL165*Calculateur!BN165*VLOOKUP('Données projet'!$B$11,Paramètres!$A$1:$I$89,3,0)*0.475*44/12</f>
        <v>0.53502295855182447</v>
      </c>
      <c r="BR165" s="21">
        <f>EXP(-LN(2)/2)*BR164+(1-EXP(-LN(2)/2))/(LN(2)/2)*BL165*BO165*VLOOKUP('Données projet'!$B$11,Paramètres!$A$1:$I$89,3,0)*0.475*44/12</f>
        <v>2.73636575417274E-19</v>
      </c>
      <c r="BS165" s="22">
        <f t="shared" si="169"/>
        <v>1.0442120671798103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215.23235148064941</v>
      </c>
      <c r="CE165" s="59">
        <f t="shared" si="148"/>
        <v>184.07239726900434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0.22954426870202693</v>
      </c>
      <c r="CL165" s="21">
        <f>EXP(-LN(2)/25)*CL164+(1-EXP(-LN(2)/25))/(LN(2)/25)*Calculateur!CG165*Calculateur!CI165*VLOOKUP('Données projet'!$B$12,Paramètres!$A$1:$I$89,3,0)*0.475*44/12</f>
        <v>0.20217780870045129</v>
      </c>
      <c r="CM165" s="21">
        <f>EXP(-LN(2)/2)*CM164+(1-EXP(-LN(2)/2))/(LN(2)/2)*CG165*CJ165*VLOOKUP('Données projet'!$B$12,Paramètres!$A$1:$I$89,3,0)*0.475*44/12</f>
        <v>1.3325083875247244E-19</v>
      </c>
      <c r="CN165" s="22">
        <f t="shared" si="172"/>
        <v>0.43172207740247825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-1.1527845344971866E-13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279.20364724206644</v>
      </c>
      <c r="CZ165" s="59">
        <f t="shared" si="150"/>
        <v>173.99850582760712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8.9585927068063079E-2</v>
      </c>
      <c r="DH165" s="21">
        <f>EXP(-LN(2)/2)*DH164+(1-EXP(-LN(2)/2))/(LN(2)/2)*DB165*DE165*VLOOKUP('Données projet'!$B$13,Paramètres!$A$1:$I$89,3,0)*0.475*44/12</f>
        <v>9.4004910636333341E-20</v>
      </c>
      <c r="DI165" s="22">
        <f t="shared" si="175"/>
        <v>8.9585927068063079E-2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-1.1882548278663309E-13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291.18074901939718</v>
      </c>
      <c r="DU165" s="59">
        <f t="shared" si="152"/>
        <v>181.05123751753774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9.2342417131695817E-2</v>
      </c>
      <c r="EC165" s="21">
        <f>EXP(-LN(2)/2)*EC164+(1-EXP(-LN(2)/2))/(LN(2)/2)*DW165*DZ165*VLOOKUP('Données projet'!$B$14,Paramètres!$A$1:$I$89,3,0)*0.475*44/12</f>
        <v>9.6897369425143692E-20</v>
      </c>
      <c r="ED165" s="22">
        <f t="shared" si="178"/>
        <v>9.2342417131695817E-2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168.08890945052406</v>
      </c>
      <c r="EP165" s="59">
        <f t="shared" si="154"/>
        <v>182.52462557642343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0.45492184462953555</v>
      </c>
      <c r="EW165" s="21">
        <f>EXP(-LN(2)/25)*EW164+(1-EXP(-LN(2)/25))/(LN(2)/25)*Calculateur!ER165*Calculateur!ET165*VLOOKUP('Données projet'!$B$15,Paramètres!$A$1:$I$89,3,0)*0.475*44/12</f>
        <v>0.31736262055296732</v>
      </c>
      <c r="EX165" s="21">
        <f>EXP(-LN(2)/2)*EX164+(1-EXP(-LN(2)/2))/(LN(2)/2)*ER165*EU165*VLOOKUP('Données projet'!$B$15,Paramètres!$A$1:$I$89,3,0)*0.475*44/12</f>
        <v>7.3802893783237005E-20</v>
      </c>
      <c r="EY165" s="22">
        <f t="shared" si="181"/>
        <v>0.77228446518250293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3.813056537183002E-14</v>
      </c>
      <c r="FG165" s="13">
        <f t="shared" si="182"/>
        <v>6.4086286045526829E-13</v>
      </c>
      <c r="FH165" s="20">
        <f t="shared" si="183"/>
        <v>1.1825802166488628E-12</v>
      </c>
      <c r="FI165" s="59">
        <f t="shared" si="131"/>
        <v>293.33333333333451</v>
      </c>
      <c r="FJ165" s="59">
        <f ca="1">AVERAGE(OFFSET($FI$3,0,0,'Données projet'!$E$16+1,1))-AVERAGE(OFFSET($H$3,0,0,'Données projet'!$E$16+1,1))</f>
        <v>156.63226020379989</v>
      </c>
      <c r="FK165" s="59">
        <f t="shared" si="156"/>
        <v>196.0481096619543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0.22314067597561324</v>
      </c>
      <c r="FS165" s="21">
        <f>EXP(-LN(2)/2)*FS164+(1-EXP(-LN(2)/2))/(LN(2)/2)*FM165*FP165*VLOOKUP('Données projet'!$B$16,Paramètres!$A$1:$I$89,3,0)*0.475*44/12</f>
        <v>1.2296845944562145E-19</v>
      </c>
      <c r="FT165" s="22">
        <f t="shared" si="184"/>
        <v>0.22314067597561324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-4.5474735088646412E-13</v>
      </c>
      <c r="GA165" s="17">
        <f>FZ165*VLOOKUP('Données projet'!$B$17,Paramètres!$A$1:$I$89,3,0)*VLOOKUP('Données projet'!$B$17,Paramètres!$A$1:$I$89,5,0)</f>
        <v>-2.7193891583010558E-13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216.94426559495264</v>
      </c>
      <c r="GF165" s="59">
        <f t="shared" si="158"/>
        <v>225.33715877618704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0.33070431374398429</v>
      </c>
      <c r="GN165" s="21">
        <f>EXP(-LN(2)/2)*GN164+(1-EXP(-LN(2)/2))/(LN(2)/2)*GH165*GK165*VLOOKUP('Données projet'!$B$17,Paramètres!$A$1:$I$89,3,0)*0.475*44/12</f>
        <v>3.2159279408606105E-19</v>
      </c>
      <c r="GO165" s="21">
        <f t="shared" si="187"/>
        <v>0.33070431374398429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-1.1368683772161603E-13</v>
      </c>
      <c r="GV165" s="17">
        <f>GU165*VLOOKUP('Données projet'!$B$18,Paramètres!$A$1:$I$89,3,0)*VLOOKUP('Données projet'!$B$18,Paramètres!$A$1:$I$89,5,0)</f>
        <v>-1.0995790944434703E-13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261.22357949323879</v>
      </c>
      <c r="HA165" s="59">
        <f t="shared" si="160"/>
        <v>163.41029152029387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8.5451191972613999E-2</v>
      </c>
      <c r="HI165" s="21">
        <f>EXP(-LN(2)/2)*HI164+(1-EXP(-LN(2)/2))/(LN(2)/2)*HC165*HF165*VLOOKUP('Données projet'!$B$18,Paramètres!$A$1:$I$89,3,0)*0.475*44/12</f>
        <v>8.9666222453117953E-20</v>
      </c>
      <c r="HJ165" s="22">
        <f t="shared" si="190"/>
        <v>8.5451191972613999E-2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237.22177246688199</v>
      </c>
      <c r="T166" s="59">
        <f t="shared" si="142"/>
        <v>149.27472147904302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227.99999999999986</v>
      </c>
      <c r="AJ166" s="13">
        <f>AI166*VLOOKUP('Données projet'!$B$10,Paramètres!$A$1:$I$89,3,0)*VLOOKUP('Données projet'!$B$10,Paramètres!$A$1:$I$89,5,0)</f>
        <v>199.18079999999992</v>
      </c>
      <c r="AK166" s="13">
        <f t="shared" si="164"/>
        <v>49.564089376413683</v>
      </c>
      <c r="AL166" s="20">
        <f t="shared" si="165"/>
        <v>433.23068233058694</v>
      </c>
      <c r="AM166" s="59">
        <f t="shared" si="113"/>
        <v>726.56401566392026</v>
      </c>
      <c r="AN166" s="59">
        <f ca="1">AVERAGE(OFFSET($AM$3,0,0,'Données projet'!$E$10+1,1))-AVERAGE(OFFSET($H$3,0,0,'Données projet'!$E$10+1,1))</f>
        <v>210.07838338464626</v>
      </c>
      <c r="AO166" s="59">
        <f t="shared" si="144"/>
        <v>241.76003724236273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0.38052196945128769</v>
      </c>
      <c r="AV166" s="21">
        <f>EXP(-LN(2)/25)*AV165+(1-EXP(-LN(2)/25))/(LN(2)/25)*Calculateur!AQ166*Calculateur!AS166*VLOOKUP('Données projet'!$B$10,Paramètres!$A$1:$I$89,3,0)*0.475*44/12</f>
        <v>0.33945103073594524</v>
      </c>
      <c r="AW166" s="21">
        <f>EXP(-LN(2)/2)*AW165+(1-EXP(-LN(2)/2))/(LN(2)/2)*AQ166*AT166*VLOOKUP('Données projet'!$B$10,Paramètres!$A$1:$I$89,3,0)*0.475*44/12</f>
        <v>1.5305549997630708E-19</v>
      </c>
      <c r="AX166" s="21">
        <f t="shared" si="166"/>
        <v>0.71997300018723287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3.9017322706058616E-13</v>
      </c>
      <c r="BF166" s="13">
        <f t="shared" si="167"/>
        <v>5.0025007393608908E-12</v>
      </c>
      <c r="BG166" s="20">
        <f t="shared" si="168"/>
        <v>9.3922404915174053E-12</v>
      </c>
      <c r="BH166" s="59">
        <f t="shared" si="116"/>
        <v>293.33333333334269</v>
      </c>
      <c r="BI166" s="59">
        <f ca="1">AVERAGE(OFFSET($BH$3,0,0,'Données projet'!$E$11+1,1))-AVERAGE(OFFSET($H$3,0,0,'Données projet'!$E$11+1,1))</f>
        <v>209.93608079129638</v>
      </c>
      <c r="BJ166" s="59">
        <f t="shared" si="146"/>
        <v>240.15652428700969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0.49920422078248061</v>
      </c>
      <c r="BQ166" s="21">
        <f>EXP(-LN(2)/25)*BQ165+(1-EXP(-LN(2)/25))/(LN(2)/25)*Calculateur!BL166*Calculateur!BN166*VLOOKUP('Données projet'!$B$11,Paramètres!$A$1:$I$89,3,0)*0.475*44/12</f>
        <v>0.52039272761459021</v>
      </c>
      <c r="BR166" s="21">
        <f>EXP(-LN(2)/2)*BR165+(1-EXP(-LN(2)/2))/(LN(2)/2)*BL166*BO166*VLOOKUP('Données projet'!$B$11,Paramètres!$A$1:$I$89,3,0)*0.475*44/12</f>
        <v>1.9349027805821858E-19</v>
      </c>
      <c r="BS166" s="22">
        <f t="shared" si="169"/>
        <v>1.0195969483970708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215.23235148064941</v>
      </c>
      <c r="CE166" s="59">
        <f t="shared" si="148"/>
        <v>184.07239726900434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0.22504304560095945</v>
      </c>
      <c r="CL166" s="21">
        <f>EXP(-LN(2)/25)*CL165+(1-EXP(-LN(2)/25))/(LN(2)/25)*Calculateur!CG166*Calculateur!CI166*VLOOKUP('Données projet'!$B$12,Paramètres!$A$1:$I$89,3,0)*0.475*44/12</f>
        <v>0.19664924588946858</v>
      </c>
      <c r="CM166" s="21">
        <f>EXP(-LN(2)/2)*CM165+(1-EXP(-LN(2)/2))/(LN(2)/2)*CG166*CJ166*VLOOKUP('Données projet'!$B$12,Paramètres!$A$1:$I$89,3,0)*0.475*44/12</f>
        <v>9.4222571680668456E-20</v>
      </c>
      <c r="CN166" s="22">
        <f t="shared" si="172"/>
        <v>0.42169229149042803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-1.1527845344971866E-13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279.20364724206644</v>
      </c>
      <c r="CZ166" s="59">
        <f t="shared" si="150"/>
        <v>173.99850582760712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8.7136195181267737E-2</v>
      </c>
      <c r="DH166" s="21">
        <f>EXP(-LN(2)/2)*DH165+(1-EXP(-LN(2)/2))/(LN(2)/2)*DB166*DE166*VLOOKUP('Données projet'!$B$13,Paramètres!$A$1:$I$89,3,0)*0.475*44/12</f>
        <v>6.6471509775786714E-20</v>
      </c>
      <c r="DI166" s="22">
        <f t="shared" si="175"/>
        <v>8.7136195181267737E-2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-1.1882548278663309E-13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291.18074901939718</v>
      </c>
      <c r="DU166" s="59">
        <f t="shared" si="152"/>
        <v>181.05123751753774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8.9817308879152929E-2</v>
      </c>
      <c r="EC166" s="21">
        <f>EXP(-LN(2)/2)*EC165+(1-EXP(-LN(2)/2))/(LN(2)/2)*DW166*DZ166*VLOOKUP('Données projet'!$B$14,Paramètres!$A$1:$I$89,3,0)*0.475*44/12</f>
        <v>6.851678699965714E-20</v>
      </c>
      <c r="ED166" s="22">
        <f t="shared" si="178"/>
        <v>8.9817308879152929E-2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168.08890945052406</v>
      </c>
      <c r="EP166" s="59">
        <f t="shared" si="154"/>
        <v>182.52462557642343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0.44600110473127719</v>
      </c>
      <c r="EW166" s="21">
        <f>EXP(-LN(2)/25)*EW165+(1-EXP(-LN(2)/25))/(LN(2)/25)*Calculateur!ER166*Calculateur!ET166*VLOOKUP('Données projet'!$B$15,Paramètres!$A$1:$I$89,3,0)*0.475*44/12</f>
        <v>0.30868432300457155</v>
      </c>
      <c r="EX166" s="21">
        <f>EXP(-LN(2)/2)*EX165+(1-EXP(-LN(2)/2))/(LN(2)/2)*ER166*EU166*VLOOKUP('Données projet'!$B$15,Paramètres!$A$1:$I$89,3,0)*0.475*44/12</f>
        <v>5.2186526665317378E-20</v>
      </c>
      <c r="EY166" s="22">
        <f t="shared" si="181"/>
        <v>0.75468542773584879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3.813056537183002E-14</v>
      </c>
      <c r="FG166" s="13">
        <f t="shared" si="182"/>
        <v>6.4086286045526829E-13</v>
      </c>
      <c r="FH166" s="20">
        <f t="shared" si="183"/>
        <v>1.1825802166488628E-12</v>
      </c>
      <c r="FI166" s="59">
        <f t="shared" si="131"/>
        <v>293.33333333333451</v>
      </c>
      <c r="FJ166" s="59">
        <f ca="1">AVERAGE(OFFSET($FI$3,0,0,'Données projet'!$E$16+1,1))-AVERAGE(OFFSET($H$3,0,0,'Données projet'!$E$16+1,1))</f>
        <v>156.63226020379989</v>
      </c>
      <c r="FK166" s="59">
        <f t="shared" si="156"/>
        <v>196.0481096619543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0.21703888245660194</v>
      </c>
      <c r="FS166" s="21">
        <f>EXP(-LN(2)/2)*FS165+(1-EXP(-LN(2)/2))/(LN(2)/2)*FM166*FP166*VLOOKUP('Données projet'!$B$16,Paramètres!$A$1:$I$89,3,0)*0.475*44/12</f>
        <v>8.6951831546061892E-20</v>
      </c>
      <c r="FT166" s="22">
        <f t="shared" si="184"/>
        <v>0.21703888245660194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-4.5474735088646412E-13</v>
      </c>
      <c r="GA166" s="17">
        <f>FZ166*VLOOKUP('Données projet'!$B$17,Paramètres!$A$1:$I$89,3,0)*VLOOKUP('Données projet'!$B$17,Paramètres!$A$1:$I$89,5,0)</f>
        <v>-2.7193891583010558E-13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216.94426559495264</v>
      </c>
      <c r="GF166" s="59">
        <f t="shared" si="158"/>
        <v>225.33715877618704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0.32166118689367101</v>
      </c>
      <c r="GN166" s="21">
        <f>EXP(-LN(2)/2)*GN165+(1-EXP(-LN(2)/2))/(LN(2)/2)*GH166*GK166*VLOOKUP('Données projet'!$B$17,Paramètres!$A$1:$I$89,3,0)*0.475*44/12</f>
        <v>2.274004454789828E-19</v>
      </c>
      <c r="GO166" s="21">
        <f t="shared" si="187"/>
        <v>0.32166118689367101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-1.1368683772161603E-13</v>
      </c>
      <c r="GV166" s="17">
        <f>GU166*VLOOKUP('Données projet'!$B$18,Paramètres!$A$1:$I$89,3,0)*VLOOKUP('Données projet'!$B$18,Paramètres!$A$1:$I$89,5,0)</f>
        <v>-1.0995790944434703E-13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261.22357949323879</v>
      </c>
      <c r="HA166" s="59">
        <f t="shared" si="160"/>
        <v>163.41029152029387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8.3114524634439982E-2</v>
      </c>
      <c r="HI166" s="21">
        <f>EXP(-LN(2)/2)*HI165+(1-EXP(-LN(2)/2))/(LN(2)/2)*HC166*HF166*VLOOKUP('Données projet'!$B$18,Paramètres!$A$1:$I$89,3,0)*0.475*44/12</f>
        <v>6.340359393998117E-20</v>
      </c>
      <c r="HJ166" s="22">
        <f t="shared" si="190"/>
        <v>8.3114524634439982E-2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237.22177246688199</v>
      </c>
      <c r="T167" s="59">
        <f t="shared" si="142"/>
        <v>149.27472147904302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227.99999999999986</v>
      </c>
      <c r="AJ167" s="13">
        <f>AI167*VLOOKUP('Données projet'!$B$10,Paramètres!$A$1:$I$89,3,0)*VLOOKUP('Données projet'!$B$10,Paramètres!$A$1:$I$89,5,0)</f>
        <v>199.18079999999992</v>
      </c>
      <c r="AK167" s="13">
        <f t="shared" si="164"/>
        <v>49.564089376413683</v>
      </c>
      <c r="AL167" s="20">
        <f t="shared" si="165"/>
        <v>433.23068233058694</v>
      </c>
      <c r="AM167" s="59">
        <f t="shared" si="113"/>
        <v>726.56401566392026</v>
      </c>
      <c r="AN167" s="59">
        <f ca="1">AVERAGE(OFFSET($AM$3,0,0,'Données projet'!$E$10+1,1))-AVERAGE(OFFSET($H$3,0,0,'Données projet'!$E$10+1,1))</f>
        <v>210.07838338464626</v>
      </c>
      <c r="AO167" s="59">
        <f t="shared" si="144"/>
        <v>241.76003724236273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0.37306016572583178</v>
      </c>
      <c r="AV167" s="21">
        <f>EXP(-LN(2)/25)*AV166+(1-EXP(-LN(2)/25))/(LN(2)/25)*Calculateur!AQ167*Calculateur!AS167*VLOOKUP('Données projet'!$B$10,Paramètres!$A$1:$I$89,3,0)*0.475*44/12</f>
        <v>0.33016872444951695</v>
      </c>
      <c r="AW167" s="21">
        <f>EXP(-LN(2)/2)*AW166+(1-EXP(-LN(2)/2))/(LN(2)/2)*AQ167*AT167*VLOOKUP('Données projet'!$B$10,Paramètres!$A$1:$I$89,3,0)*0.475*44/12</f>
        <v>1.082265819311442E-19</v>
      </c>
      <c r="AX167" s="21">
        <f t="shared" si="166"/>
        <v>0.70322889017534873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3.9017322706058616E-13</v>
      </c>
      <c r="BF167" s="13">
        <f t="shared" si="167"/>
        <v>5.0025007393608908E-12</v>
      </c>
      <c r="BG167" s="20">
        <f t="shared" si="168"/>
        <v>9.3922404915174053E-12</v>
      </c>
      <c r="BH167" s="59">
        <f t="shared" si="116"/>
        <v>293.33333333334269</v>
      </c>
      <c r="BI167" s="59">
        <f ca="1">AVERAGE(OFFSET($BH$3,0,0,'Données projet'!$E$11+1,1))-AVERAGE(OFFSET($H$3,0,0,'Données projet'!$E$11+1,1))</f>
        <v>209.93608079129638</v>
      </c>
      <c r="BJ167" s="59">
        <f t="shared" si="146"/>
        <v>240.15652428700969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0.48941513049744551</v>
      </c>
      <c r="BQ167" s="21">
        <f>EXP(-LN(2)/25)*BQ166+(1-EXP(-LN(2)/25))/(LN(2)/25)*Calculateur!BL167*Calculateur!BN167*VLOOKUP('Données projet'!$B$11,Paramètres!$A$1:$I$89,3,0)*0.475*44/12</f>
        <v>0.5061625611117051</v>
      </c>
      <c r="BR167" s="21">
        <f>EXP(-LN(2)/2)*BR166+(1-EXP(-LN(2)/2))/(LN(2)/2)*BL167*BO167*VLOOKUP('Données projet'!$B$11,Paramètres!$A$1:$I$89,3,0)*0.475*44/12</f>
        <v>1.36818287708637E-19</v>
      </c>
      <c r="BS167" s="22">
        <f t="shared" si="169"/>
        <v>0.99557769160915055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215.23235148064941</v>
      </c>
      <c r="CE167" s="59">
        <f t="shared" si="148"/>
        <v>184.07239726900434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0.22063008873942888</v>
      </c>
      <c r="CL167" s="21">
        <f>EXP(-LN(2)/25)*CL166+(1-EXP(-LN(2)/25))/(LN(2)/25)*Calculateur!CG167*Calculateur!CI167*VLOOKUP('Données projet'!$B$12,Paramètres!$A$1:$I$89,3,0)*0.475*44/12</f>
        <v>0.19127186191928666</v>
      </c>
      <c r="CM167" s="21">
        <f>EXP(-LN(2)/2)*CM166+(1-EXP(-LN(2)/2))/(LN(2)/2)*CG167*CJ167*VLOOKUP('Données projet'!$B$12,Paramètres!$A$1:$I$89,3,0)*0.475*44/12</f>
        <v>6.6625419376236218E-20</v>
      </c>
      <c r="CN167" s="22">
        <f t="shared" si="172"/>
        <v>0.41190195065871554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-1.1527845344971866E-13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279.20364724206644</v>
      </c>
      <c r="CZ167" s="59">
        <f t="shared" si="150"/>
        <v>173.99850582760712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8.4753451341742614E-2</v>
      </c>
      <c r="DH167" s="21">
        <f>EXP(-LN(2)/2)*DH166+(1-EXP(-LN(2)/2))/(LN(2)/2)*DB167*DE167*VLOOKUP('Données projet'!$B$13,Paramètres!$A$1:$I$89,3,0)*0.475*44/12</f>
        <v>4.7002455318166671E-20</v>
      </c>
      <c r="DI167" s="22">
        <f t="shared" si="175"/>
        <v>8.4753451341742614E-2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-1.1882548278663309E-13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291.18074901939718</v>
      </c>
      <c r="DU167" s="59">
        <f t="shared" si="152"/>
        <v>181.05123751753774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8.7361249844565503E-2</v>
      </c>
      <c r="EC167" s="21">
        <f>EXP(-LN(2)/2)*EC166+(1-EXP(-LN(2)/2))/(LN(2)/2)*DW167*DZ167*VLOOKUP('Données projet'!$B$14,Paramètres!$A$1:$I$89,3,0)*0.475*44/12</f>
        <v>4.8448684712571846E-20</v>
      </c>
      <c r="ED167" s="22">
        <f t="shared" si="178"/>
        <v>8.7361249844565503E-2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168.08890945052406</v>
      </c>
      <c r="EP167" s="59">
        <f t="shared" si="154"/>
        <v>182.52462557642343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0.43725529510130962</v>
      </c>
      <c r="EW167" s="21">
        <f>EXP(-LN(2)/25)*EW166+(1-EXP(-LN(2)/25))/(LN(2)/25)*Calculateur!ER167*Calculateur!ET167*VLOOKUP('Données projet'!$B$15,Paramètres!$A$1:$I$89,3,0)*0.475*44/12</f>
        <v>0.30024333395900848</v>
      </c>
      <c r="EX167" s="21">
        <f>EXP(-LN(2)/2)*EX166+(1-EXP(-LN(2)/2))/(LN(2)/2)*ER167*EU167*VLOOKUP('Données projet'!$B$15,Paramètres!$A$1:$I$89,3,0)*0.475*44/12</f>
        <v>3.6901446891618503E-20</v>
      </c>
      <c r="EY167" s="22">
        <f t="shared" si="181"/>
        <v>0.73749862906031804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3.813056537183002E-14</v>
      </c>
      <c r="FG167" s="13">
        <f t="shared" si="182"/>
        <v>6.4086286045526829E-13</v>
      </c>
      <c r="FH167" s="20">
        <f t="shared" si="183"/>
        <v>1.1825802166488628E-12</v>
      </c>
      <c r="FI167" s="59">
        <f t="shared" si="131"/>
        <v>293.33333333333451</v>
      </c>
      <c r="FJ167" s="59">
        <f ca="1">AVERAGE(OFFSET($FI$3,0,0,'Données projet'!$E$16+1,1))-AVERAGE(OFFSET($H$3,0,0,'Données projet'!$E$16+1,1))</f>
        <v>156.63226020379989</v>
      </c>
      <c r="FK167" s="59">
        <f t="shared" si="156"/>
        <v>196.0481096619543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0.21110394280224737</v>
      </c>
      <c r="FS167" s="21">
        <f>EXP(-LN(2)/2)*FS166+(1-EXP(-LN(2)/2))/(LN(2)/2)*FM167*FP167*VLOOKUP('Données projet'!$B$16,Paramètres!$A$1:$I$89,3,0)*0.475*44/12</f>
        <v>6.1484229722810727E-20</v>
      </c>
      <c r="FT167" s="22">
        <f t="shared" si="184"/>
        <v>0.21110394280224737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-4.5474735088646412E-13</v>
      </c>
      <c r="GA167" s="17">
        <f>FZ167*VLOOKUP('Données projet'!$B$17,Paramètres!$A$1:$I$89,3,0)*VLOOKUP('Données projet'!$B$17,Paramètres!$A$1:$I$89,5,0)</f>
        <v>-2.7193891583010558E-13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216.94426559495264</v>
      </c>
      <c r="GF167" s="59">
        <f t="shared" si="158"/>
        <v>225.33715877618704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0.31286534482263695</v>
      </c>
      <c r="GN167" s="21">
        <f>EXP(-LN(2)/2)*GN166+(1-EXP(-LN(2)/2))/(LN(2)/2)*GH167*GK167*VLOOKUP('Données projet'!$B$17,Paramètres!$A$1:$I$89,3,0)*0.475*44/12</f>
        <v>1.6079639704303053E-19</v>
      </c>
      <c r="GO167" s="21">
        <f t="shared" si="187"/>
        <v>0.31286534482263695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-1.1368683772161603E-13</v>
      </c>
      <c r="GV167" s="17">
        <f>GU167*VLOOKUP('Données projet'!$B$18,Paramètres!$A$1:$I$89,3,0)*VLOOKUP('Données projet'!$B$18,Paramètres!$A$1:$I$89,5,0)</f>
        <v>-1.0995790944434703E-13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261.22357949323879</v>
      </c>
      <c r="HA167" s="59">
        <f t="shared" si="160"/>
        <v>163.41029152029387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8.0841753587508336E-2</v>
      </c>
      <c r="HI167" s="21">
        <f>EXP(-LN(2)/2)*HI166+(1-EXP(-LN(2)/2))/(LN(2)/2)*HC167*HF167*VLOOKUP('Données projet'!$B$18,Paramètres!$A$1:$I$89,3,0)*0.475*44/12</f>
        <v>4.4833111226558977E-20</v>
      </c>
      <c r="HJ167" s="22">
        <f t="shared" si="190"/>
        <v>8.0841753587508336E-2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237.22177246688199</v>
      </c>
      <c r="T168" s="59">
        <f t="shared" si="142"/>
        <v>149.27472147904302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227.99999999999986</v>
      </c>
      <c r="AJ168" s="13">
        <f>AI168*VLOOKUP('Données projet'!$B$10,Paramètres!$A$1:$I$89,3,0)*VLOOKUP('Données projet'!$B$10,Paramètres!$A$1:$I$89,5,0)</f>
        <v>199.18079999999992</v>
      </c>
      <c r="AK168" s="13">
        <f t="shared" si="164"/>
        <v>49.564089376413683</v>
      </c>
      <c r="AL168" s="20">
        <f t="shared" si="165"/>
        <v>433.23068233058694</v>
      </c>
      <c r="AM168" s="59">
        <f t="shared" si="113"/>
        <v>726.56401566392026</v>
      </c>
      <c r="AN168" s="59">
        <f ca="1">AVERAGE(OFFSET($AM$3,0,0,'Données projet'!$E$10+1,1))-AVERAGE(OFFSET($H$3,0,0,'Données projet'!$E$10+1,1))</f>
        <v>210.07838338464626</v>
      </c>
      <c r="AO168" s="59">
        <f t="shared" si="144"/>
        <v>241.76003724236273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0.36574468342018118</v>
      </c>
      <c r="AV168" s="21">
        <f>EXP(-LN(2)/25)*AV167+(1-EXP(-LN(2)/25))/(LN(2)/25)*Calculateur!AQ168*Calculateur!AS168*VLOOKUP('Données projet'!$B$10,Paramètres!$A$1:$I$89,3,0)*0.475*44/12</f>
        <v>0.32114024331662627</v>
      </c>
      <c r="AW168" s="21">
        <f>EXP(-LN(2)/2)*AW167+(1-EXP(-LN(2)/2))/(LN(2)/2)*AQ168*AT168*VLOOKUP('Données projet'!$B$10,Paramètres!$A$1:$I$89,3,0)*0.475*44/12</f>
        <v>7.6527749988153551E-20</v>
      </c>
      <c r="AX168" s="21">
        <f t="shared" si="166"/>
        <v>0.68688492673680746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3.9017322706058616E-13</v>
      </c>
      <c r="BF168" s="13">
        <f t="shared" si="167"/>
        <v>5.0025007393608908E-12</v>
      </c>
      <c r="BG168" s="20">
        <f t="shared" si="168"/>
        <v>9.3922404915174053E-12</v>
      </c>
      <c r="BH168" s="59">
        <f t="shared" si="116"/>
        <v>293.33333333334269</v>
      </c>
      <c r="BI168" s="59">
        <f ca="1">AVERAGE(OFFSET($BH$3,0,0,'Données projet'!$E$11+1,1))-AVERAGE(OFFSET($H$3,0,0,'Données projet'!$E$11+1,1))</f>
        <v>209.93608079129638</v>
      </c>
      <c r="BJ168" s="59">
        <f t="shared" si="146"/>
        <v>240.15652428700969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0.47981799830214444</v>
      </c>
      <c r="BQ168" s="21">
        <f>EXP(-LN(2)/25)*BQ167+(1-EXP(-LN(2)/25))/(LN(2)/25)*Calculateur!BL168*Calculateur!BN168*VLOOKUP('Données projet'!$B$11,Paramètres!$A$1:$I$89,3,0)*0.475*44/12</f>
        <v>0.49232151926017331</v>
      </c>
      <c r="BR168" s="21">
        <f>EXP(-LN(2)/2)*BR167+(1-EXP(-LN(2)/2))/(LN(2)/2)*BL168*BO168*VLOOKUP('Données projet'!$B$11,Paramètres!$A$1:$I$89,3,0)*0.475*44/12</f>
        <v>9.674513902910929E-20</v>
      </c>
      <c r="BS168" s="22">
        <f t="shared" si="169"/>
        <v>0.97213951756231776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215.23235148064941</v>
      </c>
      <c r="CE168" s="59">
        <f t="shared" si="148"/>
        <v>184.07239726900434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0.21630366727031503</v>
      </c>
      <c r="CL168" s="21">
        <f>EXP(-LN(2)/25)*CL167+(1-EXP(-LN(2)/25))/(LN(2)/25)*Calculateur!CG168*Calculateur!CI168*VLOOKUP('Données projet'!$B$12,Paramètres!$A$1:$I$89,3,0)*0.475*44/12</f>
        <v>0.1860415227965537</v>
      </c>
      <c r="CM168" s="21">
        <f>EXP(-LN(2)/2)*CM167+(1-EXP(-LN(2)/2))/(LN(2)/2)*CG168*CJ168*VLOOKUP('Données projet'!$B$12,Paramètres!$A$1:$I$89,3,0)*0.475*44/12</f>
        <v>4.7111285840334228E-20</v>
      </c>
      <c r="CN168" s="22">
        <f t="shared" si="172"/>
        <v>0.40234519006686875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-1.1527845344971866E-13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279.20364724206644</v>
      </c>
      <c r="CZ168" s="59">
        <f t="shared" si="150"/>
        <v>173.99850582760712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8.2435863757812367E-2</v>
      </c>
      <c r="DH168" s="21">
        <f>EXP(-LN(2)/2)*DH167+(1-EXP(-LN(2)/2))/(LN(2)/2)*DB168*DE168*VLOOKUP('Données projet'!$B$13,Paramètres!$A$1:$I$89,3,0)*0.475*44/12</f>
        <v>3.3235754887893357E-20</v>
      </c>
      <c r="DI168" s="22">
        <f t="shared" si="175"/>
        <v>8.2435863757812367E-2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-1.1882548278663309E-13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291.18074901939718</v>
      </c>
      <c r="DU168" s="59">
        <f t="shared" si="152"/>
        <v>181.05123751753774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8.4972351873437393E-2</v>
      </c>
      <c r="EC168" s="21">
        <f>EXP(-LN(2)/2)*EC167+(1-EXP(-LN(2)/2))/(LN(2)/2)*DW168*DZ168*VLOOKUP('Données projet'!$B$14,Paramètres!$A$1:$I$89,3,0)*0.475*44/12</f>
        <v>3.425839349982857E-20</v>
      </c>
      <c r="ED168" s="22">
        <f t="shared" si="178"/>
        <v>8.4972351873437393E-2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168.08890945052406</v>
      </c>
      <c r="EP168" s="59">
        <f t="shared" si="154"/>
        <v>182.52462557642343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0.42868098546376859</v>
      </c>
      <c r="EW168" s="21">
        <f>EXP(-LN(2)/25)*EW167+(1-EXP(-LN(2)/25))/(LN(2)/25)*Calculateur!ER168*Calculateur!ET168*VLOOKUP('Données projet'!$B$15,Paramètres!$A$1:$I$89,3,0)*0.475*44/12</f>
        <v>0.29203316420278869</v>
      </c>
      <c r="EX168" s="21">
        <f>EXP(-LN(2)/2)*EX167+(1-EXP(-LN(2)/2))/(LN(2)/2)*ER168*EU168*VLOOKUP('Données projet'!$B$15,Paramètres!$A$1:$I$89,3,0)*0.475*44/12</f>
        <v>2.6093263332658689E-20</v>
      </c>
      <c r="EY168" s="22">
        <f t="shared" si="181"/>
        <v>0.72071414966655722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3.813056537183002E-14</v>
      </c>
      <c r="FG168" s="13">
        <f t="shared" si="182"/>
        <v>6.4086286045526829E-13</v>
      </c>
      <c r="FH168" s="20">
        <f t="shared" si="183"/>
        <v>1.1825802166488628E-12</v>
      </c>
      <c r="FI168" s="59">
        <f t="shared" si="131"/>
        <v>293.33333333333451</v>
      </c>
      <c r="FJ168" s="59">
        <f ca="1">AVERAGE(OFFSET($FI$3,0,0,'Données projet'!$E$16+1,1))-AVERAGE(OFFSET($H$3,0,0,'Données projet'!$E$16+1,1))</f>
        <v>156.63226020379989</v>
      </c>
      <c r="FK168" s="59">
        <f t="shared" si="156"/>
        <v>196.0481096619543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0.20533129438484604</v>
      </c>
      <c r="FS168" s="21">
        <f>EXP(-LN(2)/2)*FS167+(1-EXP(-LN(2)/2))/(LN(2)/2)*FM168*FP168*VLOOKUP('Données projet'!$B$16,Paramètres!$A$1:$I$89,3,0)*0.475*44/12</f>
        <v>4.3475915773030946E-20</v>
      </c>
      <c r="FT168" s="22">
        <f t="shared" si="184"/>
        <v>0.20533129438484604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-4.5474735088646412E-13</v>
      </c>
      <c r="GA168" s="17">
        <f>FZ168*VLOOKUP('Données projet'!$B$17,Paramètres!$A$1:$I$89,3,0)*VLOOKUP('Données projet'!$B$17,Paramètres!$A$1:$I$89,5,0)</f>
        <v>-2.7193891583010558E-13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216.94426559495264</v>
      </c>
      <c r="GF168" s="59">
        <f t="shared" si="158"/>
        <v>225.33715877618704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0.3043100255155885</v>
      </c>
      <c r="GN168" s="21">
        <f>EXP(-LN(2)/2)*GN167+(1-EXP(-LN(2)/2))/(LN(2)/2)*GH168*GK168*VLOOKUP('Données projet'!$B$17,Paramètres!$A$1:$I$89,3,0)*0.475*44/12</f>
        <v>1.137002227394914E-19</v>
      </c>
      <c r="GO168" s="21">
        <f t="shared" si="187"/>
        <v>0.3043100255155885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-1.1368683772161603E-13</v>
      </c>
      <c r="GV168" s="17">
        <f>GU168*VLOOKUP('Données projet'!$B$18,Paramètres!$A$1:$I$89,3,0)*VLOOKUP('Données projet'!$B$18,Paramètres!$A$1:$I$89,5,0)</f>
        <v>-1.0995790944434703E-13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261.22357949323879</v>
      </c>
      <c r="HA168" s="59">
        <f t="shared" si="160"/>
        <v>163.41029152029387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7.8631131584374861E-2</v>
      </c>
      <c r="HI168" s="21">
        <f>EXP(-LN(2)/2)*HI167+(1-EXP(-LN(2)/2))/(LN(2)/2)*HC168*HF168*VLOOKUP('Données projet'!$B$18,Paramètres!$A$1:$I$89,3,0)*0.475*44/12</f>
        <v>3.1701796969990585E-20</v>
      </c>
      <c r="HJ168" s="22">
        <f t="shared" si="190"/>
        <v>7.8631131584374861E-2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237.22177246688199</v>
      </c>
      <c r="T169" s="59">
        <f t="shared" si="142"/>
        <v>149.27472147904302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227.99999999999986</v>
      </c>
      <c r="AJ169" s="13">
        <f>AI169*VLOOKUP('Données projet'!$B$10,Paramètres!$A$1:$I$89,3,0)*VLOOKUP('Données projet'!$B$10,Paramètres!$A$1:$I$89,5,0)</f>
        <v>199.18079999999992</v>
      </c>
      <c r="AK169" s="13">
        <f t="shared" si="164"/>
        <v>49.564089376413683</v>
      </c>
      <c r="AL169" s="20">
        <f t="shared" si="165"/>
        <v>433.23068233058694</v>
      </c>
      <c r="AM169" s="59">
        <f t="shared" si="113"/>
        <v>726.56401566392026</v>
      </c>
      <c r="AN169" s="59">
        <f ca="1">AVERAGE(OFFSET($AM$3,0,0,'Données projet'!$E$10+1,1))-AVERAGE(OFFSET($H$3,0,0,'Données projet'!$E$10+1,1))</f>
        <v>210.07838338464626</v>
      </c>
      <c r="AO169" s="59">
        <f t="shared" si="144"/>
        <v>241.76003724236273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0.35857265326054077</v>
      </c>
      <c r="AV169" s="21">
        <f>EXP(-LN(2)/25)*AV168+(1-EXP(-LN(2)/25))/(LN(2)/25)*Calculateur!AQ169*Calculateur!AS169*VLOOKUP('Données projet'!$B$10,Paramètres!$A$1:$I$89,3,0)*0.475*44/12</f>
        <v>0.3123586464751017</v>
      </c>
      <c r="AW169" s="21">
        <f>EXP(-LN(2)/2)*AW168+(1-EXP(-LN(2)/2))/(LN(2)/2)*AQ169*AT169*VLOOKUP('Données projet'!$B$10,Paramètres!$A$1:$I$89,3,0)*0.475*44/12</f>
        <v>5.4113290965572114E-20</v>
      </c>
      <c r="AX169" s="21">
        <f t="shared" si="166"/>
        <v>0.67093129973564247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3.9017322706058616E-13</v>
      </c>
      <c r="BF169" s="13">
        <f t="shared" si="167"/>
        <v>5.0025007393608908E-12</v>
      </c>
      <c r="BG169" s="20">
        <f t="shared" si="168"/>
        <v>9.3922404915174053E-12</v>
      </c>
      <c r="BH169" s="59">
        <f t="shared" si="116"/>
        <v>293.33333333334269</v>
      </c>
      <c r="BI169" s="59">
        <f ca="1">AVERAGE(OFFSET($BH$3,0,0,'Données projet'!$E$11+1,1))-AVERAGE(OFFSET($H$3,0,0,'Données projet'!$E$11+1,1))</f>
        <v>209.93608079129638</v>
      </c>
      <c r="BJ169" s="59">
        <f t="shared" si="146"/>
        <v>240.15652428700969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0.47040906001552057</v>
      </c>
      <c r="BQ169" s="21">
        <f>EXP(-LN(2)/25)*BQ168+(1-EXP(-LN(2)/25))/(LN(2)/25)*Calculateur!BL169*Calculateur!BN169*VLOOKUP('Données projet'!$B$11,Paramètres!$A$1:$I$89,3,0)*0.475*44/12</f>
        <v>0.47885896142594037</v>
      </c>
      <c r="BR169" s="21">
        <f>EXP(-LN(2)/2)*BR168+(1-EXP(-LN(2)/2))/(LN(2)/2)*BL169*BO169*VLOOKUP('Données projet'!$B$11,Paramètres!$A$1:$I$89,3,0)*0.475*44/12</f>
        <v>6.8409143854318501E-20</v>
      </c>
      <c r="BS169" s="22">
        <f t="shared" si="169"/>
        <v>0.94926802144146094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215.23235148064941</v>
      </c>
      <c r="CE169" s="59">
        <f t="shared" si="148"/>
        <v>184.07239726900434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0.21206208428735396</v>
      </c>
      <c r="CL169" s="21">
        <f>EXP(-LN(2)/25)*CL168+(1-EXP(-LN(2)/25))/(LN(2)/25)*Calculateur!CG169*Calculateur!CI169*VLOOKUP('Données projet'!$B$12,Paramètres!$A$1:$I$89,3,0)*0.475*44/12</f>
        <v>0.18095420757218345</v>
      </c>
      <c r="CM169" s="21">
        <f>EXP(-LN(2)/2)*CM168+(1-EXP(-LN(2)/2))/(LN(2)/2)*CG169*CJ169*VLOOKUP('Données projet'!$B$12,Paramètres!$A$1:$I$89,3,0)*0.475*44/12</f>
        <v>3.3312709688118109E-20</v>
      </c>
      <c r="CN169" s="22">
        <f t="shared" si="172"/>
        <v>0.3930162918595374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-1.1527845344971866E-13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279.20364724206644</v>
      </c>
      <c r="CZ169" s="59">
        <f t="shared" si="150"/>
        <v>173.99850582760712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8.0181650728241322E-2</v>
      </c>
      <c r="DH169" s="21">
        <f>EXP(-LN(2)/2)*DH168+(1-EXP(-LN(2)/2))/(LN(2)/2)*DB169*DE169*VLOOKUP('Données projet'!$B$13,Paramètres!$A$1:$I$89,3,0)*0.475*44/12</f>
        <v>2.3501227659083335E-20</v>
      </c>
      <c r="DI169" s="22">
        <f t="shared" si="175"/>
        <v>8.0181650728241322E-2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-1.1882548278663309E-13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291.18074901939718</v>
      </c>
      <c r="DU169" s="59">
        <f t="shared" si="152"/>
        <v>181.05123751753774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8.2648778442956469E-2</v>
      </c>
      <c r="EC169" s="21">
        <f>EXP(-LN(2)/2)*EC168+(1-EXP(-LN(2)/2))/(LN(2)/2)*DW169*DZ169*VLOOKUP('Données projet'!$B$14,Paramètres!$A$1:$I$89,3,0)*0.475*44/12</f>
        <v>2.4224342356285923E-20</v>
      </c>
      <c r="ED169" s="22">
        <f t="shared" si="178"/>
        <v>8.2648778442956469E-2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168.08890945052406</v>
      </c>
      <c r="EP169" s="59">
        <f t="shared" si="154"/>
        <v>182.52462557642343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0.42027481280840723</v>
      </c>
      <c r="EW169" s="21">
        <f>EXP(-LN(2)/25)*EW168+(1-EXP(-LN(2)/25))/(LN(2)/25)*Calculateur!ER169*Calculateur!ET169*VLOOKUP('Données projet'!$B$15,Paramètres!$A$1:$I$89,3,0)*0.475*44/12</f>
        <v>0.28404750197030676</v>
      </c>
      <c r="EX169" s="21">
        <f>EXP(-LN(2)/2)*EX168+(1-EXP(-LN(2)/2))/(LN(2)/2)*ER169*EU169*VLOOKUP('Données projet'!$B$15,Paramètres!$A$1:$I$89,3,0)*0.475*44/12</f>
        <v>1.8450723445809251E-20</v>
      </c>
      <c r="EY169" s="22">
        <f t="shared" si="181"/>
        <v>0.70432231477871399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3.813056537183002E-14</v>
      </c>
      <c r="FG169" s="13">
        <f t="shared" si="182"/>
        <v>6.4086286045526829E-13</v>
      </c>
      <c r="FH169" s="20">
        <f t="shared" si="183"/>
        <v>1.1825802166488628E-12</v>
      </c>
      <c r="FI169" s="59">
        <f t="shared" si="131"/>
        <v>293.33333333333451</v>
      </c>
      <c r="FJ169" s="59">
        <f ca="1">AVERAGE(OFFSET($FI$3,0,0,'Données projet'!$E$16+1,1))-AVERAGE(OFFSET($H$3,0,0,'Données projet'!$E$16+1,1))</f>
        <v>156.63226020379989</v>
      </c>
      <c r="FK169" s="59">
        <f t="shared" si="156"/>
        <v>196.0481096619543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0.19971649934198896</v>
      </c>
      <c r="FS169" s="21">
        <f>EXP(-LN(2)/2)*FS168+(1-EXP(-LN(2)/2))/(LN(2)/2)*FM169*FP169*VLOOKUP('Données projet'!$B$16,Paramètres!$A$1:$I$89,3,0)*0.475*44/12</f>
        <v>3.0742114861405363E-20</v>
      </c>
      <c r="FT169" s="22">
        <f t="shared" si="184"/>
        <v>0.19971649934198896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-4.5474735088646412E-13</v>
      </c>
      <c r="GA169" s="17">
        <f>FZ169*VLOOKUP('Données projet'!$B$17,Paramètres!$A$1:$I$89,3,0)*VLOOKUP('Données projet'!$B$17,Paramètres!$A$1:$I$89,5,0)</f>
        <v>-2.7193891583010558E-13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216.94426559495264</v>
      </c>
      <c r="GF169" s="59">
        <f t="shared" si="158"/>
        <v>225.33715877618704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0.29598865186489598</v>
      </c>
      <c r="GN169" s="21">
        <f>EXP(-LN(2)/2)*GN168+(1-EXP(-LN(2)/2))/(LN(2)/2)*GH169*GK169*VLOOKUP('Données projet'!$B$17,Paramètres!$A$1:$I$89,3,0)*0.475*44/12</f>
        <v>8.0398198521515263E-20</v>
      </c>
      <c r="GO169" s="21">
        <f t="shared" si="187"/>
        <v>0.29598865186489598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-1.1368683772161603E-13</v>
      </c>
      <c r="GV169" s="17">
        <f>GU169*VLOOKUP('Données projet'!$B$18,Paramètres!$A$1:$I$89,3,0)*VLOOKUP('Données projet'!$B$18,Paramètres!$A$1:$I$89,5,0)</f>
        <v>-1.0995790944434703E-13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261.22357949323879</v>
      </c>
      <c r="HA169" s="59">
        <f t="shared" si="160"/>
        <v>163.41029152029387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7.6480959156168635E-2</v>
      </c>
      <c r="HI169" s="21">
        <f>EXP(-LN(2)/2)*HI168+(1-EXP(-LN(2)/2))/(LN(2)/2)*HC169*HF169*VLOOKUP('Données projet'!$B$18,Paramètres!$A$1:$I$89,3,0)*0.475*44/12</f>
        <v>2.2416555613279488E-20</v>
      </c>
      <c r="HJ169" s="22">
        <f t="shared" si="190"/>
        <v>7.6480959156168635E-2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237.22177246688199</v>
      </c>
      <c r="T170" s="59">
        <f t="shared" si="142"/>
        <v>149.27472147904302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227.99999999999986</v>
      </c>
      <c r="AJ170" s="13">
        <f>AI170*VLOOKUP('Données projet'!$B$10,Paramètres!$A$1:$I$89,3,0)*VLOOKUP('Données projet'!$B$10,Paramètres!$A$1:$I$89,5,0)</f>
        <v>199.18079999999992</v>
      </c>
      <c r="AK170" s="13">
        <f t="shared" si="164"/>
        <v>49.564089376413683</v>
      </c>
      <c r="AL170" s="20">
        <f t="shared" si="165"/>
        <v>433.23068233058694</v>
      </c>
      <c r="AM170" s="59">
        <f t="shared" si="113"/>
        <v>726.56401566392026</v>
      </c>
      <c r="AN170" s="59">
        <f ca="1">AVERAGE(OFFSET($AM$3,0,0,'Données projet'!$E$10+1,1))-AVERAGE(OFFSET($H$3,0,0,'Données projet'!$E$10+1,1))</f>
        <v>210.07838338464626</v>
      </c>
      <c r="AO170" s="59">
        <f t="shared" si="144"/>
        <v>241.76003724236273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0.35154126223782445</v>
      </c>
      <c r="AV170" s="21">
        <f>EXP(-LN(2)/25)*AV169+(1-EXP(-LN(2)/25))/(LN(2)/25)*Calculateur!AQ170*Calculateur!AS170*VLOOKUP('Données projet'!$B$10,Paramètres!$A$1:$I$89,3,0)*0.475*44/12</f>
        <v>0.30381718286101272</v>
      </c>
      <c r="AW170" s="21">
        <f>EXP(-LN(2)/2)*AW169+(1-EXP(-LN(2)/2))/(LN(2)/2)*AQ170*AT170*VLOOKUP('Données projet'!$B$10,Paramètres!$A$1:$I$89,3,0)*0.475*44/12</f>
        <v>3.8263874994076782E-20</v>
      </c>
      <c r="AX170" s="21">
        <f t="shared" si="166"/>
        <v>0.65535844509883723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3.9017322706058616E-13</v>
      </c>
      <c r="BF170" s="13">
        <f t="shared" si="167"/>
        <v>5.0025007393608908E-12</v>
      </c>
      <c r="BG170" s="20">
        <f t="shared" si="168"/>
        <v>9.3922404915174053E-12</v>
      </c>
      <c r="BH170" s="59">
        <f t="shared" si="116"/>
        <v>293.33333333334269</v>
      </c>
      <c r="BI170" s="59">
        <f ca="1">AVERAGE(OFFSET($BH$3,0,0,'Données projet'!$E$11+1,1))-AVERAGE(OFFSET($H$3,0,0,'Données projet'!$E$11+1,1))</f>
        <v>209.93608079129638</v>
      </c>
      <c r="BJ170" s="59">
        <f t="shared" si="146"/>
        <v>240.15652428700969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0.46118462526981169</v>
      </c>
      <c r="BQ170" s="21">
        <f>EXP(-LN(2)/25)*BQ169+(1-EXP(-LN(2)/25))/(LN(2)/25)*Calculateur!BL170*Calculateur!BN170*VLOOKUP('Données projet'!$B$11,Paramètres!$A$1:$I$89,3,0)*0.475*44/12</f>
        <v>0.46576453794364969</v>
      </c>
      <c r="BR170" s="21">
        <f>EXP(-LN(2)/2)*BR169+(1-EXP(-LN(2)/2))/(LN(2)/2)*BL170*BO170*VLOOKUP('Données projet'!$B$11,Paramètres!$A$1:$I$89,3,0)*0.475*44/12</f>
        <v>4.8372569514554645E-20</v>
      </c>
      <c r="BS170" s="22">
        <f t="shared" si="169"/>
        <v>0.92694916321346144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215.23235148064941</v>
      </c>
      <c r="CE170" s="59">
        <f t="shared" si="148"/>
        <v>184.07239726900434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0.20790367615957858</v>
      </c>
      <c r="CL170" s="21">
        <f>EXP(-LN(2)/25)*CL169+(1-EXP(-LN(2)/25))/(LN(2)/25)*Calculateur!CG170*Calculateur!CI170*VLOOKUP('Données projet'!$B$12,Paramètres!$A$1:$I$89,3,0)*0.475*44/12</f>
        <v>0.17600600525015389</v>
      </c>
      <c r="CM170" s="21">
        <f>EXP(-LN(2)/2)*CM169+(1-EXP(-LN(2)/2))/(LN(2)/2)*CG170*CJ170*VLOOKUP('Données projet'!$B$12,Paramètres!$A$1:$I$89,3,0)*0.475*44/12</f>
        <v>2.3555642920167114E-20</v>
      </c>
      <c r="CN170" s="22">
        <f t="shared" si="172"/>
        <v>0.38390968140973247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-1.1527845344971866E-13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279.20364724206644</v>
      </c>
      <c r="CZ170" s="59">
        <f t="shared" si="150"/>
        <v>173.99850582760712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7.7989079272507811E-2</v>
      </c>
      <c r="DH170" s="21">
        <f>EXP(-LN(2)/2)*DH169+(1-EXP(-LN(2)/2))/(LN(2)/2)*DB170*DE170*VLOOKUP('Données projet'!$B$13,Paramètres!$A$1:$I$89,3,0)*0.475*44/12</f>
        <v>1.6617877443946678E-20</v>
      </c>
      <c r="DI170" s="22">
        <f t="shared" si="175"/>
        <v>7.7989079272507811E-2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-1.1882548278663309E-13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291.18074901939718</v>
      </c>
      <c r="DU170" s="59">
        <f t="shared" si="152"/>
        <v>181.05123751753774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8.0388743250123462E-2</v>
      </c>
      <c r="EC170" s="21">
        <f>EXP(-LN(2)/2)*EC169+(1-EXP(-LN(2)/2))/(LN(2)/2)*DW170*DZ170*VLOOKUP('Données projet'!$B$14,Paramètres!$A$1:$I$89,3,0)*0.475*44/12</f>
        <v>1.7129196749914285E-20</v>
      </c>
      <c r="ED170" s="22">
        <f t="shared" si="178"/>
        <v>8.0388743250123462E-2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168.08890945052406</v>
      </c>
      <c r="EP170" s="59">
        <f t="shared" si="154"/>
        <v>182.52462557642343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0.41203348007155849</v>
      </c>
      <c r="EW170" s="21">
        <f>EXP(-LN(2)/25)*EW169+(1-EXP(-LN(2)/25))/(LN(2)/25)*Calculateur!ER170*Calculateur!ET170*VLOOKUP('Données projet'!$B$15,Paramètres!$A$1:$I$89,3,0)*0.475*44/12</f>
        <v>0.27628020809151982</v>
      </c>
      <c r="EX170" s="21">
        <f>EXP(-LN(2)/2)*EX169+(1-EXP(-LN(2)/2))/(LN(2)/2)*ER170*EU170*VLOOKUP('Données projet'!$B$15,Paramètres!$A$1:$I$89,3,0)*0.475*44/12</f>
        <v>1.3046631666329345E-20</v>
      </c>
      <c r="EY170" s="22">
        <f t="shared" si="181"/>
        <v>0.68831368816307825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3.813056537183002E-14</v>
      </c>
      <c r="FG170" s="13">
        <f t="shared" si="182"/>
        <v>6.4086286045526829E-13</v>
      </c>
      <c r="FH170" s="20">
        <f t="shared" si="183"/>
        <v>1.1825802166488628E-12</v>
      </c>
      <c r="FI170" s="59">
        <f t="shared" si="131"/>
        <v>293.33333333333451</v>
      </c>
      <c r="FJ170" s="59">
        <f ca="1">AVERAGE(OFFSET($FI$3,0,0,'Données projet'!$E$16+1,1))-AVERAGE(OFFSET($H$3,0,0,'Données projet'!$E$16+1,1))</f>
        <v>156.63226020379989</v>
      </c>
      <c r="FK170" s="59">
        <f t="shared" si="156"/>
        <v>196.0481096619543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0.19425524116484802</v>
      </c>
      <c r="FS170" s="21">
        <f>EXP(-LN(2)/2)*FS169+(1-EXP(-LN(2)/2))/(LN(2)/2)*FM170*FP170*VLOOKUP('Données projet'!$B$16,Paramètres!$A$1:$I$89,3,0)*0.475*44/12</f>
        <v>2.1737957886515473E-20</v>
      </c>
      <c r="FT170" s="22">
        <f t="shared" si="184"/>
        <v>0.19425524116484802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-4.5474735088646412E-13</v>
      </c>
      <c r="GA170" s="17">
        <f>FZ170*VLOOKUP('Données projet'!$B$17,Paramètres!$A$1:$I$89,3,0)*VLOOKUP('Données projet'!$B$17,Paramètres!$A$1:$I$89,5,0)</f>
        <v>-2.7193891583010558E-13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216.94426559495264</v>
      </c>
      <c r="GF170" s="59">
        <f t="shared" si="158"/>
        <v>225.33715877618704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0.28789482661428367</v>
      </c>
      <c r="GN170" s="21">
        <f>EXP(-LN(2)/2)*GN169+(1-EXP(-LN(2)/2))/(LN(2)/2)*GH170*GK170*VLOOKUP('Données projet'!$B$17,Paramètres!$A$1:$I$89,3,0)*0.475*44/12</f>
        <v>5.6850111369745701E-20</v>
      </c>
      <c r="GO170" s="21">
        <f t="shared" si="187"/>
        <v>0.28789482661428367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-1.1368683772161603E-13</v>
      </c>
      <c r="GV170" s="17">
        <f>GU170*VLOOKUP('Données projet'!$B$18,Paramètres!$A$1:$I$89,3,0)*VLOOKUP('Données projet'!$B$18,Paramètres!$A$1:$I$89,5,0)</f>
        <v>-1.0995790944434703E-13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261.22357949323879</v>
      </c>
      <c r="HA170" s="59">
        <f t="shared" si="160"/>
        <v>163.41029152029387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7.4389583306084361E-2</v>
      </c>
      <c r="HI170" s="21">
        <f>EXP(-LN(2)/2)*HI169+(1-EXP(-LN(2)/2))/(LN(2)/2)*HC170*HF170*VLOOKUP('Données projet'!$B$18,Paramètres!$A$1:$I$89,3,0)*0.475*44/12</f>
        <v>1.5850898484995292E-20</v>
      </c>
      <c r="HJ170" s="22">
        <f t="shared" si="190"/>
        <v>7.4389583306084361E-2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237.22177246688199</v>
      </c>
      <c r="T171" s="59">
        <f t="shared" si="142"/>
        <v>149.27472147904302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227.99999999999986</v>
      </c>
      <c r="AJ171" s="13">
        <f>AI171*VLOOKUP('Données projet'!$B$10,Paramètres!$A$1:$I$89,3,0)*VLOOKUP('Données projet'!$B$10,Paramètres!$A$1:$I$89,5,0)</f>
        <v>199.18079999999992</v>
      </c>
      <c r="AK171" s="13">
        <f t="shared" si="164"/>
        <v>49.564089376413683</v>
      </c>
      <c r="AL171" s="20">
        <f t="shared" si="165"/>
        <v>433.23068233058694</v>
      </c>
      <c r="AM171" s="59">
        <f t="shared" si="113"/>
        <v>726.56401566392026</v>
      </c>
      <c r="AN171" s="59">
        <f ca="1">AVERAGE(OFFSET($AM$3,0,0,'Données projet'!$E$10+1,1))-AVERAGE(OFFSET($H$3,0,0,'Données projet'!$E$10+1,1))</f>
        <v>210.07838338464626</v>
      </c>
      <c r="AO171" s="59">
        <f t="shared" si="144"/>
        <v>241.76003724236273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0.34464775250433854</v>
      </c>
      <c r="AV171" s="21">
        <f>EXP(-LN(2)/25)*AV170+(1-EXP(-LN(2)/25))/(LN(2)/25)*Calculateur!AQ171*Calculateur!AS171*VLOOKUP('Données projet'!$B$10,Paramètres!$A$1:$I$89,3,0)*0.475*44/12</f>
        <v>0.29550928601862708</v>
      </c>
      <c r="AW171" s="21">
        <f>EXP(-LN(2)/2)*AW170+(1-EXP(-LN(2)/2))/(LN(2)/2)*AQ171*AT171*VLOOKUP('Données projet'!$B$10,Paramètres!$A$1:$I$89,3,0)*0.475*44/12</f>
        <v>2.705664548278606E-20</v>
      </c>
      <c r="AX171" s="21">
        <f t="shared" si="166"/>
        <v>0.64015703852296557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3.9017322706058616E-13</v>
      </c>
      <c r="BF171" s="13">
        <f t="shared" si="167"/>
        <v>5.0025007393608908E-12</v>
      </c>
      <c r="BG171" s="20">
        <f t="shared" si="168"/>
        <v>9.3922404915174053E-12</v>
      </c>
      <c r="BH171" s="59">
        <f t="shared" si="116"/>
        <v>293.33333333334269</v>
      </c>
      <c r="BI171" s="59">
        <f ca="1">AVERAGE(OFFSET($BH$3,0,0,'Données projet'!$E$11+1,1))-AVERAGE(OFFSET($H$3,0,0,'Données projet'!$E$11+1,1))</f>
        <v>209.93608079129638</v>
      </c>
      <c r="BJ171" s="59">
        <f t="shared" si="146"/>
        <v>240.15652428700969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0.45214107606311654</v>
      </c>
      <c r="BQ171" s="21">
        <f>EXP(-LN(2)/25)*BQ170+(1-EXP(-LN(2)/25))/(LN(2)/25)*Calculateur!BL171*Calculateur!BN171*VLOOKUP('Données projet'!$B$11,Paramètres!$A$1:$I$89,3,0)*0.475*44/12</f>
        <v>0.45302818216008806</v>
      </c>
      <c r="BR171" s="21">
        <f>EXP(-LN(2)/2)*BR170+(1-EXP(-LN(2)/2))/(LN(2)/2)*BL171*BO171*VLOOKUP('Données projet'!$B$11,Paramètres!$A$1:$I$89,3,0)*0.475*44/12</f>
        <v>3.420457192715925E-20</v>
      </c>
      <c r="BS171" s="22">
        <f t="shared" si="169"/>
        <v>0.9051692582232046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215.23235148064941</v>
      </c>
      <c r="CE171" s="59">
        <f t="shared" si="148"/>
        <v>184.07239726900434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0.20382681187881038</v>
      </c>
      <c r="CL171" s="21">
        <f>EXP(-LN(2)/25)*CL170+(1-EXP(-LN(2)/25))/(LN(2)/25)*Calculateur!CG171*Calculateur!CI171*VLOOKUP('Données projet'!$B$12,Paramètres!$A$1:$I$89,3,0)*0.475*44/12</f>
        <v>0.17119311178083488</v>
      </c>
      <c r="CM171" s="21">
        <f>EXP(-LN(2)/2)*CM170+(1-EXP(-LN(2)/2))/(LN(2)/2)*CG171*CJ171*VLOOKUP('Données projet'!$B$12,Paramètres!$A$1:$I$89,3,0)*0.475*44/12</f>
        <v>1.6656354844059055E-20</v>
      </c>
      <c r="CN171" s="22">
        <f t="shared" si="172"/>
        <v>0.37501992365964526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-1.1527845344971866E-13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279.20364724206644</v>
      </c>
      <c r="CZ171" s="59">
        <f t="shared" si="150"/>
        <v>173.99850582760712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7.5856463798533655E-2</v>
      </c>
      <c r="DH171" s="21">
        <f>EXP(-LN(2)/2)*DH170+(1-EXP(-LN(2)/2))/(LN(2)/2)*DB171*DE171*VLOOKUP('Données projet'!$B$13,Paramètres!$A$1:$I$89,3,0)*0.475*44/12</f>
        <v>1.1750613829541668E-20</v>
      </c>
      <c r="DI171" s="22">
        <f t="shared" si="175"/>
        <v>7.5856463798533655E-2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-1.1882548278663309E-13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291.18074901939718</v>
      </c>
      <c r="DU171" s="59">
        <f t="shared" si="152"/>
        <v>181.05123751753774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7.8190508838488562E-2</v>
      </c>
      <c r="EC171" s="21">
        <f>EXP(-LN(2)/2)*EC170+(1-EXP(-LN(2)/2))/(LN(2)/2)*DW171*DZ171*VLOOKUP('Données projet'!$B$14,Paramètres!$A$1:$I$89,3,0)*0.475*44/12</f>
        <v>1.2112171178142962E-20</v>
      </c>
      <c r="ED171" s="22">
        <f t="shared" si="178"/>
        <v>7.8190508838488562E-2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168.08890945052406</v>
      </c>
      <c r="EP171" s="59">
        <f t="shared" si="154"/>
        <v>182.52462557642343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0.4039537548429627</v>
      </c>
      <c r="EW171" s="21">
        <f>EXP(-LN(2)/25)*EW170+(1-EXP(-LN(2)/25))/(LN(2)/25)*Calculateur!ER171*Calculateur!ET171*VLOOKUP('Données projet'!$B$15,Paramètres!$A$1:$I$89,3,0)*0.475*44/12</f>
        <v>0.26872531127231253</v>
      </c>
      <c r="EX171" s="21">
        <f>EXP(-LN(2)/2)*EX170+(1-EXP(-LN(2)/2))/(LN(2)/2)*ER171*EU171*VLOOKUP('Données projet'!$B$15,Paramètres!$A$1:$I$89,3,0)*0.475*44/12</f>
        <v>9.2253617229046257E-21</v>
      </c>
      <c r="EY171" s="22">
        <f t="shared" si="181"/>
        <v>0.67267906611527528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3.813056537183002E-14</v>
      </c>
      <c r="FG171" s="13">
        <f t="shared" si="182"/>
        <v>6.4086286045526829E-13</v>
      </c>
      <c r="FH171" s="20">
        <f t="shared" si="183"/>
        <v>1.1825802166488628E-12</v>
      </c>
      <c r="FI171" s="59">
        <f t="shared" si="131"/>
        <v>293.33333333333451</v>
      </c>
      <c r="FJ171" s="59">
        <f ca="1">AVERAGE(OFFSET($FI$3,0,0,'Données projet'!$E$16+1,1))-AVERAGE(OFFSET($H$3,0,0,'Données projet'!$E$16+1,1))</f>
        <v>156.63226020379989</v>
      </c>
      <c r="FK171" s="59">
        <f t="shared" si="156"/>
        <v>196.0481096619543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0.18894332137975609</v>
      </c>
      <c r="FS171" s="21">
        <f>EXP(-LN(2)/2)*FS170+(1-EXP(-LN(2)/2))/(LN(2)/2)*FM171*FP171*VLOOKUP('Données projet'!$B$16,Paramètres!$A$1:$I$89,3,0)*0.475*44/12</f>
        <v>1.5371057430702682E-20</v>
      </c>
      <c r="FT171" s="22">
        <f t="shared" si="184"/>
        <v>0.18894332137975609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-4.5474735088646412E-13</v>
      </c>
      <c r="GA171" s="17">
        <f>FZ171*VLOOKUP('Données projet'!$B$17,Paramètres!$A$1:$I$89,3,0)*VLOOKUP('Données projet'!$B$17,Paramètres!$A$1:$I$89,5,0)</f>
        <v>-2.7193891583010558E-13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216.94426559495264</v>
      </c>
      <c r="GF171" s="59">
        <f t="shared" si="158"/>
        <v>225.33715877618704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0.28002232744078515</v>
      </c>
      <c r="GN171" s="21">
        <f>EXP(-LN(2)/2)*GN170+(1-EXP(-LN(2)/2))/(LN(2)/2)*GH171*GK171*VLOOKUP('Données projet'!$B$17,Paramètres!$A$1:$I$89,3,0)*0.475*44/12</f>
        <v>4.0199099260757632E-20</v>
      </c>
      <c r="GO171" s="21">
        <f t="shared" si="187"/>
        <v>0.28002232744078515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-1.1368683772161603E-13</v>
      </c>
      <c r="GV171" s="17">
        <f>GU171*VLOOKUP('Données projet'!$B$18,Paramètres!$A$1:$I$89,3,0)*VLOOKUP('Données projet'!$B$18,Paramètres!$A$1:$I$89,5,0)</f>
        <v>-1.0995790944434703E-13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261.22357949323879</v>
      </c>
      <c r="HA171" s="59">
        <f t="shared" si="160"/>
        <v>163.41029152029387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7.2355396238601322E-2</v>
      </c>
      <c r="HI171" s="21">
        <f>EXP(-LN(2)/2)*HI170+(1-EXP(-LN(2)/2))/(LN(2)/2)*HC171*HF171*VLOOKUP('Données projet'!$B$18,Paramètres!$A$1:$I$89,3,0)*0.475*44/12</f>
        <v>1.1208277806639744E-20</v>
      </c>
      <c r="HJ171" s="22">
        <f t="shared" si="190"/>
        <v>7.2355396238601322E-2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237.22177246688199</v>
      </c>
      <c r="T172" s="59">
        <f t="shared" si="142"/>
        <v>149.27472147904302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227.99999999999986</v>
      </c>
      <c r="AJ172" s="13">
        <f>AI172*VLOOKUP('Données projet'!$B$10,Paramètres!$A$1:$I$89,3,0)*VLOOKUP('Données projet'!$B$10,Paramètres!$A$1:$I$89,5,0)</f>
        <v>199.18079999999992</v>
      </c>
      <c r="AK172" s="13">
        <f t="shared" si="164"/>
        <v>49.564089376413683</v>
      </c>
      <c r="AL172" s="20">
        <f t="shared" si="165"/>
        <v>433.23068233058694</v>
      </c>
      <c r="AM172" s="59">
        <f t="shared" si="113"/>
        <v>726.56401566392026</v>
      </c>
      <c r="AN172" s="59">
        <f ca="1">AVERAGE(OFFSET($AM$3,0,0,'Données projet'!$E$10+1,1))-AVERAGE(OFFSET($H$3,0,0,'Données projet'!$E$10+1,1))</f>
        <v>210.07838338464626</v>
      </c>
      <c r="AO172" s="59">
        <f t="shared" si="144"/>
        <v>241.76003724236273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0.33788942029210056</v>
      </c>
      <c r="AV172" s="21">
        <f>EXP(-LN(2)/25)*AV171+(1-EXP(-LN(2)/25))/(LN(2)/25)*Calculateur!AQ172*Calculateur!AS172*VLOOKUP('Données projet'!$B$10,Paramètres!$A$1:$I$89,3,0)*0.475*44/12</f>
        <v>0.28742856905228975</v>
      </c>
      <c r="AW172" s="21">
        <f>EXP(-LN(2)/2)*AW171+(1-EXP(-LN(2)/2))/(LN(2)/2)*AQ172*AT172*VLOOKUP('Données projet'!$B$10,Paramètres!$A$1:$I$89,3,0)*0.475*44/12</f>
        <v>1.9131937497038394E-20</v>
      </c>
      <c r="AX172" s="21">
        <f t="shared" si="166"/>
        <v>0.62531798934439031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3.9017322706058616E-13</v>
      </c>
      <c r="BF172" s="13">
        <f t="shared" si="167"/>
        <v>5.0025007393608908E-12</v>
      </c>
      <c r="BG172" s="20">
        <f t="shared" si="168"/>
        <v>9.3922404915174053E-12</v>
      </c>
      <c r="BH172" s="59">
        <f t="shared" si="116"/>
        <v>293.33333333334269</v>
      </c>
      <c r="BI172" s="59">
        <f ca="1">AVERAGE(OFFSET($BH$3,0,0,'Données projet'!$E$11+1,1))-AVERAGE(OFFSET($H$3,0,0,'Données projet'!$E$11+1,1))</f>
        <v>209.93608079129638</v>
      </c>
      <c r="BJ172" s="59">
        <f t="shared" si="146"/>
        <v>240.15652428700969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0.44327486534034433</v>
      </c>
      <c r="BQ172" s="21">
        <f>EXP(-LN(2)/25)*BQ171+(1-EXP(-LN(2)/25))/(LN(2)/25)*Calculateur!BL172*Calculateur!BN172*VLOOKUP('Données projet'!$B$11,Paramètres!$A$1:$I$89,3,0)*0.475*44/12</f>
        <v>0.44064010269520376</v>
      </c>
      <c r="BR172" s="21">
        <f>EXP(-LN(2)/2)*BR171+(1-EXP(-LN(2)/2))/(LN(2)/2)*BL172*BO172*VLOOKUP('Données projet'!$B$11,Paramètres!$A$1:$I$89,3,0)*0.475*44/12</f>
        <v>2.4186284757277323E-20</v>
      </c>
      <c r="BS172" s="22">
        <f t="shared" si="169"/>
        <v>0.88391496803554803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215.23235148064941</v>
      </c>
      <c r="CE172" s="59">
        <f t="shared" si="148"/>
        <v>184.07239726900434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0.19982989241994636</v>
      </c>
      <c r="CL172" s="21">
        <f>EXP(-LN(2)/25)*CL171+(1-EXP(-LN(2)/25))/(LN(2)/25)*Calculateur!CG172*Calculateur!CI172*VLOOKUP('Données projet'!$B$12,Paramètres!$A$1:$I$89,3,0)*0.475*44/12</f>
        <v>0.16651182713653348</v>
      </c>
      <c r="CM172" s="21">
        <f>EXP(-LN(2)/2)*CM171+(1-EXP(-LN(2)/2))/(LN(2)/2)*CG172*CJ172*VLOOKUP('Données projet'!$B$12,Paramètres!$A$1:$I$89,3,0)*0.475*44/12</f>
        <v>1.1777821460083557E-20</v>
      </c>
      <c r="CN172" s="22">
        <f t="shared" si="172"/>
        <v>0.36634171955647987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-1.1527845344971866E-13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279.20364724206644</v>
      </c>
      <c r="CZ172" s="59">
        <f t="shared" si="150"/>
        <v>173.99850582760712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7.3782164806844699E-2</v>
      </c>
      <c r="DH172" s="21">
        <f>EXP(-LN(2)/2)*DH171+(1-EXP(-LN(2)/2))/(LN(2)/2)*DB172*DE172*VLOOKUP('Données projet'!$B$13,Paramètres!$A$1:$I$89,3,0)*0.475*44/12</f>
        <v>8.3089387219733392E-21</v>
      </c>
      <c r="DI172" s="22">
        <f t="shared" si="175"/>
        <v>7.3782164806844699E-2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-1.1882548278663309E-13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291.18074901939718</v>
      </c>
      <c r="DU172" s="59">
        <f t="shared" si="152"/>
        <v>181.05123751753774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7.6052385262439945E-2</v>
      </c>
      <c r="EC172" s="21">
        <f>EXP(-LN(2)/2)*EC171+(1-EXP(-LN(2)/2))/(LN(2)/2)*DW172*DZ172*VLOOKUP('Données projet'!$B$14,Paramètres!$A$1:$I$89,3,0)*0.475*44/12</f>
        <v>8.5645983749571425E-21</v>
      </c>
      <c r="ED172" s="22">
        <f t="shared" si="178"/>
        <v>7.6052385262439945E-2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168.08890945052406</v>
      </c>
      <c r="EP172" s="59">
        <f t="shared" si="154"/>
        <v>182.52462557642343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0.39603246809795389</v>
      </c>
      <c r="EW172" s="21">
        <f>EXP(-LN(2)/25)*EW171+(1-EXP(-LN(2)/25))/(LN(2)/25)*Calculateur!ER172*Calculateur!ET172*VLOOKUP('Données projet'!$B$15,Paramètres!$A$1:$I$89,3,0)*0.475*44/12</f>
        <v>0.26137700350392118</v>
      </c>
      <c r="EX172" s="21">
        <f>EXP(-LN(2)/2)*EX171+(1-EXP(-LN(2)/2))/(LN(2)/2)*ER172*EU172*VLOOKUP('Données projet'!$B$15,Paramètres!$A$1:$I$89,3,0)*0.475*44/12</f>
        <v>6.5233158331646723E-21</v>
      </c>
      <c r="EY172" s="22">
        <f t="shared" si="181"/>
        <v>0.65740947160187502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3.813056537183002E-14</v>
      </c>
      <c r="FG172" s="13">
        <f t="shared" si="182"/>
        <v>6.4086286045526829E-13</v>
      </c>
      <c r="FH172" s="20">
        <f t="shared" si="183"/>
        <v>1.1825802166488628E-12</v>
      </c>
      <c r="FI172" s="59">
        <f t="shared" si="131"/>
        <v>293.33333333333451</v>
      </c>
      <c r="FJ172" s="59">
        <f ca="1">AVERAGE(OFFSET($FI$3,0,0,'Données projet'!$E$16+1,1))-AVERAGE(OFFSET($H$3,0,0,'Données projet'!$E$16+1,1))</f>
        <v>156.63226020379989</v>
      </c>
      <c r="FK172" s="59">
        <f t="shared" si="156"/>
        <v>196.0481096619543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0.18377665632052922</v>
      </c>
      <c r="FS172" s="21">
        <f>EXP(-LN(2)/2)*FS171+(1-EXP(-LN(2)/2))/(LN(2)/2)*FM172*FP172*VLOOKUP('Données projet'!$B$16,Paramètres!$A$1:$I$89,3,0)*0.475*44/12</f>
        <v>1.0868978943257737E-20</v>
      </c>
      <c r="FT172" s="22">
        <f t="shared" si="184"/>
        <v>0.18377665632052922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-4.5474735088646412E-13</v>
      </c>
      <c r="GA172" s="17">
        <f>FZ172*VLOOKUP('Données projet'!$B$17,Paramètres!$A$1:$I$89,3,0)*VLOOKUP('Données projet'!$B$17,Paramètres!$A$1:$I$89,5,0)</f>
        <v>-2.7193891583010558E-13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216.94426559495264</v>
      </c>
      <c r="GF172" s="59">
        <f t="shared" si="158"/>
        <v>225.33715877618704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0.27236510217118265</v>
      </c>
      <c r="GN172" s="21">
        <f>EXP(-LN(2)/2)*GN171+(1-EXP(-LN(2)/2))/(LN(2)/2)*GH172*GK172*VLOOKUP('Données projet'!$B$17,Paramètres!$A$1:$I$89,3,0)*0.475*44/12</f>
        <v>2.842505568487285E-20</v>
      </c>
      <c r="GO172" s="21">
        <f t="shared" si="187"/>
        <v>0.27236510217118265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-1.1368683772161603E-13</v>
      </c>
      <c r="GV172" s="17">
        <f>GU172*VLOOKUP('Données projet'!$B$18,Paramètres!$A$1:$I$89,3,0)*VLOOKUP('Données projet'!$B$18,Paramètres!$A$1:$I$89,5,0)</f>
        <v>-1.0995790944434703E-13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261.22357949323879</v>
      </c>
      <c r="HA172" s="59">
        <f t="shared" si="160"/>
        <v>163.41029152029387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7.0376834123451845E-2</v>
      </c>
      <c r="HI172" s="21">
        <f>EXP(-LN(2)/2)*HI171+(1-EXP(-LN(2)/2))/(LN(2)/2)*HC172*HF172*VLOOKUP('Données projet'!$B$18,Paramètres!$A$1:$I$89,3,0)*0.475*44/12</f>
        <v>7.9254492424976462E-21</v>
      </c>
      <c r="HJ172" s="22">
        <f t="shared" si="190"/>
        <v>7.0376834123451845E-2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237.22177246688199</v>
      </c>
      <c r="T173" s="59">
        <f t="shared" si="142"/>
        <v>149.27472147904302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227.99999999999986</v>
      </c>
      <c r="AJ173" s="13">
        <f>AI173*VLOOKUP('Données projet'!$B$10,Paramètres!$A$1:$I$89,3,0)*VLOOKUP('Données projet'!$B$10,Paramètres!$A$1:$I$89,5,0)</f>
        <v>199.18079999999992</v>
      </c>
      <c r="AK173" s="13">
        <f t="shared" si="164"/>
        <v>49.564089376413683</v>
      </c>
      <c r="AL173" s="20">
        <f t="shared" si="165"/>
        <v>433.23068233058694</v>
      </c>
      <c r="AM173" s="59">
        <f t="shared" si="113"/>
        <v>726.56401566392026</v>
      </c>
      <c r="AN173" s="59">
        <f ca="1">AVERAGE(OFFSET($AM$3,0,0,'Données projet'!$E$10+1,1))-AVERAGE(OFFSET($H$3,0,0,'Données projet'!$E$10+1,1))</f>
        <v>210.07838338464626</v>
      </c>
      <c r="AO173" s="59">
        <f t="shared" si="144"/>
        <v>241.76003724236273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0.33126361485236894</v>
      </c>
      <c r="AV173" s="21">
        <f>EXP(-LN(2)/25)*AV172+(1-EXP(-LN(2)/25))/(LN(2)/25)*Calculateur!AQ173*Calculateur!AS173*VLOOKUP('Données projet'!$B$10,Paramètres!$A$1:$I$89,3,0)*0.475*44/12</f>
        <v>0.27956881971634334</v>
      </c>
      <c r="AW173" s="21">
        <f>EXP(-LN(2)/2)*AW172+(1-EXP(-LN(2)/2))/(LN(2)/2)*AQ173*AT173*VLOOKUP('Données projet'!$B$10,Paramètres!$A$1:$I$89,3,0)*0.475*44/12</f>
        <v>1.3528322741393031E-20</v>
      </c>
      <c r="AX173" s="21">
        <f t="shared" si="166"/>
        <v>0.61083243456871228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3.9017322706058616E-13</v>
      </c>
      <c r="BF173" s="13">
        <f t="shared" si="167"/>
        <v>5.0025007393608908E-12</v>
      </c>
      <c r="BG173" s="20">
        <f t="shared" si="168"/>
        <v>9.3922404915174053E-12</v>
      </c>
      <c r="BH173" s="59">
        <f t="shared" si="116"/>
        <v>293.33333333334269</v>
      </c>
      <c r="BI173" s="59">
        <f ca="1">AVERAGE(OFFSET($BH$3,0,0,'Données projet'!$E$11+1,1))-AVERAGE(OFFSET($H$3,0,0,'Données projet'!$E$11+1,1))</f>
        <v>209.93608079129638</v>
      </c>
      <c r="BJ173" s="59">
        <f t="shared" si="146"/>
        <v>240.15652428700969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0.43458251560199113</v>
      </c>
      <c r="BQ173" s="21">
        <f>EXP(-LN(2)/25)*BQ172+(1-EXP(-LN(2)/25))/(LN(2)/25)*Calculateur!BL173*Calculateur!BN173*VLOOKUP('Données projet'!$B$11,Paramètres!$A$1:$I$89,3,0)*0.475*44/12</f>
        <v>0.42859077591474753</v>
      </c>
      <c r="BR173" s="21">
        <f>EXP(-LN(2)/2)*BR172+(1-EXP(-LN(2)/2))/(LN(2)/2)*BL173*BO173*VLOOKUP('Données projet'!$B$11,Paramètres!$A$1:$I$89,3,0)*0.475*44/12</f>
        <v>1.7102285963579625E-20</v>
      </c>
      <c r="BS173" s="22">
        <f t="shared" si="169"/>
        <v>0.86317329151673872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215.23235148064941</v>
      </c>
      <c r="CE173" s="59">
        <f t="shared" si="148"/>
        <v>184.07239726900434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0.19591135011379052</v>
      </c>
      <c r="CL173" s="21">
        <f>EXP(-LN(2)/25)*CL172+(1-EXP(-LN(2)/25))/(LN(2)/25)*Calculateur!CG173*Calculateur!CI173*VLOOKUP('Données projet'!$B$12,Paramètres!$A$1:$I$89,3,0)*0.475*44/12</f>
        <v>0.16195855246700855</v>
      </c>
      <c r="CM173" s="21">
        <f>EXP(-LN(2)/2)*CM172+(1-EXP(-LN(2)/2))/(LN(2)/2)*CG173*CJ173*VLOOKUP('Données projet'!$B$12,Paramètres!$A$1:$I$89,3,0)*0.475*44/12</f>
        <v>8.3281774220295273E-21</v>
      </c>
      <c r="CN173" s="22">
        <f t="shared" si="172"/>
        <v>0.35786990258079909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-1.1527845344971866E-13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279.20364724206644</v>
      </c>
      <c r="CZ173" s="59">
        <f t="shared" si="150"/>
        <v>173.99850582760712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7.1764587630166118E-2</v>
      </c>
      <c r="DH173" s="21">
        <f>EXP(-LN(2)/2)*DH172+(1-EXP(-LN(2)/2))/(LN(2)/2)*DB173*DE173*VLOOKUP('Données projet'!$B$13,Paramètres!$A$1:$I$89,3,0)*0.475*44/12</f>
        <v>5.8753069147708338E-21</v>
      </c>
      <c r="DI173" s="22">
        <f t="shared" si="175"/>
        <v>7.1764587630166118E-2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-1.1882548278663309E-13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291.18074901939718</v>
      </c>
      <c r="DU173" s="59">
        <f t="shared" si="152"/>
        <v>181.05123751753774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7.3972728788017403E-2</v>
      </c>
      <c r="EC173" s="21">
        <f>EXP(-LN(2)/2)*EC172+(1-EXP(-LN(2)/2))/(LN(2)/2)*DW173*DZ173*VLOOKUP('Données projet'!$B$14,Paramètres!$A$1:$I$89,3,0)*0.475*44/12</f>
        <v>6.0560855890714808E-21</v>
      </c>
      <c r="ED173" s="22">
        <f t="shared" si="178"/>
        <v>7.3972728788017403E-2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168.08890945052406</v>
      </c>
      <c r="EP173" s="59">
        <f t="shared" si="154"/>
        <v>182.52462557642343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0.38826651295450687</v>
      </c>
      <c r="EW173" s="21">
        <f>EXP(-LN(2)/25)*EW172+(1-EXP(-LN(2)/25))/(LN(2)/25)*Calculateur!ER173*Calculateur!ET173*VLOOKUP('Données projet'!$B$15,Paramètres!$A$1:$I$89,3,0)*0.475*44/12</f>
        <v>0.25422963559788725</v>
      </c>
      <c r="EX173" s="21">
        <f>EXP(-LN(2)/2)*EX172+(1-EXP(-LN(2)/2))/(LN(2)/2)*ER173*EU173*VLOOKUP('Données projet'!$B$15,Paramètres!$A$1:$I$89,3,0)*0.475*44/12</f>
        <v>4.6126808614523128E-21</v>
      </c>
      <c r="EY173" s="22">
        <f t="shared" si="181"/>
        <v>0.64249614855239412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3.813056537183002E-14</v>
      </c>
      <c r="FG173" s="13">
        <f t="shared" si="182"/>
        <v>6.4086286045526829E-13</v>
      </c>
      <c r="FH173" s="20">
        <f t="shared" si="183"/>
        <v>1.1825802166488628E-12</v>
      </c>
      <c r="FI173" s="59">
        <f t="shared" si="131"/>
        <v>293.33333333333451</v>
      </c>
      <c r="FJ173" s="59">
        <f ca="1">AVERAGE(OFFSET($FI$3,0,0,'Données projet'!$E$16+1,1))-AVERAGE(OFFSET($H$3,0,0,'Données projet'!$E$16+1,1))</f>
        <v>156.63226020379989</v>
      </c>
      <c r="FK173" s="59">
        <f t="shared" si="156"/>
        <v>196.0481096619543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0.17875127398905002</v>
      </c>
      <c r="FS173" s="21">
        <f>EXP(-LN(2)/2)*FS172+(1-EXP(-LN(2)/2))/(LN(2)/2)*FM173*FP173*VLOOKUP('Données projet'!$B$16,Paramètres!$A$1:$I$89,3,0)*0.475*44/12</f>
        <v>7.6855287153513409E-21</v>
      </c>
      <c r="FT173" s="22">
        <f t="shared" si="184"/>
        <v>0.17875127398905002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-4.5474735088646412E-13</v>
      </c>
      <c r="GA173" s="17">
        <f>FZ173*VLOOKUP('Données projet'!$B$17,Paramètres!$A$1:$I$89,3,0)*VLOOKUP('Données projet'!$B$17,Paramètres!$A$1:$I$89,5,0)</f>
        <v>-2.7193891583010558E-13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216.94426559495264</v>
      </c>
      <c r="GF173" s="59">
        <f t="shared" si="158"/>
        <v>225.33715877618704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0.26491726412925343</v>
      </c>
      <c r="GN173" s="21">
        <f>EXP(-LN(2)/2)*GN172+(1-EXP(-LN(2)/2))/(LN(2)/2)*GH173*GK173*VLOOKUP('Données projet'!$B$17,Paramètres!$A$1:$I$89,3,0)*0.475*44/12</f>
        <v>2.0099549630378816E-20</v>
      </c>
      <c r="GO173" s="21">
        <f t="shared" si="187"/>
        <v>0.26491726412925343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-1.1368683772161603E-13</v>
      </c>
      <c r="GV173" s="17">
        <f>GU173*VLOOKUP('Données projet'!$B$18,Paramètres!$A$1:$I$89,3,0)*VLOOKUP('Données projet'!$B$18,Paramètres!$A$1:$I$89,5,0)</f>
        <v>-1.0995790944434703E-13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261.22357949323879</v>
      </c>
      <c r="HA173" s="59">
        <f t="shared" si="160"/>
        <v>163.41029152029387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6.8452375893389192E-2</v>
      </c>
      <c r="HI173" s="21">
        <f>EXP(-LN(2)/2)*HI172+(1-EXP(-LN(2)/2))/(LN(2)/2)*HC173*HF173*VLOOKUP('Données projet'!$B$18,Paramètres!$A$1:$I$89,3,0)*0.475*44/12</f>
        <v>5.6041389033198721E-21</v>
      </c>
      <c r="HJ173" s="22">
        <f t="shared" si="190"/>
        <v>6.8452375893389192E-2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237.22177246688199</v>
      </c>
      <c r="T174" s="59">
        <f t="shared" si="142"/>
        <v>149.27472147904302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227.99999999999986</v>
      </c>
      <c r="AJ174" s="13">
        <f>AI174*VLOOKUP('Données projet'!$B$10,Paramètres!$A$1:$I$89,3,0)*VLOOKUP('Données projet'!$B$10,Paramètres!$A$1:$I$89,5,0)</f>
        <v>199.18079999999992</v>
      </c>
      <c r="AK174" s="13">
        <f t="shared" si="164"/>
        <v>49.564089376413683</v>
      </c>
      <c r="AL174" s="20">
        <f t="shared" si="165"/>
        <v>433.23068233058694</v>
      </c>
      <c r="AM174" s="59">
        <f t="shared" si="113"/>
        <v>726.56401566392026</v>
      </c>
      <c r="AN174" s="59">
        <f ca="1">AVERAGE(OFFSET($AM$3,0,0,'Données projet'!$E$10+1,1))-AVERAGE(OFFSET($H$3,0,0,'Données projet'!$E$10+1,1))</f>
        <v>210.07838338464626</v>
      </c>
      <c r="AO174" s="59">
        <f t="shared" si="144"/>
        <v>241.76003724236273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0.32476773741596821</v>
      </c>
      <c r="AV174" s="21">
        <f>EXP(-LN(2)/25)*AV173+(1-EXP(-LN(2)/25))/(LN(2)/25)*Calculateur!AQ174*Calculateur!AS174*VLOOKUP('Données projet'!$B$10,Paramètres!$A$1:$I$89,3,0)*0.475*44/12</f>
        <v>0.27192399563931469</v>
      </c>
      <c r="AW174" s="21">
        <f>EXP(-LN(2)/2)*AW173+(1-EXP(-LN(2)/2))/(LN(2)/2)*AQ174*AT174*VLOOKUP('Données projet'!$B$10,Paramètres!$A$1:$I$89,3,0)*0.475*44/12</f>
        <v>9.5659687485191984E-21</v>
      </c>
      <c r="AX174" s="21">
        <f t="shared" si="166"/>
        <v>0.59669173305528289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3.9017322706058616E-13</v>
      </c>
      <c r="BF174" s="13">
        <f t="shared" si="167"/>
        <v>5.0025007393608908E-12</v>
      </c>
      <c r="BG174" s="20">
        <f t="shared" si="168"/>
        <v>9.3922404915174053E-12</v>
      </c>
      <c r="BH174" s="59">
        <f t="shared" si="116"/>
        <v>293.33333333334269</v>
      </c>
      <c r="BI174" s="59">
        <f ca="1">AVERAGE(OFFSET($BH$3,0,0,'Données projet'!$E$11+1,1))-AVERAGE(OFFSET($H$3,0,0,'Données projet'!$E$11+1,1))</f>
        <v>209.93608079129638</v>
      </c>
      <c r="BJ174" s="59">
        <f t="shared" si="146"/>
        <v>240.15652428700969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0.4260606175401972</v>
      </c>
      <c r="BQ174" s="21">
        <f>EXP(-LN(2)/25)*BQ173+(1-EXP(-LN(2)/25))/(LN(2)/25)*Calculateur!BL174*Calculateur!BN174*VLOOKUP('Données projet'!$B$11,Paramètres!$A$1:$I$89,3,0)*0.475*44/12</f>
        <v>0.41687093860874941</v>
      </c>
      <c r="BR174" s="21">
        <f>EXP(-LN(2)/2)*BR173+(1-EXP(-LN(2)/2))/(LN(2)/2)*BL174*BO174*VLOOKUP('Données projet'!$B$11,Paramètres!$A$1:$I$89,3,0)*0.475*44/12</f>
        <v>1.2093142378638661E-20</v>
      </c>
      <c r="BS174" s="22">
        <f t="shared" si="169"/>
        <v>0.84293155614894655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215.23235148064941</v>
      </c>
      <c r="CE174" s="59">
        <f t="shared" si="148"/>
        <v>184.07239726900434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0.1920696480321836</v>
      </c>
      <c r="CL174" s="21">
        <f>EXP(-LN(2)/25)*CL173+(1-EXP(-LN(2)/25))/(LN(2)/25)*Calculateur!CG174*Calculateur!CI174*VLOOKUP('Données projet'!$B$12,Paramètres!$A$1:$I$89,3,0)*0.475*44/12</f>
        <v>0.1575297873327681</v>
      </c>
      <c r="CM174" s="21">
        <f>EXP(-LN(2)/2)*CM173+(1-EXP(-LN(2)/2))/(LN(2)/2)*CG174*CJ174*VLOOKUP('Données projet'!$B$12,Paramètres!$A$1:$I$89,3,0)*0.475*44/12</f>
        <v>5.8889107300417785E-21</v>
      </c>
      <c r="CN174" s="22">
        <f t="shared" si="172"/>
        <v>0.34959943536495169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-1.1527845344971866E-13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279.20364724206644</v>
      </c>
      <c r="CZ174" s="59">
        <f t="shared" si="150"/>
        <v>173.99850582760712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6.9802181207483577E-2</v>
      </c>
      <c r="DH174" s="21">
        <f>EXP(-LN(2)/2)*DH173+(1-EXP(-LN(2)/2))/(LN(2)/2)*DB174*DE174*VLOOKUP('Données projet'!$B$13,Paramètres!$A$1:$I$89,3,0)*0.475*44/12</f>
        <v>4.1544693609866696E-21</v>
      </c>
      <c r="DI174" s="22">
        <f t="shared" si="175"/>
        <v>6.9802181207483577E-2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-1.1882548278663309E-13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291.18074901939718</v>
      </c>
      <c r="DU174" s="59">
        <f t="shared" si="152"/>
        <v>181.05123751753774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7.1949940629252321E-2</v>
      </c>
      <c r="EC174" s="21">
        <f>EXP(-LN(2)/2)*EC173+(1-EXP(-LN(2)/2))/(LN(2)/2)*DW174*DZ174*VLOOKUP('Données projet'!$B$14,Paramètres!$A$1:$I$89,3,0)*0.475*44/12</f>
        <v>4.2822991874785713E-21</v>
      </c>
      <c r="ED174" s="22">
        <f t="shared" si="178"/>
        <v>7.1949940629252321E-2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168.08890945052406</v>
      </c>
      <c r="EP174" s="59">
        <f t="shared" si="154"/>
        <v>182.52462557642343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0.38065284345465794</v>
      </c>
      <c r="EW174" s="21">
        <f>EXP(-LN(2)/25)*EW173+(1-EXP(-LN(2)/25))/(LN(2)/25)*Calculateur!ER174*Calculateur!ET174*VLOOKUP('Données projet'!$B$15,Paramètres!$A$1:$I$89,3,0)*0.475*44/12</f>
        <v>0.24727771284310754</v>
      </c>
      <c r="EX174" s="21">
        <f>EXP(-LN(2)/2)*EX173+(1-EXP(-LN(2)/2))/(LN(2)/2)*ER174*EU174*VLOOKUP('Données projet'!$B$15,Paramètres!$A$1:$I$89,3,0)*0.475*44/12</f>
        <v>3.2616579165823361E-21</v>
      </c>
      <c r="EY174" s="22">
        <f t="shared" si="181"/>
        <v>0.62793055629776551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3.813056537183002E-14</v>
      </c>
      <c r="FG174" s="13">
        <f t="shared" si="182"/>
        <v>6.4086286045526829E-13</v>
      </c>
      <c r="FH174" s="20">
        <f t="shared" si="183"/>
        <v>1.1825802166488628E-12</v>
      </c>
      <c r="FI174" s="59">
        <f t="shared" si="131"/>
        <v>293.33333333333451</v>
      </c>
      <c r="FJ174" s="59">
        <f ca="1">AVERAGE(OFFSET($FI$3,0,0,'Données projet'!$E$16+1,1))-AVERAGE(OFFSET($H$3,0,0,'Données projet'!$E$16+1,1))</f>
        <v>156.63226020379989</v>
      </c>
      <c r="FK174" s="59">
        <f t="shared" si="156"/>
        <v>196.0481096619543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0.1738633110016985</v>
      </c>
      <c r="FS174" s="21">
        <f>EXP(-LN(2)/2)*FS173+(1-EXP(-LN(2)/2))/(LN(2)/2)*FM174*FP174*VLOOKUP('Données projet'!$B$16,Paramètres!$A$1:$I$89,3,0)*0.475*44/12</f>
        <v>5.4344894716288683E-21</v>
      </c>
      <c r="FT174" s="22">
        <f t="shared" si="184"/>
        <v>0.1738633110016985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-4.5474735088646412E-13</v>
      </c>
      <c r="GA174" s="17">
        <f>FZ174*VLOOKUP('Données projet'!$B$17,Paramètres!$A$1:$I$89,3,0)*VLOOKUP('Données projet'!$B$17,Paramètres!$A$1:$I$89,5,0)</f>
        <v>-2.7193891583010558E-13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216.94426559495264</v>
      </c>
      <c r="GF174" s="59">
        <f t="shared" si="158"/>
        <v>225.33715877618704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0.25767308761024554</v>
      </c>
      <c r="GN174" s="21">
        <f>EXP(-LN(2)/2)*GN173+(1-EXP(-LN(2)/2))/(LN(2)/2)*GH174*GK174*VLOOKUP('Données projet'!$B$17,Paramètres!$A$1:$I$89,3,0)*0.475*44/12</f>
        <v>1.4212527842436425E-20</v>
      </c>
      <c r="GO174" s="21">
        <f t="shared" si="187"/>
        <v>0.25767308761024554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-1.1368683772161603E-13</v>
      </c>
      <c r="GV174" s="17">
        <f>GU174*VLOOKUP('Données projet'!$B$18,Paramètres!$A$1:$I$89,3,0)*VLOOKUP('Données projet'!$B$18,Paramètres!$A$1:$I$89,5,0)</f>
        <v>-1.0995790944434703E-13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261.22357949323879</v>
      </c>
      <c r="HA174" s="59">
        <f t="shared" si="160"/>
        <v>163.41029152029387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6.6580542074830468E-2</v>
      </c>
      <c r="HI174" s="21">
        <f>EXP(-LN(2)/2)*HI173+(1-EXP(-LN(2)/2))/(LN(2)/2)*HC174*HF174*VLOOKUP('Données projet'!$B$18,Paramètres!$A$1:$I$89,3,0)*0.475*44/12</f>
        <v>3.9627246212488231E-21</v>
      </c>
      <c r="HJ174" s="22">
        <f t="shared" si="190"/>
        <v>6.6580542074830468E-2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237.22177246688199</v>
      </c>
      <c r="T175" s="59">
        <f t="shared" si="142"/>
        <v>149.27472147904302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227.99999999999986</v>
      </c>
      <c r="AJ175" s="13">
        <f>AI175*VLOOKUP('Données projet'!$B$10,Paramètres!$A$1:$I$89,3,0)*VLOOKUP('Données projet'!$B$10,Paramètres!$A$1:$I$89,5,0)</f>
        <v>199.18079999999992</v>
      </c>
      <c r="AK175" s="13">
        <f t="shared" si="164"/>
        <v>49.564089376413683</v>
      </c>
      <c r="AL175" s="20">
        <f t="shared" si="165"/>
        <v>433.23068233058694</v>
      </c>
      <c r="AM175" s="59">
        <f t="shared" si="113"/>
        <v>726.56401566392026</v>
      </c>
      <c r="AN175" s="59">
        <f ca="1">AVERAGE(OFFSET($AM$3,0,0,'Données projet'!$E$10+1,1))-AVERAGE(OFFSET($H$3,0,0,'Données projet'!$E$10+1,1))</f>
        <v>210.07838338464626</v>
      </c>
      <c r="AO175" s="59">
        <f t="shared" si="144"/>
        <v>241.76003724236273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0.31839924017400123</v>
      </c>
      <c r="AV175" s="21">
        <f>EXP(-LN(2)/25)*AV174+(1-EXP(-LN(2)/25))/(LN(2)/25)*Calculateur!AQ175*Calculateur!AS175*VLOOKUP('Données projet'!$B$10,Paramètres!$A$1:$I$89,3,0)*0.475*44/12</f>
        <v>0.26448821967869618</v>
      </c>
      <c r="AW175" s="21">
        <f>EXP(-LN(2)/2)*AW174+(1-EXP(-LN(2)/2))/(LN(2)/2)*AQ175*AT175*VLOOKUP('Données projet'!$B$10,Paramètres!$A$1:$I$89,3,0)*0.475*44/12</f>
        <v>6.7641613706965172E-21</v>
      </c>
      <c r="AX175" s="21">
        <f t="shared" si="166"/>
        <v>0.58288745985269741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3.9017322706058616E-13</v>
      </c>
      <c r="BF175" s="13">
        <f t="shared" si="167"/>
        <v>5.0025007393608908E-12</v>
      </c>
      <c r="BG175" s="20">
        <f t="shared" si="168"/>
        <v>9.3922404915174053E-12</v>
      </c>
      <c r="BH175" s="59">
        <f t="shared" si="116"/>
        <v>293.33333333334269</v>
      </c>
      <c r="BI175" s="59">
        <f ca="1">AVERAGE(OFFSET($BH$3,0,0,'Données projet'!$E$11+1,1))-AVERAGE(OFFSET($H$3,0,0,'Données projet'!$E$11+1,1))</f>
        <v>209.93608079129638</v>
      </c>
      <c r="BJ175" s="59">
        <f t="shared" si="146"/>
        <v>240.15652428700969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0.41770582870155049</v>
      </c>
      <c r="BQ175" s="21">
        <f>EXP(-LN(2)/25)*BQ174+(1-EXP(-LN(2)/25))/(LN(2)/25)*Calculateur!BL175*Calculateur!BN175*VLOOKUP('Données projet'!$B$11,Paramètres!$A$1:$I$89,3,0)*0.475*44/12</f>
        <v>0.40547158087020324</v>
      </c>
      <c r="BR175" s="21">
        <f>EXP(-LN(2)/2)*BR174+(1-EXP(-LN(2)/2))/(LN(2)/2)*BL175*BO175*VLOOKUP('Données projet'!$B$11,Paramètres!$A$1:$I$89,3,0)*0.475*44/12</f>
        <v>8.5511429817898126E-21</v>
      </c>
      <c r="BS175" s="22">
        <f t="shared" si="169"/>
        <v>0.82317740957175367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215.23235148064941</v>
      </c>
      <c r="CE175" s="59">
        <f t="shared" si="148"/>
        <v>184.07239726900434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0.18830327938519009</v>
      </c>
      <c r="CL175" s="21">
        <f>EXP(-LN(2)/25)*CL174+(1-EXP(-LN(2)/25))/(LN(2)/25)*Calculateur!CG175*Calculateur!CI175*VLOOKUP('Données projet'!$B$12,Paramètres!$A$1:$I$89,3,0)*0.475*44/12</f>
        <v>0.15322212701402207</v>
      </c>
      <c r="CM175" s="21">
        <f>EXP(-LN(2)/2)*CM174+(1-EXP(-LN(2)/2))/(LN(2)/2)*CG175*CJ175*VLOOKUP('Données projet'!$B$12,Paramètres!$A$1:$I$89,3,0)*0.475*44/12</f>
        <v>4.1640887110147636E-21</v>
      </c>
      <c r="CN175" s="22">
        <f t="shared" si="172"/>
        <v>0.34152540639921214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-1.1527845344971866E-13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279.20364724206644</v>
      </c>
      <c r="CZ175" s="59">
        <f t="shared" si="150"/>
        <v>173.99850582760712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6.7893436891627759E-2</v>
      </c>
      <c r="DH175" s="21">
        <f>EXP(-LN(2)/2)*DH174+(1-EXP(-LN(2)/2))/(LN(2)/2)*DB175*DE175*VLOOKUP('Données projet'!$B$13,Paramètres!$A$1:$I$89,3,0)*0.475*44/12</f>
        <v>2.9376534573854169E-21</v>
      </c>
      <c r="DI175" s="22">
        <f t="shared" si="175"/>
        <v>6.7893436891627759E-2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-1.1882548278663309E-13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291.18074901939718</v>
      </c>
      <c r="DU175" s="59">
        <f t="shared" si="152"/>
        <v>181.05123751753774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6.9982465719062484E-2</v>
      </c>
      <c r="EC175" s="21">
        <f>EXP(-LN(2)/2)*EC174+(1-EXP(-LN(2)/2))/(LN(2)/2)*DW175*DZ175*VLOOKUP('Données projet'!$B$14,Paramètres!$A$1:$I$89,3,0)*0.475*44/12</f>
        <v>3.0280427945357404E-21</v>
      </c>
      <c r="ED175" s="22">
        <f t="shared" si="178"/>
        <v>6.9982465719062484E-2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168.08890945052406</v>
      </c>
      <c r="EP175" s="59">
        <f t="shared" si="154"/>
        <v>182.52462557642343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0.37318847336982119</v>
      </c>
      <c r="EW175" s="21">
        <f>EXP(-LN(2)/25)*EW174+(1-EXP(-LN(2)/25))/(LN(2)/25)*Calculateur!ER175*Calculateur!ET175*VLOOKUP('Données projet'!$B$15,Paramètres!$A$1:$I$89,3,0)*0.475*44/12</f>
        <v>0.24051589078164301</v>
      </c>
      <c r="EX175" s="21">
        <f>EXP(-LN(2)/2)*EX174+(1-EXP(-LN(2)/2))/(LN(2)/2)*ER175*EU175*VLOOKUP('Données projet'!$B$15,Paramètres!$A$1:$I$89,3,0)*0.475*44/12</f>
        <v>2.3063404307261564E-21</v>
      </c>
      <c r="EY175" s="22">
        <f t="shared" si="181"/>
        <v>0.61370436415146423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3.813056537183002E-14</v>
      </c>
      <c r="FG175" s="13">
        <f t="shared" si="182"/>
        <v>6.4086286045526829E-13</v>
      </c>
      <c r="FH175" s="20">
        <f t="shared" si="183"/>
        <v>1.1825802166488628E-12</v>
      </c>
      <c r="FI175" s="59">
        <f t="shared" si="131"/>
        <v>293.33333333333451</v>
      </c>
      <c r="FJ175" s="59">
        <f ca="1">AVERAGE(OFFSET($FI$3,0,0,'Données projet'!$E$16+1,1))-AVERAGE(OFFSET($H$3,0,0,'Données projet'!$E$16+1,1))</f>
        <v>156.63226020379989</v>
      </c>
      <c r="FK175" s="59">
        <f t="shared" si="156"/>
        <v>196.0481096619543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0.16910900961928291</v>
      </c>
      <c r="FS175" s="21">
        <f>EXP(-LN(2)/2)*FS174+(1-EXP(-LN(2)/2))/(LN(2)/2)*FM175*FP175*VLOOKUP('Données projet'!$B$16,Paramètres!$A$1:$I$89,3,0)*0.475*44/12</f>
        <v>3.8427643576756704E-21</v>
      </c>
      <c r="FT175" s="22">
        <f t="shared" si="184"/>
        <v>0.16910900961928291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-4.5474735088646412E-13</v>
      </c>
      <c r="GA175" s="17">
        <f>FZ175*VLOOKUP('Données projet'!$B$17,Paramètres!$A$1:$I$89,3,0)*VLOOKUP('Données projet'!$B$17,Paramètres!$A$1:$I$89,5,0)</f>
        <v>-2.7193891583010558E-13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216.94426559495264</v>
      </c>
      <c r="GF175" s="59">
        <f t="shared" si="158"/>
        <v>225.33715877618704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0.2506270034791046</v>
      </c>
      <c r="GN175" s="21">
        <f>EXP(-LN(2)/2)*GN174+(1-EXP(-LN(2)/2))/(LN(2)/2)*GH175*GK175*VLOOKUP('Données projet'!$B$17,Paramètres!$A$1:$I$89,3,0)*0.475*44/12</f>
        <v>1.0049774815189408E-20</v>
      </c>
      <c r="GO175" s="21">
        <f t="shared" si="187"/>
        <v>0.2506270034791046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-1.1368683772161603E-13</v>
      </c>
      <c r="GV175" s="17">
        <f>GU175*VLOOKUP('Données projet'!$B$18,Paramètres!$A$1:$I$89,3,0)*VLOOKUP('Données projet'!$B$18,Paramètres!$A$1:$I$89,5,0)</f>
        <v>-1.0995790944434703E-13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261.22357949323879</v>
      </c>
      <c r="HA175" s="59">
        <f t="shared" si="160"/>
        <v>163.41029152029387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6.4759893650475686E-2</v>
      </c>
      <c r="HI175" s="21">
        <f>EXP(-LN(2)/2)*HI174+(1-EXP(-LN(2)/2))/(LN(2)/2)*HC175*HF175*VLOOKUP('Données projet'!$B$18,Paramètres!$A$1:$I$89,3,0)*0.475*44/12</f>
        <v>2.802069451659936E-21</v>
      </c>
      <c r="HJ175" s="22">
        <f t="shared" si="190"/>
        <v>6.4759893650475686E-2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237.22177246688199</v>
      </c>
      <c r="T176" s="59">
        <f t="shared" si="142"/>
        <v>149.27472147904302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227.99999999999986</v>
      </c>
      <c r="AJ176" s="13">
        <f>AI176*VLOOKUP('Données projet'!$B$10,Paramètres!$A$1:$I$89,3,0)*VLOOKUP('Données projet'!$B$10,Paramètres!$A$1:$I$89,5,0)</f>
        <v>199.18079999999992</v>
      </c>
      <c r="AK176" s="13">
        <f t="shared" si="164"/>
        <v>49.564089376413683</v>
      </c>
      <c r="AL176" s="20">
        <f t="shared" si="165"/>
        <v>433.23068233058694</v>
      </c>
      <c r="AM176" s="59">
        <f t="shared" si="113"/>
        <v>726.56401566392026</v>
      </c>
      <c r="AN176" s="59">
        <f ca="1">AVERAGE(OFFSET($AM$3,0,0,'Données projet'!$E$10+1,1))-AVERAGE(OFFSET($H$3,0,0,'Données projet'!$E$10+1,1))</f>
        <v>210.07838338464626</v>
      </c>
      <c r="AO176" s="59">
        <f t="shared" si="144"/>
        <v>241.76003724236273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0.31215562527854951</v>
      </c>
      <c r="AV176" s="21">
        <f>EXP(-LN(2)/25)*AV175+(1-EXP(-LN(2)/25))/(LN(2)/25)*Calculateur!AQ176*Calculateur!AS176*VLOOKUP('Données projet'!$B$10,Paramètres!$A$1:$I$89,3,0)*0.475*44/12</f>
        <v>0.25725577540275124</v>
      </c>
      <c r="AW176" s="21">
        <f>EXP(-LN(2)/2)*AW175+(1-EXP(-LN(2)/2))/(LN(2)/2)*AQ176*AT176*VLOOKUP('Données projet'!$B$10,Paramètres!$A$1:$I$89,3,0)*0.475*44/12</f>
        <v>4.7829843742595999E-21</v>
      </c>
      <c r="AX176" s="21">
        <f t="shared" si="166"/>
        <v>0.56941140068130069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3.9017322706058616E-13</v>
      </c>
      <c r="BF176" s="13">
        <f t="shared" si="167"/>
        <v>5.0025007393608908E-12</v>
      </c>
      <c r="BG176" s="20">
        <f t="shared" si="168"/>
        <v>9.3922404915174053E-12</v>
      </c>
      <c r="BH176" s="59">
        <f t="shared" si="116"/>
        <v>293.33333333334269</v>
      </c>
      <c r="BI176" s="59">
        <f ca="1">AVERAGE(OFFSET($BH$3,0,0,'Données projet'!$E$11+1,1))-AVERAGE(OFFSET($H$3,0,0,'Données projet'!$E$11+1,1))</f>
        <v>209.93608079129638</v>
      </c>
      <c r="BJ176" s="59">
        <f t="shared" si="146"/>
        <v>240.15652428700969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0.4095148721761116</v>
      </c>
      <c r="BQ176" s="21">
        <f>EXP(-LN(2)/25)*BQ175+(1-EXP(-LN(2)/25))/(LN(2)/25)*Calculateur!BL176*Calculateur!BN176*VLOOKUP('Données projet'!$B$11,Paramètres!$A$1:$I$89,3,0)*0.475*44/12</f>
        <v>0.3943839391684838</v>
      </c>
      <c r="BR176" s="21">
        <f>EXP(-LN(2)/2)*BR175+(1-EXP(-LN(2)/2))/(LN(2)/2)*BL176*BO176*VLOOKUP('Données projet'!$B$11,Paramètres!$A$1:$I$89,3,0)*0.475*44/12</f>
        <v>6.0465711893193307E-21</v>
      </c>
      <c r="BS176" s="22">
        <f t="shared" si="169"/>
        <v>0.8038988113445954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215.23235148064941</v>
      </c>
      <c r="CE176" s="59">
        <f t="shared" si="148"/>
        <v>184.07239726900434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0.18461076693010608</v>
      </c>
      <c r="CL176" s="21">
        <f>EXP(-LN(2)/25)*CL175+(1-EXP(-LN(2)/25))/(LN(2)/25)*Calculateur!CG176*Calculateur!CI176*VLOOKUP('Données projet'!$B$12,Paramètres!$A$1:$I$89,3,0)*0.475*44/12</f>
        <v>0.14903225989322216</v>
      </c>
      <c r="CM176" s="21">
        <f>EXP(-LN(2)/2)*CM175+(1-EXP(-LN(2)/2))/(LN(2)/2)*CG176*CJ176*VLOOKUP('Données projet'!$B$12,Paramètres!$A$1:$I$89,3,0)*0.475*44/12</f>
        <v>2.9444553650208892E-21</v>
      </c>
      <c r="CN176" s="22">
        <f t="shared" si="172"/>
        <v>0.33364302682332825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-1.1527845344971866E-13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279.20364724206644</v>
      </c>
      <c r="CZ176" s="59">
        <f t="shared" si="150"/>
        <v>173.99850582760712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6.6036887289465523E-2</v>
      </c>
      <c r="DH176" s="21">
        <f>EXP(-LN(2)/2)*DH175+(1-EXP(-LN(2)/2))/(LN(2)/2)*DB176*DE176*VLOOKUP('Données projet'!$B$13,Paramètres!$A$1:$I$89,3,0)*0.475*44/12</f>
        <v>2.0772346804933348E-21</v>
      </c>
      <c r="DI176" s="22">
        <f t="shared" si="175"/>
        <v>6.6036887289465523E-2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-1.1882548278663309E-13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291.18074901939718</v>
      </c>
      <c r="DU176" s="59">
        <f t="shared" si="152"/>
        <v>181.05123751753774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6.8068791513756791E-2</v>
      </c>
      <c r="EC176" s="21">
        <f>EXP(-LN(2)/2)*EC175+(1-EXP(-LN(2)/2))/(LN(2)/2)*DW176*DZ176*VLOOKUP('Données projet'!$B$14,Paramètres!$A$1:$I$89,3,0)*0.475*44/12</f>
        <v>2.1411495937392856E-21</v>
      </c>
      <c r="ED176" s="22">
        <f t="shared" si="178"/>
        <v>6.8068791513756791E-2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168.08890945052406</v>
      </c>
      <c r="EP176" s="59">
        <f t="shared" si="154"/>
        <v>182.52462557642343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0.36587047502953191</v>
      </c>
      <c r="EW176" s="21">
        <f>EXP(-LN(2)/25)*EW175+(1-EXP(-LN(2)/25))/(LN(2)/25)*Calculateur!ER176*Calculateur!ET176*VLOOKUP('Données projet'!$B$15,Paramètres!$A$1:$I$89,3,0)*0.475*44/12</f>
        <v>0.233938971100038</v>
      </c>
      <c r="EX176" s="21">
        <f>EXP(-LN(2)/2)*EX175+(1-EXP(-LN(2)/2))/(LN(2)/2)*ER176*EU176*VLOOKUP('Données projet'!$B$15,Paramètres!$A$1:$I$89,3,0)*0.475*44/12</f>
        <v>1.6308289582911681E-21</v>
      </c>
      <c r="EY176" s="22">
        <f t="shared" si="181"/>
        <v>0.59980944612956988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3.813056537183002E-14</v>
      </c>
      <c r="FG176" s="13">
        <f t="shared" si="182"/>
        <v>6.4086286045526829E-13</v>
      </c>
      <c r="FH176" s="20">
        <f t="shared" si="183"/>
        <v>1.1825802166488628E-12</v>
      </c>
      <c r="FI176" s="59">
        <f t="shared" si="131"/>
        <v>293.33333333333451</v>
      </c>
      <c r="FJ176" s="59">
        <f ca="1">AVERAGE(OFFSET($FI$3,0,0,'Données projet'!$E$16+1,1))-AVERAGE(OFFSET($H$3,0,0,'Données projet'!$E$16+1,1))</f>
        <v>156.63226020379989</v>
      </c>
      <c r="FK176" s="59">
        <f t="shared" si="156"/>
        <v>196.0481096619543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0.1644847148581873</v>
      </c>
      <c r="FS176" s="21">
        <f>EXP(-LN(2)/2)*FS175+(1-EXP(-LN(2)/2))/(LN(2)/2)*FM176*FP176*VLOOKUP('Données projet'!$B$16,Paramètres!$A$1:$I$89,3,0)*0.475*44/12</f>
        <v>2.7172447358144341E-21</v>
      </c>
      <c r="FT176" s="22">
        <f t="shared" si="184"/>
        <v>0.1644847148581873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-4.5474735088646412E-13</v>
      </c>
      <c r="GA176" s="17">
        <f>FZ176*VLOOKUP('Données projet'!$B$17,Paramètres!$A$1:$I$89,3,0)*VLOOKUP('Données projet'!$B$17,Paramètres!$A$1:$I$89,5,0)</f>
        <v>-2.7193891583010558E-13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216.94426559495264</v>
      </c>
      <c r="GF176" s="59">
        <f t="shared" si="158"/>
        <v>225.33715877618704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0.24377359488906719</v>
      </c>
      <c r="GN176" s="21">
        <f>EXP(-LN(2)/2)*GN175+(1-EXP(-LN(2)/2))/(LN(2)/2)*GH176*GK176*VLOOKUP('Données projet'!$B$17,Paramètres!$A$1:$I$89,3,0)*0.475*44/12</f>
        <v>7.1062639212182126E-21</v>
      </c>
      <c r="GO176" s="21">
        <f t="shared" si="187"/>
        <v>0.24377359488906719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-1.1368683772161603E-13</v>
      </c>
      <c r="GV176" s="17">
        <f>GU176*VLOOKUP('Données projet'!$B$18,Paramètres!$A$1:$I$89,3,0)*VLOOKUP('Données projet'!$B$18,Paramètres!$A$1:$I$89,5,0)</f>
        <v>-1.0995790944434703E-13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261.22357949323879</v>
      </c>
      <c r="HA176" s="59">
        <f t="shared" si="160"/>
        <v>163.41029152029387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6.298903095302863E-2</v>
      </c>
      <c r="HI176" s="21">
        <f>EXP(-LN(2)/2)*HI175+(1-EXP(-LN(2)/2))/(LN(2)/2)*HC176*HF176*VLOOKUP('Données projet'!$B$18,Paramètres!$A$1:$I$89,3,0)*0.475*44/12</f>
        <v>1.9813623106244116E-21</v>
      </c>
      <c r="HJ176" s="22">
        <f t="shared" si="190"/>
        <v>6.298903095302863E-2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237.22177246688199</v>
      </c>
      <c r="T177" s="59">
        <f t="shared" si="142"/>
        <v>149.27472147904302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227.99999999999986</v>
      </c>
      <c r="AJ177" s="13">
        <f>AI177*VLOOKUP('Données projet'!$B$10,Paramètres!$A$1:$I$89,3,0)*VLOOKUP('Données projet'!$B$10,Paramètres!$A$1:$I$89,5,0)</f>
        <v>199.18079999999992</v>
      </c>
      <c r="AK177" s="13">
        <f t="shared" si="164"/>
        <v>49.564089376413683</v>
      </c>
      <c r="AL177" s="20">
        <f t="shared" si="165"/>
        <v>433.23068233058694</v>
      </c>
      <c r="AM177" s="59">
        <f t="shared" si="113"/>
        <v>726.56401566392026</v>
      </c>
      <c r="AN177" s="59">
        <f ca="1">AVERAGE(OFFSET($AM$3,0,0,'Données projet'!$E$10+1,1))-AVERAGE(OFFSET($H$3,0,0,'Données projet'!$E$10+1,1))</f>
        <v>210.07838338464626</v>
      </c>
      <c r="AO177" s="59">
        <f t="shared" si="144"/>
        <v>241.76003724236273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0.30603444386296852</v>
      </c>
      <c r="AV177" s="21">
        <f>EXP(-LN(2)/25)*AV176+(1-EXP(-LN(2)/25))/(LN(2)/25)*Calculateur!AQ177*Calculateur!AS177*VLOOKUP('Données projet'!$B$10,Paramètres!$A$1:$I$89,3,0)*0.475*44/12</f>
        <v>0.25022110269586972</v>
      </c>
      <c r="AW177" s="21">
        <f>EXP(-LN(2)/2)*AW176+(1-EXP(-LN(2)/2))/(LN(2)/2)*AQ177*AT177*VLOOKUP('Données projet'!$B$10,Paramètres!$A$1:$I$89,3,0)*0.475*44/12</f>
        <v>3.382080685348259E-21</v>
      </c>
      <c r="AX177" s="21">
        <f t="shared" si="166"/>
        <v>0.55625554655883824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3.9017322706058616E-13</v>
      </c>
      <c r="BF177" s="13">
        <f t="shared" si="167"/>
        <v>5.0025007393608908E-12</v>
      </c>
      <c r="BG177" s="20">
        <f t="shared" si="168"/>
        <v>9.3922404915174053E-12</v>
      </c>
      <c r="BH177" s="59">
        <f t="shared" si="116"/>
        <v>293.33333333334269</v>
      </c>
      <c r="BI177" s="59">
        <f ca="1">AVERAGE(OFFSET($BH$3,0,0,'Données projet'!$E$11+1,1))-AVERAGE(OFFSET($H$3,0,0,'Données projet'!$E$11+1,1))</f>
        <v>209.93608079129638</v>
      </c>
      <c r="BJ177" s="59">
        <f t="shared" si="146"/>
        <v>240.15652428700969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0.4014845353121464</v>
      </c>
      <c r="BQ177" s="21">
        <f>EXP(-LN(2)/25)*BQ176+(1-EXP(-LN(2)/25))/(LN(2)/25)*Calculateur!BL177*Calculateur!BN177*VLOOKUP('Données projet'!$B$11,Paramètres!$A$1:$I$89,3,0)*0.475*44/12</f>
        <v>0.38359948961217161</v>
      </c>
      <c r="BR177" s="21">
        <f>EXP(-LN(2)/2)*BR176+(1-EXP(-LN(2)/2))/(LN(2)/2)*BL177*BO177*VLOOKUP('Données projet'!$B$11,Paramètres!$A$1:$I$89,3,0)*0.475*44/12</f>
        <v>4.2755714908949063E-21</v>
      </c>
      <c r="BS177" s="22">
        <f t="shared" si="169"/>
        <v>0.78508402492431806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215.23235148064941</v>
      </c>
      <c r="CE177" s="59">
        <f t="shared" si="148"/>
        <v>184.07239726900434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0.18099066239205605</v>
      </c>
      <c r="CL177" s="21">
        <f>EXP(-LN(2)/25)*CL176+(1-EXP(-LN(2)/25))/(LN(2)/25)*Calculateur!CG177*Calculateur!CI177*VLOOKUP('Données projet'!$B$12,Paramètres!$A$1:$I$89,3,0)*0.475*44/12</f>
        <v>0.14495696490917606</v>
      </c>
      <c r="CM177" s="21">
        <f>EXP(-LN(2)/2)*CM176+(1-EXP(-LN(2)/2))/(LN(2)/2)*CG177*CJ177*VLOOKUP('Données projet'!$B$12,Paramètres!$A$1:$I$89,3,0)*0.475*44/12</f>
        <v>2.0820443555073818E-21</v>
      </c>
      <c r="CN177" s="22">
        <f t="shared" si="172"/>
        <v>0.32594762730123211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-1.1527845344971866E-13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279.20364724206644</v>
      </c>
      <c r="CZ177" s="59">
        <f t="shared" si="150"/>
        <v>173.99850582760712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6.4231105133806116E-2</v>
      </c>
      <c r="DH177" s="21">
        <f>EXP(-LN(2)/2)*DH176+(1-EXP(-LN(2)/2))/(LN(2)/2)*DB177*DE177*VLOOKUP('Données projet'!$B$13,Paramètres!$A$1:$I$89,3,0)*0.475*44/12</f>
        <v>1.4688267286927085E-21</v>
      </c>
      <c r="DI177" s="22">
        <f t="shared" si="175"/>
        <v>6.4231105133806116E-2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-1.1882548278663309E-13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291.18074901939718</v>
      </c>
      <c r="DU177" s="59">
        <f t="shared" si="152"/>
        <v>181.05123751753774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6.6207446830230943E-2</v>
      </c>
      <c r="EC177" s="21">
        <f>EXP(-LN(2)/2)*EC176+(1-EXP(-LN(2)/2))/(LN(2)/2)*DW177*DZ177*VLOOKUP('Données projet'!$B$14,Paramètres!$A$1:$I$89,3,0)*0.475*44/12</f>
        <v>1.5140213972678702E-21</v>
      </c>
      <c r="ED177" s="22">
        <f t="shared" si="178"/>
        <v>6.6207446830230943E-2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168.08890945052406</v>
      </c>
      <c r="EP177" s="59">
        <f t="shared" si="154"/>
        <v>182.52462557642343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0.35869597817315746</v>
      </c>
      <c r="EW177" s="21">
        <f>EXP(-LN(2)/25)*EW176+(1-EXP(-LN(2)/25))/(LN(2)/25)*Calculateur!ER177*Calculateur!ET177*VLOOKUP('Données projet'!$B$15,Paramètres!$A$1:$I$89,3,0)*0.475*44/12</f>
        <v>0.22754189763299165</v>
      </c>
      <c r="EX177" s="21">
        <f>EXP(-LN(2)/2)*EX176+(1-EXP(-LN(2)/2))/(LN(2)/2)*ER177*EU177*VLOOKUP('Données projet'!$B$15,Paramètres!$A$1:$I$89,3,0)*0.475*44/12</f>
        <v>1.1531702153630782E-21</v>
      </c>
      <c r="EY177" s="22">
        <f t="shared" si="181"/>
        <v>0.58623787580614906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3.813056537183002E-14</v>
      </c>
      <c r="FG177" s="13">
        <f t="shared" si="182"/>
        <v>6.4086286045526829E-13</v>
      </c>
      <c r="FH177" s="20">
        <f t="shared" si="183"/>
        <v>1.1825802166488628E-12</v>
      </c>
      <c r="FI177" s="59">
        <f t="shared" si="131"/>
        <v>293.33333333333451</v>
      </c>
      <c r="FJ177" s="59">
        <f ca="1">AVERAGE(OFFSET($FI$3,0,0,'Données projet'!$E$16+1,1))-AVERAGE(OFFSET($H$3,0,0,'Données projet'!$E$16+1,1))</f>
        <v>156.63226020379989</v>
      </c>
      <c r="FK177" s="59">
        <f t="shared" si="156"/>
        <v>196.0481096619543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0.15998687168051495</v>
      </c>
      <c r="FS177" s="21">
        <f>EXP(-LN(2)/2)*FS176+(1-EXP(-LN(2)/2))/(LN(2)/2)*FM177*FP177*VLOOKUP('Données projet'!$B$16,Paramètres!$A$1:$I$89,3,0)*0.475*44/12</f>
        <v>1.9213821788378352E-21</v>
      </c>
      <c r="FT177" s="22">
        <f t="shared" si="184"/>
        <v>0.15998687168051495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-4.5474735088646412E-13</v>
      </c>
      <c r="GA177" s="17">
        <f>FZ177*VLOOKUP('Données projet'!$B$17,Paramètres!$A$1:$I$89,3,0)*VLOOKUP('Données projet'!$B$17,Paramètres!$A$1:$I$89,5,0)</f>
        <v>-2.7193891583010558E-13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216.94426559495264</v>
      </c>
      <c r="GF177" s="59">
        <f t="shared" si="158"/>
        <v>225.33715877618704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0.23710759311732946</v>
      </c>
      <c r="GN177" s="21">
        <f>EXP(-LN(2)/2)*GN176+(1-EXP(-LN(2)/2))/(LN(2)/2)*GH177*GK177*VLOOKUP('Données projet'!$B$17,Paramètres!$A$1:$I$89,3,0)*0.475*44/12</f>
        <v>5.024887407594704E-21</v>
      </c>
      <c r="GO177" s="21">
        <f t="shared" si="187"/>
        <v>0.23710759311732946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-1.1368683772161603E-13</v>
      </c>
      <c r="GV177" s="17">
        <f>GU177*VLOOKUP('Données projet'!$B$18,Paramètres!$A$1:$I$89,3,0)*VLOOKUP('Données projet'!$B$18,Paramètres!$A$1:$I$89,5,0)</f>
        <v>-1.0995790944434703E-13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261.22357949323879</v>
      </c>
      <c r="HA177" s="59">
        <f t="shared" si="160"/>
        <v>163.41029152029387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6.1266592589168889E-2</v>
      </c>
      <c r="HI177" s="21">
        <f>EXP(-LN(2)/2)*HI176+(1-EXP(-LN(2)/2))/(LN(2)/2)*HC177*HF177*VLOOKUP('Données projet'!$B$18,Paramètres!$A$1:$I$89,3,0)*0.475*44/12</f>
        <v>1.401034725829968E-21</v>
      </c>
      <c r="HJ177" s="22">
        <f t="shared" si="190"/>
        <v>6.1266592589168889E-2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237.22177246688199</v>
      </c>
      <c r="T178" s="59">
        <f t="shared" si="142"/>
        <v>149.27472147904302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227.99999999999986</v>
      </c>
      <c r="AJ178" s="13">
        <f>AI178*VLOOKUP('Données projet'!$B$10,Paramètres!$A$1:$I$89,3,0)*VLOOKUP('Données projet'!$B$10,Paramètres!$A$1:$I$89,5,0)</f>
        <v>199.18079999999992</v>
      </c>
      <c r="AK178" s="13">
        <f t="shared" si="164"/>
        <v>49.564089376413683</v>
      </c>
      <c r="AL178" s="20">
        <f t="shared" si="165"/>
        <v>433.23068233058694</v>
      </c>
      <c r="AM178" s="59">
        <f t="shared" si="113"/>
        <v>726.56401566392026</v>
      </c>
      <c r="AN178" s="59">
        <f ca="1">AVERAGE(OFFSET($AM$3,0,0,'Données projet'!$E$10+1,1))-AVERAGE(OFFSET($H$3,0,0,'Données projet'!$E$10+1,1))</f>
        <v>210.07838338464626</v>
      </c>
      <c r="AO178" s="59">
        <f t="shared" si="144"/>
        <v>241.76003724236273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0.30003329508139509</v>
      </c>
      <c r="AV178" s="21">
        <f>EXP(-LN(2)/25)*AV177+(1-EXP(-LN(2)/25))/(LN(2)/25)*Calculateur!AQ178*Calculateur!AS178*VLOOKUP('Données projet'!$B$10,Paramètres!$A$1:$I$89,3,0)*0.475*44/12</f>
        <v>0.24337879348409527</v>
      </c>
      <c r="AW178" s="21">
        <f>EXP(-LN(2)/2)*AW177+(1-EXP(-LN(2)/2))/(LN(2)/2)*AQ178*AT178*VLOOKUP('Données projet'!$B$10,Paramètres!$A$1:$I$89,3,0)*0.475*44/12</f>
        <v>2.3914921871298003E-21</v>
      </c>
      <c r="AX178" s="21">
        <f t="shared" si="166"/>
        <v>0.54341208856549039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3.9017322706058616E-13</v>
      </c>
      <c r="BF178" s="13">
        <f t="shared" si="167"/>
        <v>5.0025007393608908E-12</v>
      </c>
      <c r="BG178" s="20">
        <f t="shared" si="168"/>
        <v>9.3922404915174053E-12</v>
      </c>
      <c r="BH178" s="59">
        <f t="shared" si="116"/>
        <v>293.33333333334269</v>
      </c>
      <c r="BI178" s="59">
        <f ca="1">AVERAGE(OFFSET($BH$3,0,0,'Données projet'!$E$11+1,1))-AVERAGE(OFFSET($H$3,0,0,'Données projet'!$E$11+1,1))</f>
        <v>209.93608079129638</v>
      </c>
      <c r="BJ178" s="59">
        <f t="shared" si="146"/>
        <v>240.15652428700969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0.39361166845606171</v>
      </c>
      <c r="BQ178" s="21">
        <f>EXP(-LN(2)/25)*BQ177+(1-EXP(-LN(2)/25))/(LN(2)/25)*Calculateur!BL178*Calculateur!BN178*VLOOKUP('Données projet'!$B$11,Paramètres!$A$1:$I$89,3,0)*0.475*44/12</f>
        <v>0.37310994139610637</v>
      </c>
      <c r="BR178" s="21">
        <f>EXP(-LN(2)/2)*BR177+(1-EXP(-LN(2)/2))/(LN(2)/2)*BL178*BO178*VLOOKUP('Données projet'!$B$11,Paramètres!$A$1:$I$89,3,0)*0.475*44/12</f>
        <v>3.0232855946596653E-21</v>
      </c>
      <c r="BS178" s="22">
        <f t="shared" si="169"/>
        <v>0.76672160985216808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215.23235148064941</v>
      </c>
      <c r="CE178" s="59">
        <f t="shared" si="148"/>
        <v>184.07239726900434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0.17744154589595146</v>
      </c>
      <c r="CL178" s="21">
        <f>EXP(-LN(2)/25)*CL177+(1-EXP(-LN(2)/25))/(LN(2)/25)*Calculateur!CG178*Calculateur!CI178*VLOOKUP('Données projet'!$B$12,Paramètres!$A$1:$I$89,3,0)*0.475*44/12</f>
        <v>0.14099310908077917</v>
      </c>
      <c r="CM178" s="21">
        <f>EXP(-LN(2)/2)*CM177+(1-EXP(-LN(2)/2))/(LN(2)/2)*CG178*CJ178*VLOOKUP('Données projet'!$B$12,Paramètres!$A$1:$I$89,3,0)*0.475*44/12</f>
        <v>1.4722276825104446E-21</v>
      </c>
      <c r="CN178" s="22">
        <f t="shared" si="172"/>
        <v>0.31843465497673062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-1.1527845344971866E-13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279.20364724206644</v>
      </c>
      <c r="CZ178" s="59">
        <f t="shared" si="150"/>
        <v>173.99850582760712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6.2474702186155168E-2</v>
      </c>
      <c r="DH178" s="21">
        <f>EXP(-LN(2)/2)*DH177+(1-EXP(-LN(2)/2))/(LN(2)/2)*DB178*DE178*VLOOKUP('Données projet'!$B$13,Paramètres!$A$1:$I$89,3,0)*0.475*44/12</f>
        <v>1.0386173402466674E-21</v>
      </c>
      <c r="DI178" s="22">
        <f t="shared" si="175"/>
        <v>6.2474702186155168E-2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-1.1882548278663309E-13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291.18074901939718</v>
      </c>
      <c r="DU178" s="59">
        <f t="shared" si="152"/>
        <v>181.05123751753774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6.4397000714959962E-2</v>
      </c>
      <c r="EC178" s="21">
        <f>EXP(-LN(2)/2)*EC177+(1-EXP(-LN(2)/2))/(LN(2)/2)*DW178*DZ178*VLOOKUP('Données projet'!$B$14,Paramètres!$A$1:$I$89,3,0)*0.475*44/12</f>
        <v>1.0705747968696428E-21</v>
      </c>
      <c r="ED178" s="22">
        <f t="shared" si="178"/>
        <v>6.4397000714959962E-2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168.08890945052406</v>
      </c>
      <c r="EP178" s="59">
        <f t="shared" si="154"/>
        <v>182.52462557642343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0.35166216882412549</v>
      </c>
      <c r="EW178" s="21">
        <f>EXP(-LN(2)/25)*EW177+(1-EXP(-LN(2)/25))/(LN(2)/25)*Calculateur!ER178*Calculateur!ET178*VLOOKUP('Données projet'!$B$15,Paramètres!$A$1:$I$89,3,0)*0.475*44/12</f>
        <v>0.22131975247630914</v>
      </c>
      <c r="EX178" s="21">
        <f>EXP(-LN(2)/2)*EX177+(1-EXP(-LN(2)/2))/(LN(2)/2)*ER178*EU178*VLOOKUP('Données projet'!$B$15,Paramètres!$A$1:$I$89,3,0)*0.475*44/12</f>
        <v>8.1541447914558404E-22</v>
      </c>
      <c r="EY178" s="22">
        <f t="shared" si="181"/>
        <v>0.57298192130043457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3.813056537183002E-14</v>
      </c>
      <c r="FG178" s="13">
        <f t="shared" si="182"/>
        <v>6.4086286045526829E-13</v>
      </c>
      <c r="FH178" s="20">
        <f t="shared" si="183"/>
        <v>1.1825802166488628E-12</v>
      </c>
      <c r="FI178" s="59">
        <f t="shared" si="131"/>
        <v>293.33333333333451</v>
      </c>
      <c r="FJ178" s="59">
        <f ca="1">AVERAGE(OFFSET($FI$3,0,0,'Données projet'!$E$16+1,1))-AVERAGE(OFFSET($H$3,0,0,'Données projet'!$E$16+1,1))</f>
        <v>156.63226020379989</v>
      </c>
      <c r="FK178" s="59">
        <f t="shared" si="156"/>
        <v>196.0481096619543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0.15561202226106735</v>
      </c>
      <c r="FS178" s="21">
        <f>EXP(-LN(2)/2)*FS177+(1-EXP(-LN(2)/2))/(LN(2)/2)*FM178*FP178*VLOOKUP('Données projet'!$B$16,Paramètres!$A$1:$I$89,3,0)*0.475*44/12</f>
        <v>1.3586223679072171E-21</v>
      </c>
      <c r="FT178" s="22">
        <f t="shared" si="184"/>
        <v>0.15561202226106735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-4.5474735088646412E-13</v>
      </c>
      <c r="GA178" s="17">
        <f>FZ178*VLOOKUP('Données projet'!$B$17,Paramètres!$A$1:$I$89,3,0)*VLOOKUP('Données projet'!$B$17,Paramètres!$A$1:$I$89,5,0)</f>
        <v>-2.7193891583010558E-13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216.94426559495264</v>
      </c>
      <c r="GF178" s="59">
        <f t="shared" si="158"/>
        <v>225.33715877618704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0.23062387351458968</v>
      </c>
      <c r="GN178" s="21">
        <f>EXP(-LN(2)/2)*GN177+(1-EXP(-LN(2)/2))/(LN(2)/2)*GH178*GK178*VLOOKUP('Données projet'!$B$17,Paramètres!$A$1:$I$89,3,0)*0.475*44/12</f>
        <v>3.5531319606091063E-21</v>
      </c>
      <c r="GO178" s="21">
        <f t="shared" si="187"/>
        <v>0.23062387351458968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-1.1368683772161603E-13</v>
      </c>
      <c r="GV178" s="17">
        <f>GU178*VLOOKUP('Données projet'!$B$18,Paramètres!$A$1:$I$89,3,0)*VLOOKUP('Données projet'!$B$18,Paramètres!$A$1:$I$89,5,0)</f>
        <v>-1.0995790944434703E-13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261.22357949323879</v>
      </c>
      <c r="HA178" s="59">
        <f t="shared" si="160"/>
        <v>163.41029152029387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5.959125439294799E-2</v>
      </c>
      <c r="HI178" s="21">
        <f>EXP(-LN(2)/2)*HI177+(1-EXP(-LN(2)/2))/(LN(2)/2)*HC178*HF178*VLOOKUP('Données projet'!$B$18,Paramètres!$A$1:$I$89,3,0)*0.475*44/12</f>
        <v>9.9068115531220578E-22</v>
      </c>
      <c r="HJ178" s="22">
        <f t="shared" si="190"/>
        <v>5.959125439294799E-2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237.22177246688199</v>
      </c>
      <c r="T179" s="59">
        <f t="shared" si="142"/>
        <v>149.27472147904302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227.99999999999986</v>
      </c>
      <c r="AJ179" s="13">
        <f>AI179*VLOOKUP('Données projet'!$B$10,Paramètres!$A$1:$I$89,3,0)*VLOOKUP('Données projet'!$B$10,Paramètres!$A$1:$I$89,5,0)</f>
        <v>199.18079999999992</v>
      </c>
      <c r="AK179" s="13">
        <f t="shared" si="164"/>
        <v>49.564089376413683</v>
      </c>
      <c r="AL179" s="20">
        <f t="shared" si="165"/>
        <v>433.23068233058694</v>
      </c>
      <c r="AM179" s="59">
        <f t="shared" si="113"/>
        <v>726.56401566392026</v>
      </c>
      <c r="AN179" s="59">
        <f ca="1">AVERAGE(OFFSET($AM$3,0,0,'Données projet'!$E$10+1,1))-AVERAGE(OFFSET($H$3,0,0,'Données projet'!$E$10+1,1))</f>
        <v>210.07838338464626</v>
      </c>
      <c r="AO179" s="59">
        <f t="shared" si="144"/>
        <v>241.76003724236273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0.29414982516708899</v>
      </c>
      <c r="AV179" s="21">
        <f>EXP(-LN(2)/25)*AV178+(1-EXP(-LN(2)/25))/(LN(2)/25)*Calculateur!AQ179*Calculateur!AS179*VLOOKUP('Données projet'!$B$10,Paramètres!$A$1:$I$89,3,0)*0.475*44/12</f>
        <v>0.2367235875775382</v>
      </c>
      <c r="AW179" s="21">
        <f>EXP(-LN(2)/2)*AW178+(1-EXP(-LN(2)/2))/(LN(2)/2)*AQ179*AT179*VLOOKUP('Données projet'!$B$10,Paramètres!$A$1:$I$89,3,0)*0.475*44/12</f>
        <v>1.6910403426741299E-21</v>
      </c>
      <c r="AX179" s="21">
        <f t="shared" si="166"/>
        <v>0.53087341274462718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3.9017322706058616E-13</v>
      </c>
      <c r="BF179" s="13">
        <f t="shared" si="167"/>
        <v>5.0025007393608908E-12</v>
      </c>
      <c r="BG179" s="20">
        <f t="shared" si="168"/>
        <v>9.3922404915174053E-12</v>
      </c>
      <c r="BH179" s="59">
        <f t="shared" si="116"/>
        <v>293.33333333334269</v>
      </c>
      <c r="BI179" s="59">
        <f ca="1">AVERAGE(OFFSET($BH$3,0,0,'Données projet'!$E$11+1,1))-AVERAGE(OFFSET($H$3,0,0,'Données projet'!$E$11+1,1))</f>
        <v>209.93608079129638</v>
      </c>
      <c r="BJ179" s="59">
        <f t="shared" si="146"/>
        <v>240.15652428700969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0.38589318371705023</v>
      </c>
      <c r="BQ179" s="21">
        <f>EXP(-LN(2)/25)*BQ178+(1-EXP(-LN(2)/25))/(LN(2)/25)*Calculateur!BL179*Calculateur!BN179*VLOOKUP('Données projet'!$B$11,Paramètres!$A$1:$I$89,3,0)*0.475*44/12</f>
        <v>0.36290723042763079</v>
      </c>
      <c r="BR179" s="21">
        <f>EXP(-LN(2)/2)*BR178+(1-EXP(-LN(2)/2))/(LN(2)/2)*BL179*BO179*VLOOKUP('Données projet'!$B$11,Paramètres!$A$1:$I$89,3,0)*0.475*44/12</f>
        <v>2.1377857454474532E-21</v>
      </c>
      <c r="BS179" s="22">
        <f t="shared" si="169"/>
        <v>0.74880041414468101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215.23235148064941</v>
      </c>
      <c r="CE179" s="59">
        <f t="shared" si="148"/>
        <v>184.07239726900434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0.17396202540958816</v>
      </c>
      <c r="CL179" s="21">
        <f>EXP(-LN(2)/25)*CL178+(1-EXP(-LN(2)/25))/(LN(2)/25)*Calculateur!CG179*Calculateur!CI179*VLOOKUP('Données projet'!$B$12,Paramètres!$A$1:$I$89,3,0)*0.475*44/12</f>
        <v>0.13713764509845991</v>
      </c>
      <c r="CM179" s="21">
        <f>EXP(-LN(2)/2)*CM178+(1-EXP(-LN(2)/2))/(LN(2)/2)*CG179*CJ179*VLOOKUP('Données projet'!$B$12,Paramètres!$A$1:$I$89,3,0)*0.475*44/12</f>
        <v>1.0410221777536909E-21</v>
      </c>
      <c r="CN179" s="22">
        <f t="shared" si="172"/>
        <v>0.3110996705080481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-1.1527845344971866E-13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279.20364724206644</v>
      </c>
      <c r="CZ179" s="59">
        <f t="shared" si="150"/>
        <v>173.99850582760712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6.0766328169472958E-2</v>
      </c>
      <c r="DH179" s="21">
        <f>EXP(-LN(2)/2)*DH178+(1-EXP(-LN(2)/2))/(LN(2)/2)*DB179*DE179*VLOOKUP('Données projet'!$B$13,Paramètres!$A$1:$I$89,3,0)*0.475*44/12</f>
        <v>7.3441336434635423E-22</v>
      </c>
      <c r="DI179" s="22">
        <f t="shared" si="175"/>
        <v>6.0766328169472958E-2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-1.1882548278663309E-13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291.18074901939718</v>
      </c>
      <c r="DU179" s="59">
        <f t="shared" si="152"/>
        <v>181.05123751753774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6.263606134391829E-2</v>
      </c>
      <c r="EC179" s="21">
        <f>EXP(-LN(2)/2)*EC178+(1-EXP(-LN(2)/2))/(LN(2)/2)*DW179*DZ179*VLOOKUP('Données projet'!$B$14,Paramètres!$A$1:$I$89,3,0)*0.475*44/12</f>
        <v>7.570106986339351E-22</v>
      </c>
      <c r="ED179" s="22">
        <f t="shared" si="178"/>
        <v>6.263606134391829E-2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168.08890945052406</v>
      </c>
      <c r="EP179" s="59">
        <f t="shared" si="154"/>
        <v>182.52462557642343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0.34476628818622795</v>
      </c>
      <c r="EW179" s="21">
        <f>EXP(-LN(2)/25)*EW178+(1-EXP(-LN(2)/25))/(LN(2)/25)*Calculateur!ER179*Calculateur!ET179*VLOOKUP('Données projet'!$B$15,Paramètres!$A$1:$I$89,3,0)*0.475*44/12</f>
        <v>0.21526775220614452</v>
      </c>
      <c r="EX179" s="21">
        <f>EXP(-LN(2)/2)*EX178+(1-EXP(-LN(2)/2))/(LN(2)/2)*ER179*EU179*VLOOKUP('Données projet'!$B$15,Paramètres!$A$1:$I$89,3,0)*0.475*44/12</f>
        <v>5.765851076815391E-22</v>
      </c>
      <c r="EY179" s="22">
        <f t="shared" si="181"/>
        <v>0.56003404039237248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3.813056537183002E-14</v>
      </c>
      <c r="FG179" s="13">
        <f t="shared" si="182"/>
        <v>6.4086286045526829E-13</v>
      </c>
      <c r="FH179" s="20">
        <f t="shared" si="183"/>
        <v>1.1825802166488628E-12</v>
      </c>
      <c r="FI179" s="59">
        <f t="shared" si="131"/>
        <v>293.33333333333451</v>
      </c>
      <c r="FJ179" s="59">
        <f ca="1">AVERAGE(OFFSET($FI$3,0,0,'Données projet'!$E$16+1,1))-AVERAGE(OFFSET($H$3,0,0,'Données projet'!$E$16+1,1))</f>
        <v>156.63226020379989</v>
      </c>
      <c r="FK179" s="59">
        <f t="shared" si="156"/>
        <v>196.0481096619543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0.15135680332905788</v>
      </c>
      <c r="FS179" s="21">
        <f>EXP(-LN(2)/2)*FS178+(1-EXP(-LN(2)/2))/(LN(2)/2)*FM179*FP179*VLOOKUP('Données projet'!$B$16,Paramètres!$A$1:$I$89,3,0)*0.475*44/12</f>
        <v>9.6069108941891761E-22</v>
      </c>
      <c r="FT179" s="22">
        <f t="shared" si="184"/>
        <v>0.15135680332905788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-4.5474735088646412E-13</v>
      </c>
      <c r="GA179" s="17">
        <f>FZ179*VLOOKUP('Données projet'!$B$17,Paramètres!$A$1:$I$89,3,0)*VLOOKUP('Données projet'!$B$17,Paramètres!$A$1:$I$89,5,0)</f>
        <v>-2.7193891583010558E-13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216.94426559495264</v>
      </c>
      <c r="GF179" s="59">
        <f t="shared" si="158"/>
        <v>225.33715877618704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0.22431745156535082</v>
      </c>
      <c r="GN179" s="21">
        <f>EXP(-LN(2)/2)*GN178+(1-EXP(-LN(2)/2))/(LN(2)/2)*GH179*GK179*VLOOKUP('Données projet'!$B$17,Paramètres!$A$1:$I$89,3,0)*0.475*44/12</f>
        <v>2.512443703797352E-21</v>
      </c>
      <c r="GO179" s="21">
        <f t="shared" si="187"/>
        <v>0.22431745156535082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-1.1368683772161603E-13</v>
      </c>
      <c r="GV179" s="17">
        <f>GU179*VLOOKUP('Données projet'!$B$18,Paramètres!$A$1:$I$89,3,0)*VLOOKUP('Données projet'!$B$18,Paramètres!$A$1:$I$89,5,0)</f>
        <v>-1.0995790944434703E-13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261.22357949323879</v>
      </c>
      <c r="HA179" s="59">
        <f t="shared" si="160"/>
        <v>163.41029152029387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5.7961728407804954E-2</v>
      </c>
      <c r="HI179" s="21">
        <f>EXP(-LN(2)/2)*HI178+(1-EXP(-LN(2)/2))/(LN(2)/2)*HC179*HF179*VLOOKUP('Données projet'!$B$18,Paramètres!$A$1:$I$89,3,0)*0.475*44/12</f>
        <v>7.0051736291498401E-22</v>
      </c>
      <c r="HJ179" s="22">
        <f t="shared" si="190"/>
        <v>5.7961728407804954E-2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237.22177246688199</v>
      </c>
      <c r="T180" s="59">
        <f t="shared" si="142"/>
        <v>149.27472147904302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227.99999999999986</v>
      </c>
      <c r="AJ180" s="13">
        <f>AI180*VLOOKUP('Données projet'!$B$10,Paramètres!$A$1:$I$89,3,0)*VLOOKUP('Données projet'!$B$10,Paramètres!$A$1:$I$89,5,0)</f>
        <v>199.18079999999992</v>
      </c>
      <c r="AK180" s="13">
        <f t="shared" si="164"/>
        <v>49.564089376413683</v>
      </c>
      <c r="AL180" s="20">
        <f t="shared" si="165"/>
        <v>433.23068233058694</v>
      </c>
      <c r="AM180" s="59">
        <f t="shared" si="113"/>
        <v>726.56401566392026</v>
      </c>
      <c r="AN180" s="59">
        <f ca="1">AVERAGE(OFFSET($AM$3,0,0,'Données projet'!$E$10+1,1))-AVERAGE(OFFSET($H$3,0,0,'Données projet'!$E$10+1,1))</f>
        <v>210.07838338464626</v>
      </c>
      <c r="AO180" s="59">
        <f t="shared" si="144"/>
        <v>241.76003724236273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0.2883817265092401</v>
      </c>
      <c r="AV180" s="21">
        <f>EXP(-LN(2)/25)*AV179+(1-EXP(-LN(2)/25))/(LN(2)/25)*Calculateur!AQ180*Calculateur!AS180*VLOOKUP('Données projet'!$B$10,Paramètres!$A$1:$I$89,3,0)*0.475*44/12</f>
        <v>0.23025036862647799</v>
      </c>
      <c r="AW180" s="21">
        <f>EXP(-LN(2)/2)*AW179+(1-EXP(-LN(2)/2))/(LN(2)/2)*AQ180*AT180*VLOOKUP('Données projet'!$B$10,Paramètres!$A$1:$I$89,3,0)*0.475*44/12</f>
        <v>1.1957460935649004E-21</v>
      </c>
      <c r="AX180" s="21">
        <f t="shared" si="166"/>
        <v>0.51863209513571806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3.9017322706058616E-13</v>
      </c>
      <c r="BF180" s="13">
        <f t="shared" si="167"/>
        <v>5.0025007393608908E-12</v>
      </c>
      <c r="BG180" s="20">
        <f t="shared" si="168"/>
        <v>9.3922404915174053E-12</v>
      </c>
      <c r="BH180" s="59">
        <f t="shared" si="116"/>
        <v>293.33333333334269</v>
      </c>
      <c r="BI180" s="59">
        <f ca="1">AVERAGE(OFFSET($BH$3,0,0,'Données projet'!$E$11+1,1))-AVERAGE(OFFSET($H$3,0,0,'Données projet'!$E$11+1,1))</f>
        <v>209.93608079129638</v>
      </c>
      <c r="BJ180" s="59">
        <f t="shared" si="146"/>
        <v>240.15652428700969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0.3783260537559599</v>
      </c>
      <c r="BQ180" s="21">
        <f>EXP(-LN(2)/25)*BQ179+(1-EXP(-LN(2)/25))/(LN(2)/25)*Calculateur!BL180*Calculateur!BN180*VLOOKUP('Données projet'!$B$11,Paramètres!$A$1:$I$89,3,0)*0.475*44/12</f>
        <v>0.35298351312712539</v>
      </c>
      <c r="BR180" s="21">
        <f>EXP(-LN(2)/2)*BR179+(1-EXP(-LN(2)/2))/(LN(2)/2)*BL180*BO180*VLOOKUP('Données projet'!$B$11,Paramètres!$A$1:$I$89,3,0)*0.475*44/12</f>
        <v>1.5116427973298327E-21</v>
      </c>
      <c r="BS180" s="22">
        <f t="shared" si="169"/>
        <v>0.73130956688308535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215.23235148064941</v>
      </c>
      <c r="CE180" s="59">
        <f t="shared" si="148"/>
        <v>184.07239726900434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0.1705507361976645</v>
      </c>
      <c r="CL180" s="21">
        <f>EXP(-LN(2)/25)*CL179+(1-EXP(-LN(2)/25))/(LN(2)/25)*Calculateur!CG180*Calculateur!CI180*VLOOKUP('Données projet'!$B$12,Paramètres!$A$1:$I$89,3,0)*0.475*44/12</f>
        <v>0.13338760898148719</v>
      </c>
      <c r="CM180" s="21">
        <f>EXP(-LN(2)/2)*CM179+(1-EXP(-LN(2)/2))/(LN(2)/2)*CG180*CJ180*VLOOKUP('Données projet'!$B$12,Paramètres!$A$1:$I$89,3,0)*0.475*44/12</f>
        <v>7.3611384125522231E-22</v>
      </c>
      <c r="CN180" s="22">
        <f t="shared" si="172"/>
        <v>0.30393834517915169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-1.1527845344971866E-13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279.20364724206644</v>
      </c>
      <c r="CZ180" s="59">
        <f t="shared" si="150"/>
        <v>173.99850582760712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5.9104669730116403E-2</v>
      </c>
      <c r="DH180" s="21">
        <f>EXP(-LN(2)/2)*DH179+(1-EXP(-LN(2)/2))/(LN(2)/2)*DB180*DE180*VLOOKUP('Données projet'!$B$13,Paramètres!$A$1:$I$89,3,0)*0.475*44/12</f>
        <v>5.193086701233337E-22</v>
      </c>
      <c r="DI180" s="22">
        <f t="shared" si="175"/>
        <v>5.9104669730116403E-2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-1.1882548278663309E-13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291.18074901939718</v>
      </c>
      <c r="DU180" s="59">
        <f t="shared" si="152"/>
        <v>181.05123751753774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6.0923274952581534E-2</v>
      </c>
      <c r="EC180" s="21">
        <f>EXP(-LN(2)/2)*EC179+(1-EXP(-LN(2)/2))/(LN(2)/2)*DW180*DZ180*VLOOKUP('Données projet'!$B$14,Paramètres!$A$1:$I$89,3,0)*0.475*44/12</f>
        <v>5.3528739843482141E-22</v>
      </c>
      <c r="ED180" s="22">
        <f t="shared" si="178"/>
        <v>6.0923274952581534E-2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168.08890945052406</v>
      </c>
      <c r="EP180" s="59">
        <f t="shared" si="154"/>
        <v>182.52462557642343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0.33800563156156771</v>
      </c>
      <c r="EW180" s="21">
        <f>EXP(-LN(2)/25)*EW179+(1-EXP(-LN(2)/25))/(LN(2)/25)*Calculateur!ER180*Calculateur!ET180*VLOOKUP('Données projet'!$B$15,Paramètres!$A$1:$I$89,3,0)*0.475*44/12</f>
        <v>0.2093812442016284</v>
      </c>
      <c r="EX180" s="21">
        <f>EXP(-LN(2)/2)*EX179+(1-EXP(-LN(2)/2))/(LN(2)/2)*ER180*EU180*VLOOKUP('Données projet'!$B$15,Paramètres!$A$1:$I$89,3,0)*0.475*44/12</f>
        <v>4.0770723957279202E-22</v>
      </c>
      <c r="EY180" s="22">
        <f t="shared" si="181"/>
        <v>0.54738687576319611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3.813056537183002E-14</v>
      </c>
      <c r="FG180" s="13">
        <f t="shared" si="182"/>
        <v>6.4086286045526829E-13</v>
      </c>
      <c r="FH180" s="20">
        <f t="shared" si="183"/>
        <v>1.1825802166488628E-12</v>
      </c>
      <c r="FI180" s="59">
        <f t="shared" si="131"/>
        <v>293.33333333333451</v>
      </c>
      <c r="FJ180" s="59">
        <f ca="1">AVERAGE(OFFSET($FI$3,0,0,'Données projet'!$E$16+1,1))-AVERAGE(OFFSET($H$3,0,0,'Données projet'!$E$16+1,1))</f>
        <v>156.63226020379989</v>
      </c>
      <c r="FK180" s="59">
        <f t="shared" si="156"/>
        <v>196.0481096619543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0.14721794358251644</v>
      </c>
      <c r="FS180" s="21">
        <f>EXP(-LN(2)/2)*FS179+(1-EXP(-LN(2)/2))/(LN(2)/2)*FM180*FP180*VLOOKUP('Données projet'!$B$16,Paramètres!$A$1:$I$89,3,0)*0.475*44/12</f>
        <v>6.7931118395360853E-22</v>
      </c>
      <c r="FT180" s="22">
        <f t="shared" si="184"/>
        <v>0.14721794358251644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-4.5474735088646412E-13</v>
      </c>
      <c r="GA180" s="17">
        <f>FZ180*VLOOKUP('Données projet'!$B$17,Paramètres!$A$1:$I$89,3,0)*VLOOKUP('Données projet'!$B$17,Paramètres!$A$1:$I$89,5,0)</f>
        <v>-2.7193891583010558E-13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216.94426559495264</v>
      </c>
      <c r="GF180" s="59">
        <f t="shared" si="158"/>
        <v>225.33715877618704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0.2181834790559542</v>
      </c>
      <c r="GN180" s="21">
        <f>EXP(-LN(2)/2)*GN179+(1-EXP(-LN(2)/2))/(LN(2)/2)*GH180*GK180*VLOOKUP('Données projet'!$B$17,Paramètres!$A$1:$I$89,3,0)*0.475*44/12</f>
        <v>1.7765659803045531E-21</v>
      </c>
      <c r="GO180" s="21">
        <f t="shared" si="187"/>
        <v>0.2181834790559542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-1.1368683772161603E-13</v>
      </c>
      <c r="GV180" s="17">
        <f>GU180*VLOOKUP('Données projet'!$B$18,Paramètres!$A$1:$I$89,3,0)*VLOOKUP('Données projet'!$B$18,Paramètres!$A$1:$I$89,5,0)</f>
        <v>-1.0995790944434703E-13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261.22357949323879</v>
      </c>
      <c r="HA180" s="59">
        <f t="shared" si="160"/>
        <v>163.41029152029387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5.6376761896418701E-2</v>
      </c>
      <c r="HI180" s="21">
        <f>EXP(-LN(2)/2)*HI179+(1-EXP(-LN(2)/2))/(LN(2)/2)*HC180*HF180*VLOOKUP('Données projet'!$B$18,Paramètres!$A$1:$I$89,3,0)*0.475*44/12</f>
        <v>4.9534057765610289E-22</v>
      </c>
      <c r="HJ180" s="22">
        <f t="shared" si="190"/>
        <v>5.6376761896418701E-2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237.22177246688199</v>
      </c>
      <c r="T181" s="59">
        <f t="shared" si="142"/>
        <v>149.27472147904302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227.99999999999986</v>
      </c>
      <c r="AJ181" s="13">
        <f>AI181*VLOOKUP('Données projet'!$B$10,Paramètres!$A$1:$I$89,3,0)*VLOOKUP('Données projet'!$B$10,Paramètres!$A$1:$I$89,5,0)</f>
        <v>199.18079999999992</v>
      </c>
      <c r="AK181" s="13">
        <f t="shared" si="164"/>
        <v>49.564089376413683</v>
      </c>
      <c r="AL181" s="20">
        <f t="shared" si="165"/>
        <v>433.23068233058694</v>
      </c>
      <c r="AM181" s="59">
        <f t="shared" si="113"/>
        <v>726.56401566392026</v>
      </c>
      <c r="AN181" s="59">
        <f ca="1">AVERAGE(OFFSET($AM$3,0,0,'Données projet'!$E$10+1,1))-AVERAGE(OFFSET($H$3,0,0,'Données projet'!$E$10+1,1))</f>
        <v>210.07838338464626</v>
      </c>
      <c r="AO181" s="59">
        <f t="shared" si="144"/>
        <v>241.76003724236273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0.28272673674787885</v>
      </c>
      <c r="AV181" s="21">
        <f>EXP(-LN(2)/25)*AV180+(1-EXP(-LN(2)/25))/(LN(2)/25)*Calculateur!AQ181*Calculateur!AS181*VLOOKUP('Données projet'!$B$10,Paramètres!$A$1:$I$89,3,0)*0.475*44/12</f>
        <v>0.22395416018804631</v>
      </c>
      <c r="AW181" s="21">
        <f>EXP(-LN(2)/2)*AW180+(1-EXP(-LN(2)/2))/(LN(2)/2)*AQ181*AT181*VLOOKUP('Données projet'!$B$10,Paramètres!$A$1:$I$89,3,0)*0.475*44/12</f>
        <v>8.4552017133706503E-22</v>
      </c>
      <c r="AX181" s="21">
        <f t="shared" si="166"/>
        <v>0.50668089693592511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3.9017322706058616E-13</v>
      </c>
      <c r="BF181" s="13">
        <f t="shared" si="167"/>
        <v>5.0025007393608908E-12</v>
      </c>
      <c r="BG181" s="20">
        <f t="shared" si="168"/>
        <v>9.3922404915174053E-12</v>
      </c>
      <c r="BH181" s="59">
        <f t="shared" si="116"/>
        <v>293.33333333334269</v>
      </c>
      <c r="BI181" s="59">
        <f ca="1">AVERAGE(OFFSET($BH$3,0,0,'Données projet'!$E$11+1,1))-AVERAGE(OFFSET($H$3,0,0,'Données projet'!$E$11+1,1))</f>
        <v>209.93608079129638</v>
      </c>
      <c r="BJ181" s="59">
        <f t="shared" si="146"/>
        <v>240.15652428700969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0.37090731059791304</v>
      </c>
      <c r="BQ181" s="21">
        <f>EXP(-LN(2)/25)*BQ180+(1-EXP(-LN(2)/25))/(LN(2)/25)*Calculateur!BL181*Calculateur!BN181*VLOOKUP('Données projet'!$B$11,Paramètres!$A$1:$I$89,3,0)*0.475*44/12</f>
        <v>0.34333116039806794</v>
      </c>
      <c r="BR181" s="21">
        <f>EXP(-LN(2)/2)*BR180+(1-EXP(-LN(2)/2))/(LN(2)/2)*BL181*BO181*VLOOKUP('Données projet'!$B$11,Paramètres!$A$1:$I$89,3,0)*0.475*44/12</f>
        <v>1.0688928727237266E-21</v>
      </c>
      <c r="BS181" s="22">
        <f t="shared" si="169"/>
        <v>0.71423847099598103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215.23235148064941</v>
      </c>
      <c r="CE181" s="59">
        <f t="shared" si="148"/>
        <v>184.07239726900434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0.16720634028650569</v>
      </c>
      <c r="CL181" s="21">
        <f>EXP(-LN(2)/25)*CL180+(1-EXP(-LN(2)/25))/(LN(2)/25)*Calculateur!CG181*Calculateur!CI181*VLOOKUP('Données projet'!$B$12,Paramètres!$A$1:$I$89,3,0)*0.475*44/12</f>
        <v>0.12974011779933892</v>
      </c>
      <c r="CM181" s="21">
        <f>EXP(-LN(2)/2)*CM180+(1-EXP(-LN(2)/2))/(LN(2)/2)*CG181*CJ181*VLOOKUP('Données projet'!$B$12,Paramètres!$A$1:$I$89,3,0)*0.475*44/12</f>
        <v>5.2051108887684545E-22</v>
      </c>
      <c r="CN181" s="22">
        <f t="shared" si="172"/>
        <v>0.29694645808584463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-1.1527845344971866E-13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279.20364724206644</v>
      </c>
      <c r="CZ181" s="59">
        <f t="shared" si="150"/>
        <v>173.99850582760712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5.7488449428166874E-2</v>
      </c>
      <c r="DH181" s="21">
        <f>EXP(-LN(2)/2)*DH180+(1-EXP(-LN(2)/2))/(LN(2)/2)*DB181*DE181*VLOOKUP('Données projet'!$B$13,Paramètres!$A$1:$I$89,3,0)*0.475*44/12</f>
        <v>3.6720668217317711E-22</v>
      </c>
      <c r="DI181" s="22">
        <f t="shared" si="175"/>
        <v>5.7488449428166874E-2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-1.1882548278663309E-13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291.18074901939718</v>
      </c>
      <c r="DU181" s="59">
        <f t="shared" si="152"/>
        <v>181.05123751753774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5.9257324795187402E-2</v>
      </c>
      <c r="EC181" s="21">
        <f>EXP(-LN(2)/2)*EC180+(1-EXP(-LN(2)/2))/(LN(2)/2)*DW181*DZ181*VLOOKUP('Données projet'!$B$14,Paramètres!$A$1:$I$89,3,0)*0.475*44/12</f>
        <v>3.7850534931696755E-22</v>
      </c>
      <c r="ED181" s="22">
        <f t="shared" si="178"/>
        <v>5.9257324795187402E-2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168.08890945052406</v>
      </c>
      <c r="EP181" s="59">
        <f t="shared" si="154"/>
        <v>182.52462557642343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0.33137754728972368</v>
      </c>
      <c r="EW181" s="21">
        <f>EXP(-LN(2)/25)*EW180+(1-EXP(-LN(2)/25))/(LN(2)/25)*Calculateur!ER181*Calculateur!ET181*VLOOKUP('Données projet'!$B$15,Paramètres!$A$1:$I$89,3,0)*0.475*44/12</f>
        <v>0.20365570306805378</v>
      </c>
      <c r="EX181" s="21">
        <f>EXP(-LN(2)/2)*EX180+(1-EXP(-LN(2)/2))/(LN(2)/2)*ER181*EU181*VLOOKUP('Données projet'!$B$15,Paramètres!$A$1:$I$89,3,0)*0.475*44/12</f>
        <v>2.8829255384076955E-22</v>
      </c>
      <c r="EY181" s="22">
        <f t="shared" si="181"/>
        <v>0.53503325035777749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3.813056537183002E-14</v>
      </c>
      <c r="FG181" s="13">
        <f t="shared" si="182"/>
        <v>6.4086286045526829E-13</v>
      </c>
      <c r="FH181" s="20">
        <f t="shared" si="183"/>
        <v>1.1825802166488628E-12</v>
      </c>
      <c r="FI181" s="59">
        <f t="shared" si="131"/>
        <v>293.33333333333451</v>
      </c>
      <c r="FJ181" s="59">
        <f ca="1">AVERAGE(OFFSET($FI$3,0,0,'Données projet'!$E$16+1,1))-AVERAGE(OFFSET($H$3,0,0,'Données projet'!$E$16+1,1))</f>
        <v>156.63226020379989</v>
      </c>
      <c r="FK181" s="59">
        <f t="shared" si="156"/>
        <v>196.0481096619543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0.14319226117339734</v>
      </c>
      <c r="FS181" s="21">
        <f>EXP(-LN(2)/2)*FS180+(1-EXP(-LN(2)/2))/(LN(2)/2)*FM181*FP181*VLOOKUP('Données projet'!$B$16,Paramètres!$A$1:$I$89,3,0)*0.475*44/12</f>
        <v>4.803455447094588E-22</v>
      </c>
      <c r="FT181" s="22">
        <f t="shared" si="184"/>
        <v>0.14319226117339734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-4.5474735088646412E-13</v>
      </c>
      <c r="GA181" s="17">
        <f>FZ181*VLOOKUP('Données projet'!$B$17,Paramètres!$A$1:$I$89,3,0)*VLOOKUP('Données projet'!$B$17,Paramètres!$A$1:$I$89,5,0)</f>
        <v>-2.7193891583010558E-13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216.94426559495264</v>
      </c>
      <c r="GF181" s="59">
        <f t="shared" si="158"/>
        <v>225.33715877618704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0.21221724034739864</v>
      </c>
      <c r="GN181" s="21">
        <f>EXP(-LN(2)/2)*GN180+(1-EXP(-LN(2)/2))/(LN(2)/2)*GH181*GK181*VLOOKUP('Données projet'!$B$17,Paramètres!$A$1:$I$89,3,0)*0.475*44/12</f>
        <v>1.256221851898676E-21</v>
      </c>
      <c r="GO181" s="21">
        <f t="shared" si="187"/>
        <v>0.21221724034739864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-1.1368683772161603E-13</v>
      </c>
      <c r="GV181" s="17">
        <f>GU181*VLOOKUP('Données projet'!$B$18,Paramètres!$A$1:$I$89,3,0)*VLOOKUP('Données projet'!$B$18,Paramètres!$A$1:$I$89,5,0)</f>
        <v>-1.0995790944434703E-13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261.22357949323879</v>
      </c>
      <c r="HA181" s="59">
        <f t="shared" si="160"/>
        <v>163.41029152029387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5.4835136377636075E-2</v>
      </c>
      <c r="HI181" s="21">
        <f>EXP(-LN(2)/2)*HI180+(1-EXP(-LN(2)/2))/(LN(2)/2)*HC181*HF181*VLOOKUP('Données projet'!$B$18,Paramètres!$A$1:$I$89,3,0)*0.475*44/12</f>
        <v>3.5025868145749201E-22</v>
      </c>
      <c r="HJ181" s="22">
        <f t="shared" si="190"/>
        <v>5.4835136377636075E-2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237.22177246688199</v>
      </c>
      <c r="T182" s="59">
        <f t="shared" si="142"/>
        <v>149.27472147904302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227.99999999999986</v>
      </c>
      <c r="AJ182" s="13">
        <f>AI182*VLOOKUP('Données projet'!$B$10,Paramètres!$A$1:$I$89,3,0)*VLOOKUP('Données projet'!$B$10,Paramètres!$A$1:$I$89,5,0)</f>
        <v>199.18079999999992</v>
      </c>
      <c r="AK182" s="13">
        <f t="shared" si="164"/>
        <v>49.564089376413683</v>
      </c>
      <c r="AL182" s="20">
        <f t="shared" si="165"/>
        <v>433.23068233058694</v>
      </c>
      <c r="AM182" s="59">
        <f t="shared" si="113"/>
        <v>726.56401566392026</v>
      </c>
      <c r="AN182" s="59">
        <f ca="1">AVERAGE(OFFSET($AM$3,0,0,'Données projet'!$E$10+1,1))-AVERAGE(OFFSET($H$3,0,0,'Données projet'!$E$10+1,1))</f>
        <v>210.07838338464626</v>
      </c>
      <c r="AO182" s="59">
        <f t="shared" si="144"/>
        <v>241.76003724236273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0.27718263788653469</v>
      </c>
      <c r="AV182" s="21">
        <f>EXP(-LN(2)/25)*AV181+(1-EXP(-LN(2)/25))/(LN(2)/25)*Calculateur!AQ182*Calculateur!AS182*VLOOKUP('Données projet'!$B$10,Paramètres!$A$1:$I$89,3,0)*0.475*44/12</f>
        <v>0.21783012190046674</v>
      </c>
      <c r="AW182" s="21">
        <f>EXP(-LN(2)/2)*AW181+(1-EXP(-LN(2)/2))/(LN(2)/2)*AQ182*AT182*VLOOKUP('Données projet'!$B$10,Paramètres!$A$1:$I$89,3,0)*0.475*44/12</f>
        <v>5.9787304678245028E-22</v>
      </c>
      <c r="AX182" s="21">
        <f t="shared" si="166"/>
        <v>0.49501275978700143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3.9017322706058616E-13</v>
      </c>
      <c r="BF182" s="13">
        <f t="shared" si="167"/>
        <v>5.0025007393608908E-12</v>
      </c>
      <c r="BG182" s="20">
        <f t="shared" si="168"/>
        <v>9.3922404915174053E-12</v>
      </c>
      <c r="BH182" s="59">
        <f t="shared" si="116"/>
        <v>293.33333333334269</v>
      </c>
      <c r="BI182" s="59">
        <f ca="1">AVERAGE(OFFSET($BH$3,0,0,'Données projet'!$E$11+1,1))-AVERAGE(OFFSET($H$3,0,0,'Données projet'!$E$11+1,1))</f>
        <v>209.93608079129638</v>
      </c>
      <c r="BJ182" s="59">
        <f t="shared" si="146"/>
        <v>240.15652428700969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0.36363404446820896</v>
      </c>
      <c r="BQ182" s="21">
        <f>EXP(-LN(2)/25)*BQ181+(1-EXP(-LN(2)/25))/(LN(2)/25)*Calculateur!BL182*Calculateur!BN182*VLOOKUP('Données projet'!$B$11,Paramètres!$A$1:$I$89,3,0)*0.475*44/12</f>
        <v>0.33394275176198174</v>
      </c>
      <c r="BR182" s="21">
        <f>EXP(-LN(2)/2)*BR181+(1-EXP(-LN(2)/2))/(LN(2)/2)*BL182*BO182*VLOOKUP('Données projet'!$B$11,Paramètres!$A$1:$I$89,3,0)*0.475*44/12</f>
        <v>7.5582139866491633E-22</v>
      </c>
      <c r="BS182" s="22">
        <f t="shared" si="169"/>
        <v>0.69757679623019064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215.23235148064941</v>
      </c>
      <c r="CE182" s="59">
        <f t="shared" si="148"/>
        <v>184.07239726900434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0.16392752593928461</v>
      </c>
      <c r="CL182" s="21">
        <f>EXP(-LN(2)/25)*CL181+(1-EXP(-LN(2)/25))/(LN(2)/25)*Calculateur!CG182*Calculateur!CI182*VLOOKUP('Données projet'!$B$12,Paramètres!$A$1:$I$89,3,0)*0.475*44/12</f>
        <v>0.12619236745537973</v>
      </c>
      <c r="CM182" s="21">
        <f>EXP(-LN(2)/2)*CM181+(1-EXP(-LN(2)/2))/(LN(2)/2)*CG182*CJ182*VLOOKUP('Données projet'!$B$12,Paramètres!$A$1:$I$89,3,0)*0.475*44/12</f>
        <v>3.6805692062761116E-22</v>
      </c>
      <c r="CN182" s="22">
        <f t="shared" si="172"/>
        <v>0.29011989339466437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-1.1527845344971866E-13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279.20364724206644</v>
      </c>
      <c r="CZ182" s="59">
        <f t="shared" si="150"/>
        <v>173.99850582760712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5.591642475536749E-2</v>
      </c>
      <c r="DH182" s="21">
        <f>EXP(-LN(2)/2)*DH181+(1-EXP(-LN(2)/2))/(LN(2)/2)*DB182*DE182*VLOOKUP('Données projet'!$B$13,Paramètres!$A$1:$I$89,3,0)*0.475*44/12</f>
        <v>2.5965433506166685E-22</v>
      </c>
      <c r="DI182" s="22">
        <f t="shared" si="175"/>
        <v>5.591642475536749E-2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-1.1882548278663309E-13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291.18074901939718</v>
      </c>
      <c r="DU182" s="59">
        <f t="shared" si="152"/>
        <v>181.05123751753774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5.7636930132455723E-2</v>
      </c>
      <c r="EC182" s="21">
        <f>EXP(-LN(2)/2)*EC181+(1-EXP(-LN(2)/2))/(LN(2)/2)*DW182*DZ182*VLOOKUP('Données projet'!$B$14,Paramètres!$A$1:$I$89,3,0)*0.475*44/12</f>
        <v>2.676436992174107E-22</v>
      </c>
      <c r="ED182" s="22">
        <f t="shared" si="178"/>
        <v>5.7636930132455723E-2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168.08890945052406</v>
      </c>
      <c r="EP182" s="59">
        <f t="shared" si="154"/>
        <v>182.52462557642343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0.32487943570771832</v>
      </c>
      <c r="EW182" s="21">
        <f>EXP(-LN(2)/25)*EW181+(1-EXP(-LN(2)/25))/(LN(2)/25)*Calculateur!ER182*Calculateur!ET182*VLOOKUP('Données projet'!$B$15,Paramètres!$A$1:$I$89,3,0)*0.475*44/12</f>
        <v>0.19808672715786987</v>
      </c>
      <c r="EX182" s="21">
        <f>EXP(-LN(2)/2)*EX181+(1-EXP(-LN(2)/2))/(LN(2)/2)*ER182*EU182*VLOOKUP('Données projet'!$B$15,Paramètres!$A$1:$I$89,3,0)*0.475*44/12</f>
        <v>2.0385361978639601E-22</v>
      </c>
      <c r="EY182" s="22">
        <f t="shared" si="181"/>
        <v>0.52296616286558817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3.813056537183002E-14</v>
      </c>
      <c r="FG182" s="13">
        <f t="shared" si="182"/>
        <v>6.4086286045526829E-13</v>
      </c>
      <c r="FH182" s="20">
        <f t="shared" si="183"/>
        <v>1.1825802166488628E-12</v>
      </c>
      <c r="FI182" s="59">
        <f t="shared" si="131"/>
        <v>293.33333333333451</v>
      </c>
      <c r="FJ182" s="59">
        <f ca="1">AVERAGE(OFFSET($FI$3,0,0,'Données projet'!$E$16+1,1))-AVERAGE(OFFSET($H$3,0,0,'Données projet'!$E$16+1,1))</f>
        <v>156.63226020379989</v>
      </c>
      <c r="FK182" s="59">
        <f t="shared" si="156"/>
        <v>196.0481096619543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0.13927666126145705</v>
      </c>
      <c r="FS182" s="21">
        <f>EXP(-LN(2)/2)*FS181+(1-EXP(-LN(2)/2))/(LN(2)/2)*FM182*FP182*VLOOKUP('Données projet'!$B$16,Paramètres!$A$1:$I$89,3,0)*0.475*44/12</f>
        <v>3.3965559197680427E-22</v>
      </c>
      <c r="FT182" s="22">
        <f t="shared" si="184"/>
        <v>0.13927666126145705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-4.5474735088646412E-13</v>
      </c>
      <c r="GA182" s="17">
        <f>FZ182*VLOOKUP('Données projet'!$B$17,Paramètres!$A$1:$I$89,3,0)*VLOOKUP('Données projet'!$B$17,Paramètres!$A$1:$I$89,5,0)</f>
        <v>-2.7193891583010558E-13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216.94426559495264</v>
      </c>
      <c r="GF182" s="59">
        <f t="shared" si="158"/>
        <v>225.33715877618704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0.20641414875007938</v>
      </c>
      <c r="GN182" s="21">
        <f>EXP(-LN(2)/2)*GN181+(1-EXP(-LN(2)/2))/(LN(2)/2)*GH182*GK182*VLOOKUP('Données projet'!$B$17,Paramètres!$A$1:$I$89,3,0)*0.475*44/12</f>
        <v>8.8828299015227657E-22</v>
      </c>
      <c r="GO182" s="21">
        <f t="shared" si="187"/>
        <v>0.20641414875007938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-1.1368683772161603E-13</v>
      </c>
      <c r="GV182" s="17">
        <f>GU182*VLOOKUP('Données projet'!$B$18,Paramètres!$A$1:$I$89,3,0)*VLOOKUP('Données projet'!$B$18,Paramètres!$A$1:$I$89,5,0)</f>
        <v>-1.0995790944434703E-13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261.22357949323879</v>
      </c>
      <c r="HA182" s="59">
        <f t="shared" si="160"/>
        <v>163.41029152029387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5.333566668973512E-2</v>
      </c>
      <c r="HI182" s="21">
        <f>EXP(-LN(2)/2)*HI181+(1-EXP(-LN(2)/2))/(LN(2)/2)*HC182*HF182*VLOOKUP('Données projet'!$B$18,Paramètres!$A$1:$I$89,3,0)*0.475*44/12</f>
        <v>2.4767028882805144E-22</v>
      </c>
      <c r="HJ182" s="22">
        <f t="shared" si="190"/>
        <v>5.333566668973512E-2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237.22177246688199</v>
      </c>
      <c r="T183" s="59">
        <f t="shared" si="142"/>
        <v>149.27472147904302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227.99999999999986</v>
      </c>
      <c r="AJ183" s="13">
        <f>AI183*VLOOKUP('Données projet'!$B$10,Paramètres!$A$1:$I$89,3,0)*VLOOKUP('Données projet'!$B$10,Paramètres!$A$1:$I$89,5,0)</f>
        <v>199.18079999999992</v>
      </c>
      <c r="AK183" s="13">
        <f t="shared" si="164"/>
        <v>49.564089376413683</v>
      </c>
      <c r="AL183" s="20">
        <f t="shared" si="165"/>
        <v>433.23068233058694</v>
      </c>
      <c r="AM183" s="59">
        <f t="shared" si="113"/>
        <v>726.56401566392026</v>
      </c>
      <c r="AN183" s="59">
        <f ca="1">AVERAGE(OFFSET($AM$3,0,0,'Données projet'!$E$10+1,1))-AVERAGE(OFFSET($H$3,0,0,'Données projet'!$E$10+1,1))</f>
        <v>210.07838338464626</v>
      </c>
      <c r="AO183" s="59">
        <f t="shared" si="144"/>
        <v>241.76003724236273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0.27174725542229511</v>
      </c>
      <c r="AV183" s="21">
        <f>EXP(-LN(2)/25)*AV182+(1-EXP(-LN(2)/25))/(LN(2)/25)*Calculateur!AQ183*Calculateur!AS183*VLOOKUP('Données projet'!$B$10,Paramètres!$A$1:$I$89,3,0)*0.475*44/12</f>
        <v>0.21187354576191023</v>
      </c>
      <c r="AW183" s="21">
        <f>EXP(-LN(2)/2)*AW182+(1-EXP(-LN(2)/2))/(LN(2)/2)*AQ183*AT183*VLOOKUP('Données projet'!$B$10,Paramètres!$A$1:$I$89,3,0)*0.475*44/12</f>
        <v>4.2276008566853261E-22</v>
      </c>
      <c r="AX183" s="21">
        <f t="shared" si="166"/>
        <v>0.48362080118420536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3.9017322706058616E-13</v>
      </c>
      <c r="BF183" s="13">
        <f t="shared" si="167"/>
        <v>5.0025007393608908E-12</v>
      </c>
      <c r="BG183" s="20">
        <f t="shared" si="168"/>
        <v>9.3922404915174053E-12</v>
      </c>
      <c r="BH183" s="59">
        <f t="shared" si="116"/>
        <v>293.33333333334269</v>
      </c>
      <c r="BI183" s="59">
        <f ca="1">AVERAGE(OFFSET($BH$3,0,0,'Données projet'!$E$11+1,1))-AVERAGE(OFFSET($H$3,0,0,'Données projet'!$E$11+1,1))</f>
        <v>209.93608079129638</v>
      </c>
      <c r="BJ183" s="59">
        <f t="shared" si="146"/>
        <v>240.15652428700969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0.35650340265105407</v>
      </c>
      <c r="BQ183" s="21">
        <f>EXP(-LN(2)/25)*BQ182+(1-EXP(-LN(2)/25))/(LN(2)/25)*Calculateur!BL183*Calculateur!BN183*VLOOKUP('Données projet'!$B$11,Paramètres!$A$1:$I$89,3,0)*0.475*44/12</f>
        <v>0.32481106965376427</v>
      </c>
      <c r="BR183" s="21">
        <f>EXP(-LN(2)/2)*BR182+(1-EXP(-LN(2)/2))/(LN(2)/2)*BL183*BO183*VLOOKUP('Données projet'!$B$11,Paramètres!$A$1:$I$89,3,0)*0.475*44/12</f>
        <v>5.3444643636186329E-22</v>
      </c>
      <c r="BS183" s="22">
        <f t="shared" si="169"/>
        <v>0.68131447230481834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215.23235148064941</v>
      </c>
      <c r="CE183" s="59">
        <f t="shared" si="148"/>
        <v>184.07239726900434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0.16071300714153328</v>
      </c>
      <c r="CL183" s="21">
        <f>EXP(-LN(2)/25)*CL182+(1-EXP(-LN(2)/25))/(LN(2)/25)*Calculateur!CG183*Calculateur!CI183*VLOOKUP('Données projet'!$B$12,Paramètres!$A$1:$I$89,3,0)*0.475*44/12</f>
        <v>0.12274163053114419</v>
      </c>
      <c r="CM183" s="21">
        <f>EXP(-LN(2)/2)*CM182+(1-EXP(-LN(2)/2))/(LN(2)/2)*CG183*CJ183*VLOOKUP('Données projet'!$B$12,Paramètres!$A$1:$I$89,3,0)*0.475*44/12</f>
        <v>2.6025554443842273E-22</v>
      </c>
      <c r="CN183" s="22">
        <f t="shared" si="172"/>
        <v>0.28345463767267748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-1.1527845344971866E-13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279.20364724206644</v>
      </c>
      <c r="CZ183" s="59">
        <f t="shared" si="150"/>
        <v>173.99850582760712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5.4387387179914988E-2</v>
      </c>
      <c r="DH183" s="21">
        <f>EXP(-LN(2)/2)*DH182+(1-EXP(-LN(2)/2))/(LN(2)/2)*DB183*DE183*VLOOKUP('Données projet'!$B$13,Paramètres!$A$1:$I$89,3,0)*0.475*44/12</f>
        <v>1.8360334108658856E-22</v>
      </c>
      <c r="DI183" s="22">
        <f t="shared" si="175"/>
        <v>5.4387387179914988E-2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-1.1882548278663309E-13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291.18074901939718</v>
      </c>
      <c r="DU183" s="59">
        <f t="shared" si="152"/>
        <v>181.05123751753774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5.6060845246989295E-2</v>
      </c>
      <c r="EC183" s="21">
        <f>EXP(-LN(2)/2)*EC182+(1-EXP(-LN(2)/2))/(LN(2)/2)*DW183*DZ183*VLOOKUP('Données projet'!$B$14,Paramètres!$A$1:$I$89,3,0)*0.475*44/12</f>
        <v>1.8925267465848377E-22</v>
      </c>
      <c r="ED183" s="22">
        <f t="shared" si="178"/>
        <v>5.6060845246989295E-2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168.08890945052406</v>
      </c>
      <c r="EP183" s="59">
        <f t="shared" si="154"/>
        <v>182.52462557642343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0.31850874813037938</v>
      </c>
      <c r="EW183" s="21">
        <f>EXP(-LN(2)/25)*EW182+(1-EXP(-LN(2)/25))/(LN(2)/25)*Calculateur!ER183*Calculateur!ET183*VLOOKUP('Données projet'!$B$15,Paramètres!$A$1:$I$89,3,0)*0.475*44/12</f>
        <v>0.19267003518680967</v>
      </c>
      <c r="EX183" s="21">
        <f>EXP(-LN(2)/2)*EX182+(1-EXP(-LN(2)/2))/(LN(2)/2)*ER183*EU183*VLOOKUP('Données projet'!$B$15,Paramètres!$A$1:$I$89,3,0)*0.475*44/12</f>
        <v>1.4414627692038478E-22</v>
      </c>
      <c r="EY183" s="22">
        <f t="shared" si="181"/>
        <v>0.51117878331718902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3.813056537183002E-14</v>
      </c>
      <c r="FG183" s="13">
        <f t="shared" si="182"/>
        <v>6.4086286045526829E-13</v>
      </c>
      <c r="FH183" s="20">
        <f t="shared" si="183"/>
        <v>1.1825802166488628E-12</v>
      </c>
      <c r="FI183" s="59">
        <f t="shared" si="131"/>
        <v>293.33333333333451</v>
      </c>
      <c r="FJ183" s="59">
        <f ca="1">AVERAGE(OFFSET($FI$3,0,0,'Données projet'!$E$16+1,1))-AVERAGE(OFFSET($H$3,0,0,'Données projet'!$E$16+1,1))</f>
        <v>156.63226020379989</v>
      </c>
      <c r="FK183" s="59">
        <f t="shared" si="156"/>
        <v>196.0481096619543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0.13546813363502122</v>
      </c>
      <c r="FS183" s="21">
        <f>EXP(-LN(2)/2)*FS182+(1-EXP(-LN(2)/2))/(LN(2)/2)*FM183*FP183*VLOOKUP('Données projet'!$B$16,Paramètres!$A$1:$I$89,3,0)*0.475*44/12</f>
        <v>2.401727723547294E-22</v>
      </c>
      <c r="FT183" s="22">
        <f t="shared" si="184"/>
        <v>0.13546813363502122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-4.5474735088646412E-13</v>
      </c>
      <c r="GA183" s="17">
        <f>FZ183*VLOOKUP('Données projet'!$B$17,Paramètres!$A$1:$I$89,3,0)*VLOOKUP('Données projet'!$B$17,Paramètres!$A$1:$I$89,5,0)</f>
        <v>-2.7193891583010558E-13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216.94426559495264</v>
      </c>
      <c r="GF183" s="59">
        <f t="shared" si="158"/>
        <v>225.33715877618704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0.20076974299766015</v>
      </c>
      <c r="GN183" s="21">
        <f>EXP(-LN(2)/2)*GN182+(1-EXP(-LN(2)/2))/(LN(2)/2)*GH183*GK183*VLOOKUP('Données projet'!$B$17,Paramètres!$A$1:$I$89,3,0)*0.475*44/12</f>
        <v>6.2811092594933799E-22</v>
      </c>
      <c r="GO183" s="21">
        <f t="shared" si="187"/>
        <v>0.20076974299766015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-1.1368683772161603E-13</v>
      </c>
      <c r="GV183" s="17">
        <f>GU183*VLOOKUP('Données projet'!$B$18,Paramètres!$A$1:$I$89,3,0)*VLOOKUP('Données projet'!$B$18,Paramètres!$A$1:$I$89,5,0)</f>
        <v>-1.0995790944434703E-13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261.22357949323879</v>
      </c>
      <c r="HA183" s="59">
        <f t="shared" si="160"/>
        <v>163.41029152029387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5.18772000793035E-2</v>
      </c>
      <c r="HI183" s="21">
        <f>EXP(-LN(2)/2)*HI182+(1-EXP(-LN(2)/2))/(LN(2)/2)*HC183*HF183*VLOOKUP('Données projet'!$B$18,Paramètres!$A$1:$I$89,3,0)*0.475*44/12</f>
        <v>1.75129340728746E-22</v>
      </c>
      <c r="HJ183" s="22">
        <f t="shared" si="190"/>
        <v>5.18772000793035E-2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237.22177246688199</v>
      </c>
      <c r="T184" s="59">
        <f t="shared" si="142"/>
        <v>149.27472147904302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227.99999999999986</v>
      </c>
      <c r="AJ184" s="13">
        <f>AI184*VLOOKUP('Données projet'!$B$10,Paramètres!$A$1:$I$89,3,0)*VLOOKUP('Données projet'!$B$10,Paramètres!$A$1:$I$89,5,0)</f>
        <v>199.18079999999992</v>
      </c>
      <c r="AK184" s="13">
        <f t="shared" si="164"/>
        <v>49.564089376413683</v>
      </c>
      <c r="AL184" s="20">
        <f t="shared" si="165"/>
        <v>433.23068233058694</v>
      </c>
      <c r="AM184" s="59">
        <f t="shared" si="113"/>
        <v>726.56401566392026</v>
      </c>
      <c r="AN184" s="59">
        <f ca="1">AVERAGE(OFFSET($AM$3,0,0,'Données projet'!$E$10+1,1))-AVERAGE(OFFSET($H$3,0,0,'Données projet'!$E$10+1,1))</f>
        <v>210.07838338464626</v>
      </c>
      <c r="AO184" s="59">
        <f t="shared" si="144"/>
        <v>241.76003724236273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0.26641845749292331</v>
      </c>
      <c r="AV184" s="21">
        <f>EXP(-LN(2)/25)*AV183+(1-EXP(-LN(2)/25))/(LN(2)/25)*Calculateur!AQ184*Calculateur!AS184*VLOOKUP('Données projet'!$B$10,Paramètres!$A$1:$I$89,3,0)*0.475*44/12</f>
        <v>0.20607985251110525</v>
      </c>
      <c r="AW184" s="21">
        <f>EXP(-LN(2)/2)*AW183+(1-EXP(-LN(2)/2))/(LN(2)/2)*AQ184*AT184*VLOOKUP('Données projet'!$B$10,Paramètres!$A$1:$I$89,3,0)*0.475*44/12</f>
        <v>2.9893652339122518E-22</v>
      </c>
      <c r="AX184" s="21">
        <f t="shared" si="166"/>
        <v>0.47249831000402853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3.9017322706058616E-13</v>
      </c>
      <c r="BF184" s="13">
        <f t="shared" si="167"/>
        <v>5.0025007393608908E-12</v>
      </c>
      <c r="BG184" s="20">
        <f t="shared" si="168"/>
        <v>9.3922404915174053E-12</v>
      </c>
      <c r="BH184" s="59">
        <f t="shared" si="116"/>
        <v>293.33333333334269</v>
      </c>
      <c r="BI184" s="59">
        <f ca="1">AVERAGE(OFFSET($BH$3,0,0,'Données projet'!$E$11+1,1))-AVERAGE(OFFSET($H$3,0,0,'Données projet'!$E$11+1,1))</f>
        <v>209.93608079129638</v>
      </c>
      <c r="BJ184" s="59">
        <f t="shared" si="146"/>
        <v>240.15652428700969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0.34951258837067156</v>
      </c>
      <c r="BQ184" s="21">
        <f>EXP(-LN(2)/25)*BQ183+(1-EXP(-LN(2)/25))/(LN(2)/25)*Calculateur!BL184*Calculateur!BN184*VLOOKUP('Données projet'!$B$11,Paramètres!$A$1:$I$89,3,0)*0.475*44/12</f>
        <v>0.31592909387301032</v>
      </c>
      <c r="BR184" s="21">
        <f>EXP(-LN(2)/2)*BR183+(1-EXP(-LN(2)/2))/(LN(2)/2)*BL184*BO184*VLOOKUP('Données projet'!$B$11,Paramètres!$A$1:$I$89,3,0)*0.475*44/12</f>
        <v>3.7791069933245817E-22</v>
      </c>
      <c r="BS184" s="22">
        <f t="shared" si="169"/>
        <v>0.66544168224368194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215.23235148064941</v>
      </c>
      <c r="CE184" s="59">
        <f t="shared" si="148"/>
        <v>184.07239726900434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0.15756152309674298</v>
      </c>
      <c r="CL184" s="21">
        <f>EXP(-LN(2)/25)*CL183+(1-EXP(-LN(2)/25))/(LN(2)/25)*Calculateur!CG184*Calculateur!CI184*VLOOKUP('Données projet'!$B$12,Paramètres!$A$1:$I$89,3,0)*0.475*44/12</f>
        <v>0.11938525418956823</v>
      </c>
      <c r="CM184" s="21">
        <f>EXP(-LN(2)/2)*CM183+(1-EXP(-LN(2)/2))/(LN(2)/2)*CG184*CJ184*VLOOKUP('Données projet'!$B$12,Paramètres!$A$1:$I$89,3,0)*0.475*44/12</f>
        <v>1.8402846031380558E-22</v>
      </c>
      <c r="CN184" s="22">
        <f t="shared" si="172"/>
        <v>0.27694677728631123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-1.1527845344971866E-13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279.20364724206644</v>
      </c>
      <c r="CZ184" s="59">
        <f t="shared" si="150"/>
        <v>173.99850582760712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5.2900161217371823E-2</v>
      </c>
      <c r="DH184" s="21">
        <f>EXP(-LN(2)/2)*DH183+(1-EXP(-LN(2)/2))/(LN(2)/2)*DB184*DE184*VLOOKUP('Données projet'!$B$13,Paramètres!$A$1:$I$89,3,0)*0.475*44/12</f>
        <v>1.2982716753083343E-22</v>
      </c>
      <c r="DI184" s="22">
        <f t="shared" si="175"/>
        <v>5.2900161217371823E-2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-1.1882548278663309E-13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291.18074901939718</v>
      </c>
      <c r="DU184" s="59">
        <f t="shared" si="152"/>
        <v>181.05123751753774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5.452785848559865E-2</v>
      </c>
      <c r="EC184" s="21">
        <f>EXP(-LN(2)/2)*EC183+(1-EXP(-LN(2)/2))/(LN(2)/2)*DW184*DZ184*VLOOKUP('Données projet'!$B$14,Paramètres!$A$1:$I$89,3,0)*0.475*44/12</f>
        <v>1.3382184960870535E-22</v>
      </c>
      <c r="ED184" s="22">
        <f t="shared" si="178"/>
        <v>5.452785848559865E-2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168.08890945052406</v>
      </c>
      <c r="EP184" s="59">
        <f t="shared" si="154"/>
        <v>182.52462557642343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0.31226298585069634</v>
      </c>
      <c r="EW184" s="21">
        <f>EXP(-LN(2)/25)*EW183+(1-EXP(-LN(2)/25))/(LN(2)/25)*Calculateur!ER184*Calculateur!ET184*VLOOKUP('Données projet'!$B$15,Paramètres!$A$1:$I$89,3,0)*0.475*44/12</f>
        <v>0.18740146294254956</v>
      </c>
      <c r="EX184" s="21">
        <f>EXP(-LN(2)/2)*EX183+(1-EXP(-LN(2)/2))/(LN(2)/2)*ER184*EU184*VLOOKUP('Données projet'!$B$15,Paramètres!$A$1:$I$89,3,0)*0.475*44/12</f>
        <v>1.01926809893198E-22</v>
      </c>
      <c r="EY184" s="22">
        <f t="shared" si="181"/>
        <v>0.4996644487932459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3.813056537183002E-14</v>
      </c>
      <c r="FG184" s="13">
        <f t="shared" si="182"/>
        <v>6.4086286045526829E-13</v>
      </c>
      <c r="FH184" s="20">
        <f t="shared" si="183"/>
        <v>1.1825802166488628E-12</v>
      </c>
      <c r="FI184" s="59">
        <f t="shared" si="131"/>
        <v>293.33333333333451</v>
      </c>
      <c r="FJ184" s="59">
        <f ca="1">AVERAGE(OFFSET($FI$3,0,0,'Données projet'!$E$16+1,1))-AVERAGE(OFFSET($H$3,0,0,'Données projet'!$E$16+1,1))</f>
        <v>156.63226020379989</v>
      </c>
      <c r="FK184" s="59">
        <f t="shared" si="156"/>
        <v>196.0481096619543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0.13176375039681204</v>
      </c>
      <c r="FS184" s="21">
        <f>EXP(-LN(2)/2)*FS183+(1-EXP(-LN(2)/2))/(LN(2)/2)*FM184*FP184*VLOOKUP('Données projet'!$B$16,Paramètres!$A$1:$I$89,3,0)*0.475*44/12</f>
        <v>1.6982779598840213E-22</v>
      </c>
      <c r="FT184" s="22">
        <f t="shared" si="184"/>
        <v>0.13176375039681204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-4.5474735088646412E-13</v>
      </c>
      <c r="GA184" s="17">
        <f>FZ184*VLOOKUP('Données projet'!$B$17,Paramètres!$A$1:$I$89,3,0)*VLOOKUP('Données projet'!$B$17,Paramètres!$A$1:$I$89,5,0)</f>
        <v>-2.7193891583010558E-13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216.94426559495264</v>
      </c>
      <c r="GF184" s="59">
        <f t="shared" si="158"/>
        <v>225.33715877618704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0.19527968381736721</v>
      </c>
      <c r="GN184" s="21">
        <f>EXP(-LN(2)/2)*GN183+(1-EXP(-LN(2)/2))/(LN(2)/2)*GH184*GK184*VLOOKUP('Données projet'!$B$17,Paramètres!$A$1:$I$89,3,0)*0.475*44/12</f>
        <v>4.4414149507613829E-22</v>
      </c>
      <c r="GO184" s="21">
        <f t="shared" si="187"/>
        <v>0.19527968381736721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-1.1368683772161603E-13</v>
      </c>
      <c r="GV184" s="17">
        <f>GU184*VLOOKUP('Données projet'!$B$18,Paramètres!$A$1:$I$89,3,0)*VLOOKUP('Données projet'!$B$18,Paramètres!$A$1:$I$89,5,0)</f>
        <v>-1.0995790944434703E-13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261.22357949323879</v>
      </c>
      <c r="HA184" s="59">
        <f t="shared" si="160"/>
        <v>163.41029152029387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5.0458615315031562E-2</v>
      </c>
      <c r="HI184" s="21">
        <f>EXP(-LN(2)/2)*HI183+(1-EXP(-LN(2)/2))/(LN(2)/2)*HC184*HF184*VLOOKUP('Données projet'!$B$18,Paramètres!$A$1:$I$89,3,0)*0.475*44/12</f>
        <v>1.2383514441402572E-22</v>
      </c>
      <c r="HJ184" s="22">
        <f t="shared" si="190"/>
        <v>5.0458615315031562E-2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237.22177246688199</v>
      </c>
      <c r="T185" s="59">
        <f t="shared" si="142"/>
        <v>149.27472147904302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227.99999999999986</v>
      </c>
      <c r="AJ185" s="13">
        <f>AI185*VLOOKUP('Données projet'!$B$10,Paramètres!$A$1:$I$89,3,0)*VLOOKUP('Données projet'!$B$10,Paramètres!$A$1:$I$89,5,0)</f>
        <v>199.18079999999992</v>
      </c>
      <c r="AK185" s="13">
        <f t="shared" si="164"/>
        <v>49.564089376413683</v>
      </c>
      <c r="AL185" s="20">
        <f t="shared" si="165"/>
        <v>433.23068233058694</v>
      </c>
      <c r="AM185" s="59">
        <f t="shared" si="113"/>
        <v>726.56401566392026</v>
      </c>
      <c r="AN185" s="59">
        <f ca="1">AVERAGE(OFFSET($AM$3,0,0,'Données projet'!$E$10+1,1))-AVERAGE(OFFSET($H$3,0,0,'Données projet'!$E$10+1,1))</f>
        <v>210.07838338464626</v>
      </c>
      <c r="AO185" s="59">
        <f t="shared" si="144"/>
        <v>241.76003724236273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0.26119415404070068</v>
      </c>
      <c r="AV185" s="21">
        <f>EXP(-LN(2)/25)*AV184+(1-EXP(-LN(2)/25))/(LN(2)/25)*Calculateur!AQ185*Calculateur!AS185*VLOOKUP('Données projet'!$B$10,Paramètres!$A$1:$I$89,3,0)*0.475*44/12</f>
        <v>0.20044458810692065</v>
      </c>
      <c r="AW185" s="21">
        <f>EXP(-LN(2)/2)*AW184+(1-EXP(-LN(2)/2))/(LN(2)/2)*AQ185*AT185*VLOOKUP('Données projet'!$B$10,Paramètres!$A$1:$I$89,3,0)*0.475*44/12</f>
        <v>2.1138004283426633E-22</v>
      </c>
      <c r="AX185" s="21">
        <f t="shared" si="166"/>
        <v>0.46163874214762135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3.9017322706058616E-13</v>
      </c>
      <c r="BF185" s="13">
        <f t="shared" si="167"/>
        <v>5.0025007393608908E-12</v>
      </c>
      <c r="BG185" s="20">
        <f t="shared" si="168"/>
        <v>9.3922404915174053E-12</v>
      </c>
      <c r="BH185" s="59">
        <f t="shared" si="116"/>
        <v>293.33333333334269</v>
      </c>
      <c r="BI185" s="59">
        <f ca="1">AVERAGE(OFFSET($BH$3,0,0,'Données projet'!$E$11+1,1))-AVERAGE(OFFSET($H$3,0,0,'Données projet'!$E$11+1,1))</f>
        <v>209.93608079129638</v>
      </c>
      <c r="BJ185" s="59">
        <f t="shared" si="146"/>
        <v>240.15652428700969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0.34265885969435167</v>
      </c>
      <c r="BQ185" s="21">
        <f>EXP(-LN(2)/25)*BQ184+(1-EXP(-LN(2)/25))/(LN(2)/25)*Calculateur!BL185*Calculateur!BN185*VLOOKUP('Données projet'!$B$11,Paramètres!$A$1:$I$89,3,0)*0.475*44/12</f>
        <v>0.30728999618706387</v>
      </c>
      <c r="BR185" s="21">
        <f>EXP(-LN(2)/2)*BR184+(1-EXP(-LN(2)/2))/(LN(2)/2)*BL185*BO185*VLOOKUP('Données projet'!$B$11,Paramètres!$A$1:$I$89,3,0)*0.475*44/12</f>
        <v>2.6722321818093164E-22</v>
      </c>
      <c r="BS185" s="22">
        <f t="shared" si="169"/>
        <v>0.64994885588141549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215.23235148064941</v>
      </c>
      <c r="CE185" s="59">
        <f t="shared" si="148"/>
        <v>184.07239726900434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0.15447183773185555</v>
      </c>
      <c r="CL185" s="21">
        <f>EXP(-LN(2)/25)*CL184+(1-EXP(-LN(2)/25))/(LN(2)/25)*Calculateur!CG185*Calculateur!CI185*VLOOKUP('Données projet'!$B$12,Paramètres!$A$1:$I$89,3,0)*0.475*44/12</f>
        <v>0.11612065813555683</v>
      </c>
      <c r="CM185" s="21">
        <f>EXP(-LN(2)/2)*CM184+(1-EXP(-LN(2)/2))/(LN(2)/2)*CG185*CJ185*VLOOKUP('Données projet'!$B$12,Paramètres!$A$1:$I$89,3,0)*0.475*44/12</f>
        <v>1.3012777221921136E-22</v>
      </c>
      <c r="CN185" s="22">
        <f t="shared" si="172"/>
        <v>0.27059249586741241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-1.1527845344971866E-13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279.20364724206644</v>
      </c>
      <c r="CZ185" s="59">
        <f t="shared" si="150"/>
        <v>173.99850582760712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5.1453603526984214E-2</v>
      </c>
      <c r="DH185" s="21">
        <f>EXP(-LN(2)/2)*DH184+(1-EXP(-LN(2)/2))/(LN(2)/2)*DB185*DE185*VLOOKUP('Données projet'!$B$13,Paramètres!$A$1:$I$89,3,0)*0.475*44/12</f>
        <v>9.1801670543294279E-23</v>
      </c>
      <c r="DI185" s="22">
        <f t="shared" si="175"/>
        <v>5.1453603526984214E-2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-1.1882548278663309E-13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291.18074901939718</v>
      </c>
      <c r="DU185" s="59">
        <f t="shared" si="152"/>
        <v>181.05123751753774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5.3036791327814505E-2</v>
      </c>
      <c r="EC185" s="21">
        <f>EXP(-LN(2)/2)*EC184+(1-EXP(-LN(2)/2))/(LN(2)/2)*DW185*DZ185*VLOOKUP('Données projet'!$B$14,Paramètres!$A$1:$I$89,3,0)*0.475*44/12</f>
        <v>9.4626337329241887E-23</v>
      </c>
      <c r="ED185" s="22">
        <f t="shared" si="178"/>
        <v>5.3036791327814505E-2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168.08890945052406</v>
      </c>
      <c r="EP185" s="59">
        <f t="shared" si="154"/>
        <v>182.52462557642343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0.30613969915977901</v>
      </c>
      <c r="EW185" s="21">
        <f>EXP(-LN(2)/25)*EW184+(1-EXP(-LN(2)/25))/(LN(2)/25)*Calculateur!ER185*Calculateur!ET185*VLOOKUP('Données projet'!$B$15,Paramètres!$A$1:$I$89,3,0)*0.475*44/12</f>
        <v>0.18227696008337091</v>
      </c>
      <c r="EX185" s="21">
        <f>EXP(-LN(2)/2)*EX184+(1-EXP(-LN(2)/2))/(LN(2)/2)*ER185*EU185*VLOOKUP('Données projet'!$B$15,Paramètres!$A$1:$I$89,3,0)*0.475*44/12</f>
        <v>7.2073138460192388E-23</v>
      </c>
      <c r="EY185" s="22">
        <f t="shared" si="181"/>
        <v>0.48841665924314992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3.813056537183002E-14</v>
      </c>
      <c r="FG185" s="13">
        <f t="shared" si="182"/>
        <v>6.4086286045526829E-13</v>
      </c>
      <c r="FH185" s="20">
        <f t="shared" si="183"/>
        <v>1.1825802166488628E-12</v>
      </c>
      <c r="FI185" s="59">
        <f t="shared" si="131"/>
        <v>293.33333333333451</v>
      </c>
      <c r="FJ185" s="59">
        <f ca="1">AVERAGE(OFFSET($FI$3,0,0,'Données projet'!$E$16+1,1))-AVERAGE(OFFSET($H$3,0,0,'Données projet'!$E$16+1,1))</f>
        <v>156.63226020379989</v>
      </c>
      <c r="FK185" s="59">
        <f t="shared" si="156"/>
        <v>196.0481096619543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0.12816066371305673</v>
      </c>
      <c r="FS185" s="21">
        <f>EXP(-LN(2)/2)*FS184+(1-EXP(-LN(2)/2))/(LN(2)/2)*FM185*FP185*VLOOKUP('Données projet'!$B$16,Paramètres!$A$1:$I$89,3,0)*0.475*44/12</f>
        <v>1.200863861773647E-22</v>
      </c>
      <c r="FT185" s="22">
        <f t="shared" si="184"/>
        <v>0.12816066371305673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-4.5474735088646412E-13</v>
      </c>
      <c r="GA185" s="17">
        <f>FZ185*VLOOKUP('Données projet'!$B$17,Paramètres!$A$1:$I$89,3,0)*VLOOKUP('Données projet'!$B$17,Paramètres!$A$1:$I$89,5,0)</f>
        <v>-2.7193891583010558E-13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216.94426559495264</v>
      </c>
      <c r="GF185" s="59">
        <f t="shared" si="158"/>
        <v>225.33715877618704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0.18993975059406906</v>
      </c>
      <c r="GN185" s="21">
        <f>EXP(-LN(2)/2)*GN184+(1-EXP(-LN(2)/2))/(LN(2)/2)*GH185*GK185*VLOOKUP('Données projet'!$B$17,Paramètres!$A$1:$I$89,3,0)*0.475*44/12</f>
        <v>3.14055462974669E-22</v>
      </c>
      <c r="GO185" s="21">
        <f t="shared" si="187"/>
        <v>0.18993975059406906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-1.1368683772161603E-13</v>
      </c>
      <c r="GV185" s="17">
        <f>GU185*VLOOKUP('Données projet'!$B$18,Paramètres!$A$1:$I$89,3,0)*VLOOKUP('Données projet'!$B$18,Paramètres!$A$1:$I$89,5,0)</f>
        <v>-1.0995790944434703E-13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261.22357949323879</v>
      </c>
      <c r="HA185" s="59">
        <f t="shared" si="160"/>
        <v>163.41029152029387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4.9078821825738771E-2</v>
      </c>
      <c r="HI185" s="21">
        <f>EXP(-LN(2)/2)*HI184+(1-EXP(-LN(2)/2))/(LN(2)/2)*HC185*HF185*VLOOKUP('Données projet'!$B$18,Paramètres!$A$1:$I$89,3,0)*0.475*44/12</f>
        <v>8.7564670364373001E-23</v>
      </c>
      <c r="HJ185" s="22">
        <f t="shared" si="190"/>
        <v>4.9078821825738771E-2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237.22177246688199</v>
      </c>
      <c r="T186" s="59">
        <f t="shared" si="142"/>
        <v>149.27472147904302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227.99999999999986</v>
      </c>
      <c r="AJ186" s="13">
        <f>AI186*VLOOKUP('Données projet'!$B$10,Paramètres!$A$1:$I$89,3,0)*VLOOKUP('Données projet'!$B$10,Paramètres!$A$1:$I$89,5,0)</f>
        <v>199.18079999999992</v>
      </c>
      <c r="AK186" s="13">
        <f t="shared" si="164"/>
        <v>49.564089376413683</v>
      </c>
      <c r="AL186" s="20">
        <f t="shared" si="165"/>
        <v>433.23068233058694</v>
      </c>
      <c r="AM186" s="59">
        <f t="shared" si="113"/>
        <v>726.56401566392026</v>
      </c>
      <c r="AN186" s="59">
        <f ca="1">AVERAGE(OFFSET($AM$3,0,0,'Données projet'!$E$10+1,1))-AVERAGE(OFFSET($H$3,0,0,'Données projet'!$E$10+1,1))</f>
        <v>210.07838338464626</v>
      </c>
      <c r="AO186" s="59">
        <f t="shared" si="144"/>
        <v>241.76003724236273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0.25607229599266568</v>
      </c>
      <c r="AV186" s="21">
        <f>EXP(-LN(2)/25)*AV185+(1-EXP(-LN(2)/25))/(LN(2)/25)*Calculateur!AQ186*Calculateur!AS186*VLOOKUP('Données projet'!$B$10,Paramètres!$A$1:$I$89,3,0)*0.475*44/12</f>
        <v>0.19496342030421412</v>
      </c>
      <c r="AW186" s="21">
        <f>EXP(-LN(2)/2)*AW185+(1-EXP(-LN(2)/2))/(LN(2)/2)*AQ186*AT186*VLOOKUP('Données projet'!$B$10,Paramètres!$A$1:$I$89,3,0)*0.475*44/12</f>
        <v>1.4946826169561262E-22</v>
      </c>
      <c r="AX186" s="21">
        <f t="shared" si="166"/>
        <v>0.45103571629687977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3.9017322706058616E-13</v>
      </c>
      <c r="BF186" s="13">
        <f t="shared" si="167"/>
        <v>5.0025007393608908E-12</v>
      </c>
      <c r="BG186" s="20">
        <f t="shared" si="168"/>
        <v>9.3922404915174053E-12</v>
      </c>
      <c r="BH186" s="59">
        <f t="shared" si="116"/>
        <v>293.33333333334269</v>
      </c>
      <c r="BI186" s="59">
        <f ca="1">AVERAGE(OFFSET($BH$3,0,0,'Données projet'!$E$11+1,1))-AVERAGE(OFFSET($H$3,0,0,'Données projet'!$E$11+1,1))</f>
        <v>209.93608079129638</v>
      </c>
      <c r="BJ186" s="59">
        <f t="shared" si="146"/>
        <v>240.15652428700969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0.33593952845701269</v>
      </c>
      <c r="BQ186" s="21">
        <f>EXP(-LN(2)/25)*BQ185+(1-EXP(-LN(2)/25))/(LN(2)/25)*Calculateur!BL186*Calculateur!BN186*VLOOKUP('Données projet'!$B$11,Paramètres!$A$1:$I$89,3,0)*0.475*44/12</f>
        <v>0.29888713508165005</v>
      </c>
      <c r="BR186" s="21">
        <f>EXP(-LN(2)/2)*BR185+(1-EXP(-LN(2)/2))/(LN(2)/2)*BL186*BO186*VLOOKUP('Données projet'!$B$11,Paramètres!$A$1:$I$89,3,0)*0.475*44/12</f>
        <v>1.8895534966622908E-22</v>
      </c>
      <c r="BS186" s="22">
        <f t="shared" si="169"/>
        <v>0.63482666353866279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215.23235148064941</v>
      </c>
      <c r="CE186" s="59">
        <f t="shared" si="148"/>
        <v>184.07239726900434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0.15144273921245158</v>
      </c>
      <c r="CL186" s="21">
        <f>EXP(-LN(2)/25)*CL185+(1-EXP(-LN(2)/25))/(LN(2)/25)*Calculateur!CG186*Calculateur!CI186*VLOOKUP('Données projet'!$B$12,Paramètres!$A$1:$I$89,3,0)*0.475*44/12</f>
        <v>0.11294533263232001</v>
      </c>
      <c r="CM186" s="21">
        <f>EXP(-LN(2)/2)*CM185+(1-EXP(-LN(2)/2))/(LN(2)/2)*CG186*CJ186*VLOOKUP('Données projet'!$B$12,Paramètres!$A$1:$I$89,3,0)*0.475*44/12</f>
        <v>9.2014230156902789E-23</v>
      </c>
      <c r="CN186" s="22">
        <f t="shared" si="172"/>
        <v>0.26438807184477159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-1.1527845344971866E-13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279.20364724206644</v>
      </c>
      <c r="CZ186" s="59">
        <f t="shared" si="150"/>
        <v>173.99850582760712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5.0046602032711419E-2</v>
      </c>
      <c r="DH186" s="21">
        <f>EXP(-LN(2)/2)*DH185+(1-EXP(-LN(2)/2))/(LN(2)/2)*DB186*DE186*VLOOKUP('Données projet'!$B$13,Paramètres!$A$1:$I$89,3,0)*0.475*44/12</f>
        <v>6.4913583765416713E-23</v>
      </c>
      <c r="DI186" s="22">
        <f t="shared" si="175"/>
        <v>5.0046602032711419E-2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-1.1882548278663309E-13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291.18074901939718</v>
      </c>
      <c r="DU186" s="59">
        <f t="shared" si="152"/>
        <v>181.05123751753774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5.1586497479871776E-2</v>
      </c>
      <c r="EC186" s="21">
        <f>EXP(-LN(2)/2)*EC185+(1-EXP(-LN(2)/2))/(LN(2)/2)*DW186*DZ186*VLOOKUP('Données projet'!$B$14,Paramètres!$A$1:$I$89,3,0)*0.475*44/12</f>
        <v>6.6910924804352676E-23</v>
      </c>
      <c r="ED186" s="22">
        <f t="shared" si="178"/>
        <v>5.1586497479871776E-2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168.08890945052406</v>
      </c>
      <c r="EP186" s="59">
        <f t="shared" si="154"/>
        <v>182.52462557642343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0.30013648638603452</v>
      </c>
      <c r="EW186" s="21">
        <f>EXP(-LN(2)/25)*EW185+(1-EXP(-LN(2)/25))/(LN(2)/25)*Calculateur!ER186*Calculateur!ET186*VLOOKUP('Données projet'!$B$15,Paramètres!$A$1:$I$89,3,0)*0.475*44/12</f>
        <v>0.1772925870243624</v>
      </c>
      <c r="EX186" s="21">
        <f>EXP(-LN(2)/2)*EX185+(1-EXP(-LN(2)/2))/(LN(2)/2)*ER186*EU186*VLOOKUP('Données projet'!$B$15,Paramètres!$A$1:$I$89,3,0)*0.475*44/12</f>
        <v>5.0963404946599002E-23</v>
      </c>
      <c r="EY186" s="22">
        <f t="shared" si="181"/>
        <v>0.47742907341039692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3.813056537183002E-14</v>
      </c>
      <c r="FG186" s="13">
        <f t="shared" si="182"/>
        <v>6.4086286045526829E-13</v>
      </c>
      <c r="FH186" s="20">
        <f t="shared" si="183"/>
        <v>1.1825802166488628E-12</v>
      </c>
      <c r="FI186" s="59">
        <f t="shared" si="131"/>
        <v>293.33333333333451</v>
      </c>
      <c r="FJ186" s="59">
        <f ca="1">AVERAGE(OFFSET($FI$3,0,0,'Données projet'!$E$16+1,1))-AVERAGE(OFFSET($H$3,0,0,'Données projet'!$E$16+1,1))</f>
        <v>156.63226020379989</v>
      </c>
      <c r="FK186" s="59">
        <f t="shared" si="156"/>
        <v>196.0481096619543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0.12465610362414681</v>
      </c>
      <c r="FS186" s="21">
        <f>EXP(-LN(2)/2)*FS185+(1-EXP(-LN(2)/2))/(LN(2)/2)*FM186*FP186*VLOOKUP('Données projet'!$B$16,Paramètres!$A$1:$I$89,3,0)*0.475*44/12</f>
        <v>8.4913897994201067E-23</v>
      </c>
      <c r="FT186" s="22">
        <f t="shared" si="184"/>
        <v>0.12465610362414681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-4.5474735088646412E-13</v>
      </c>
      <c r="GA186" s="17">
        <f>FZ186*VLOOKUP('Données projet'!$B$17,Paramètres!$A$1:$I$89,3,0)*VLOOKUP('Données projet'!$B$17,Paramètres!$A$1:$I$89,5,0)</f>
        <v>-2.7193891583010558E-13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216.94426559495264</v>
      </c>
      <c r="GF186" s="59">
        <f t="shared" si="158"/>
        <v>225.33715877618704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0.18474583812557688</v>
      </c>
      <c r="GN186" s="21">
        <f>EXP(-LN(2)/2)*GN185+(1-EXP(-LN(2)/2))/(LN(2)/2)*GH186*GK186*VLOOKUP('Données projet'!$B$17,Paramètres!$A$1:$I$89,3,0)*0.475*44/12</f>
        <v>2.2207074753806914E-22</v>
      </c>
      <c r="GO186" s="21">
        <f t="shared" si="187"/>
        <v>0.18474583812557688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-1.1368683772161603E-13</v>
      </c>
      <c r="GV186" s="17">
        <f>GU186*VLOOKUP('Données projet'!$B$18,Paramètres!$A$1:$I$89,3,0)*VLOOKUP('Données projet'!$B$18,Paramètres!$A$1:$I$89,5,0)</f>
        <v>-1.0995790944434703E-13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261.22357949323879</v>
      </c>
      <c r="HA186" s="59">
        <f t="shared" si="160"/>
        <v>163.41029152029387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4.7736758861970874E-2</v>
      </c>
      <c r="HI186" s="21">
        <f>EXP(-LN(2)/2)*HI185+(1-EXP(-LN(2)/2))/(LN(2)/2)*HC186*HF186*VLOOKUP('Données projet'!$B$18,Paramètres!$A$1:$I$89,3,0)*0.475*44/12</f>
        <v>6.1917572207012861E-23</v>
      </c>
      <c r="HJ186" s="22">
        <f t="shared" si="190"/>
        <v>4.7736758861970874E-2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237.22177246688199</v>
      </c>
      <c r="T187" s="59">
        <f t="shared" si="142"/>
        <v>149.27472147904302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227.99999999999986</v>
      </c>
      <c r="AJ187" s="13">
        <f>AI187*VLOOKUP('Données projet'!$B$10,Paramètres!$A$1:$I$89,3,0)*VLOOKUP('Données projet'!$B$10,Paramètres!$A$1:$I$89,5,0)</f>
        <v>199.18079999999992</v>
      </c>
      <c r="AK187" s="13">
        <f t="shared" si="164"/>
        <v>49.564089376413683</v>
      </c>
      <c r="AL187" s="20">
        <f t="shared" si="165"/>
        <v>433.23068233058694</v>
      </c>
      <c r="AM187" s="59">
        <f t="shared" si="113"/>
        <v>726.56401566392026</v>
      </c>
      <c r="AN187" s="59">
        <f ca="1">AVERAGE(OFFSET($AM$3,0,0,'Données projet'!$E$10+1,1))-AVERAGE(OFFSET($H$3,0,0,'Données projet'!$E$10+1,1))</f>
        <v>210.07838338464626</v>
      </c>
      <c r="AO187" s="59">
        <f t="shared" si="144"/>
        <v>241.76003724236273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0.2510508744569277</v>
      </c>
      <c r="AV187" s="21">
        <f>EXP(-LN(2)/25)*AV186+(1-EXP(-LN(2)/25))/(LN(2)/25)*Calculateur!AQ187*Calculateur!AS187*VLOOKUP('Données projet'!$B$10,Paramètres!$A$1:$I$89,3,0)*0.475*44/12</f>
        <v>0.18963213532331472</v>
      </c>
      <c r="AW187" s="21">
        <f>EXP(-LN(2)/2)*AW186+(1-EXP(-LN(2)/2))/(LN(2)/2)*AQ187*AT187*VLOOKUP('Données projet'!$B$10,Paramètres!$A$1:$I$89,3,0)*0.475*44/12</f>
        <v>1.0569002141713318E-22</v>
      </c>
      <c r="AX187" s="21">
        <f t="shared" si="166"/>
        <v>0.44068300978024244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3.9017322706058616E-13</v>
      </c>
      <c r="BF187" s="13">
        <f t="shared" si="167"/>
        <v>5.0025007393608908E-12</v>
      </c>
      <c r="BG187" s="20">
        <f t="shared" si="168"/>
        <v>9.3922404915174053E-12</v>
      </c>
      <c r="BH187" s="59">
        <f t="shared" si="116"/>
        <v>293.33333333334269</v>
      </c>
      <c r="BI187" s="59">
        <f ca="1">AVERAGE(OFFSET($BH$3,0,0,'Données projet'!$E$11+1,1))-AVERAGE(OFFSET($H$3,0,0,'Données projet'!$E$11+1,1))</f>
        <v>209.93608079129638</v>
      </c>
      <c r="BJ187" s="59">
        <f t="shared" si="146"/>
        <v>240.15652428700969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0.32935195920685056</v>
      </c>
      <c r="BQ187" s="21">
        <f>EXP(-LN(2)/25)*BQ186+(1-EXP(-LN(2)/25))/(LN(2)/25)*Calculateur!BL187*Calculateur!BN187*VLOOKUP('Données projet'!$B$11,Paramètres!$A$1:$I$89,3,0)*0.475*44/12</f>
        <v>0.29071405065505102</v>
      </c>
      <c r="BR187" s="21">
        <f>EXP(-LN(2)/2)*BR186+(1-EXP(-LN(2)/2))/(LN(2)/2)*BL187*BO187*VLOOKUP('Données projet'!$B$11,Paramètres!$A$1:$I$89,3,0)*0.475*44/12</f>
        <v>1.3361160909046582E-22</v>
      </c>
      <c r="BS187" s="22">
        <f t="shared" si="169"/>
        <v>0.62006600986190152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215.23235148064941</v>
      </c>
      <c r="CE187" s="59">
        <f t="shared" si="148"/>
        <v>184.07239726900434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0.14847303946744544</v>
      </c>
      <c r="CL187" s="21">
        <f>EXP(-LN(2)/25)*CL186+(1-EXP(-LN(2)/25))/(LN(2)/25)*Calculateur!CG187*Calculateur!CI187*VLOOKUP('Données projet'!$B$12,Paramètres!$A$1:$I$89,3,0)*0.475*44/12</f>
        <v>0.10985683657195232</v>
      </c>
      <c r="CM187" s="21">
        <f>EXP(-LN(2)/2)*CM186+(1-EXP(-LN(2)/2))/(LN(2)/2)*CG187*CJ187*VLOOKUP('Données projet'!$B$12,Paramètres!$A$1:$I$89,3,0)*0.475*44/12</f>
        <v>6.5063886109605682E-23</v>
      </c>
      <c r="CN187" s="22">
        <f t="shared" si="172"/>
        <v>0.25832987603939778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-1.1527845344971866E-13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279.20364724206644</v>
      </c>
      <c r="CZ187" s="59">
        <f t="shared" si="150"/>
        <v>173.99850582760712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4.8678075068290506E-2</v>
      </c>
      <c r="DH187" s="21">
        <f>EXP(-LN(2)/2)*DH186+(1-EXP(-LN(2)/2))/(LN(2)/2)*DB187*DE187*VLOOKUP('Données projet'!$B$13,Paramètres!$A$1:$I$89,3,0)*0.475*44/12</f>
        <v>4.5900835271647139E-23</v>
      </c>
      <c r="DI187" s="22">
        <f t="shared" si="175"/>
        <v>4.8678075068290506E-2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-1.1882548278663309E-13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291.18074901939718</v>
      </c>
      <c r="DU187" s="59">
        <f t="shared" si="152"/>
        <v>181.05123751753774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5.0175861993468684E-2</v>
      </c>
      <c r="EC187" s="21">
        <f>EXP(-LN(2)/2)*EC186+(1-EXP(-LN(2)/2))/(LN(2)/2)*DW187*DZ187*VLOOKUP('Données projet'!$B$14,Paramètres!$A$1:$I$89,3,0)*0.475*44/12</f>
        <v>4.7313168664620944E-23</v>
      </c>
      <c r="ED187" s="22">
        <f t="shared" si="178"/>
        <v>5.0175861993468684E-2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168.08890945052406</v>
      </c>
      <c r="EP187" s="59">
        <f t="shared" si="154"/>
        <v>182.52462557642343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0.29425099295318491</v>
      </c>
      <c r="EW187" s="21">
        <f>EXP(-LN(2)/25)*EW186+(1-EXP(-LN(2)/25))/(LN(2)/25)*Calculateur!ER187*Calculateur!ET187*VLOOKUP('Données projet'!$B$15,Paramètres!$A$1:$I$89,3,0)*0.475*44/12</f>
        <v>0.17244451190876928</v>
      </c>
      <c r="EX187" s="21">
        <f>EXP(-LN(2)/2)*EX186+(1-EXP(-LN(2)/2))/(LN(2)/2)*ER187*EU187*VLOOKUP('Données projet'!$B$15,Paramètres!$A$1:$I$89,3,0)*0.475*44/12</f>
        <v>3.6036569230096194E-23</v>
      </c>
      <c r="EY187" s="22">
        <f t="shared" si="181"/>
        <v>0.46669550486195421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3.813056537183002E-14</v>
      </c>
      <c r="FG187" s="13">
        <f t="shared" si="182"/>
        <v>6.4086286045526829E-13</v>
      </c>
      <c r="FH187" s="20">
        <f t="shared" si="183"/>
        <v>1.1825802166488628E-12</v>
      </c>
      <c r="FI187" s="59">
        <f t="shared" si="131"/>
        <v>293.33333333333451</v>
      </c>
      <c r="FJ187" s="59">
        <f ca="1">AVERAGE(OFFSET($FI$3,0,0,'Données projet'!$E$16+1,1))-AVERAGE(OFFSET($H$3,0,0,'Données projet'!$E$16+1,1))</f>
        <v>156.63226020379989</v>
      </c>
      <c r="FK187" s="59">
        <f t="shared" si="156"/>
        <v>196.0481096619543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0.12124737591516493</v>
      </c>
      <c r="FS187" s="21">
        <f>EXP(-LN(2)/2)*FS186+(1-EXP(-LN(2)/2))/(LN(2)/2)*FM187*FP187*VLOOKUP('Données projet'!$B$16,Paramètres!$A$1:$I$89,3,0)*0.475*44/12</f>
        <v>6.004319308868235E-23</v>
      </c>
      <c r="FT187" s="22">
        <f t="shared" si="184"/>
        <v>0.12124737591516493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-4.5474735088646412E-13</v>
      </c>
      <c r="GA187" s="17">
        <f>FZ187*VLOOKUP('Données projet'!$B$17,Paramètres!$A$1:$I$89,3,0)*VLOOKUP('Données projet'!$B$17,Paramètres!$A$1:$I$89,5,0)</f>
        <v>-2.7193891583010558E-13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216.94426559495264</v>
      </c>
      <c r="GF187" s="59">
        <f t="shared" si="158"/>
        <v>225.33715877618704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0.17969395346667158</v>
      </c>
      <c r="GN187" s="21">
        <f>EXP(-LN(2)/2)*GN186+(1-EXP(-LN(2)/2))/(LN(2)/2)*GH187*GK187*VLOOKUP('Données projet'!$B$17,Paramètres!$A$1:$I$89,3,0)*0.475*44/12</f>
        <v>1.570277314873345E-22</v>
      </c>
      <c r="GO187" s="21">
        <f t="shared" si="187"/>
        <v>0.17969395346667158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-1.1368683772161603E-13</v>
      </c>
      <c r="GV187" s="17">
        <f>GU187*VLOOKUP('Données projet'!$B$18,Paramètres!$A$1:$I$89,3,0)*VLOOKUP('Données projet'!$B$18,Paramètres!$A$1:$I$89,5,0)</f>
        <v>-1.0995790944434703E-13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261.22357949323879</v>
      </c>
      <c r="HA187" s="59">
        <f t="shared" si="160"/>
        <v>163.41029152029387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4.6431394680523236E-2</v>
      </c>
      <c r="HI187" s="21">
        <f>EXP(-LN(2)/2)*HI186+(1-EXP(-LN(2)/2))/(LN(2)/2)*HC187*HF187*VLOOKUP('Données projet'!$B$18,Paramètres!$A$1:$I$89,3,0)*0.475*44/12</f>
        <v>4.3782335182186501E-23</v>
      </c>
      <c r="HJ187" s="22">
        <f t="shared" si="190"/>
        <v>4.6431394680523236E-2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237.22177246688199</v>
      </c>
      <c r="T188" s="59">
        <f t="shared" si="142"/>
        <v>149.27472147904302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227.99999999999986</v>
      </c>
      <c r="AJ188" s="13">
        <f>AI188*VLOOKUP('Données projet'!$B$10,Paramètres!$A$1:$I$89,3,0)*VLOOKUP('Données projet'!$B$10,Paramètres!$A$1:$I$89,5,0)</f>
        <v>199.18079999999992</v>
      </c>
      <c r="AK188" s="13">
        <f t="shared" si="164"/>
        <v>49.564089376413683</v>
      </c>
      <c r="AL188" s="20">
        <f t="shared" si="165"/>
        <v>433.23068233058694</v>
      </c>
      <c r="AM188" s="59">
        <f t="shared" si="113"/>
        <v>726.56401566392026</v>
      </c>
      <c r="AN188" s="59">
        <f ca="1">AVERAGE(OFFSET($AM$3,0,0,'Données projet'!$E$10+1,1))-AVERAGE(OFFSET($H$3,0,0,'Données projet'!$E$10+1,1))</f>
        <v>210.07838338464626</v>
      </c>
      <c r="AO188" s="59">
        <f t="shared" si="144"/>
        <v>241.76003724236273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0.24612791993474084</v>
      </c>
      <c r="AV188" s="21">
        <f>EXP(-LN(2)/25)*AV187+(1-EXP(-LN(2)/25))/(LN(2)/25)*Calculateur!AQ188*Calculateur!AS188*VLOOKUP('Données projet'!$B$10,Paramètres!$A$1:$I$89,3,0)*0.475*44/12</f>
        <v>0.18444663461057809</v>
      </c>
      <c r="AW188" s="21">
        <f>EXP(-LN(2)/2)*AW187+(1-EXP(-LN(2)/2))/(LN(2)/2)*AQ188*AT188*VLOOKUP('Données projet'!$B$10,Paramètres!$A$1:$I$89,3,0)*0.475*44/12</f>
        <v>7.473413084780632E-23</v>
      </c>
      <c r="AX188" s="21">
        <f t="shared" si="166"/>
        <v>0.4305745545453189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3.9017322706058616E-13</v>
      </c>
      <c r="BF188" s="13">
        <f t="shared" si="167"/>
        <v>5.0025007393608908E-12</v>
      </c>
      <c r="BG188" s="20">
        <f t="shared" si="168"/>
        <v>9.3922404915174053E-12</v>
      </c>
      <c r="BH188" s="59">
        <f t="shared" si="116"/>
        <v>293.33333333334269</v>
      </c>
      <c r="BI188" s="59">
        <f ca="1">AVERAGE(OFFSET($BH$3,0,0,'Données projet'!$E$11+1,1))-AVERAGE(OFFSET($H$3,0,0,'Données projet'!$E$11+1,1))</f>
        <v>209.93608079129638</v>
      </c>
      <c r="BJ188" s="59">
        <f t="shared" si="146"/>
        <v>240.15652428700969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0.32289356817166359</v>
      </c>
      <c r="BQ188" s="21">
        <f>EXP(-LN(2)/25)*BQ187+(1-EXP(-LN(2)/25))/(LN(2)/25)*Calculateur!BL188*Calculateur!BN188*VLOOKUP('Données projet'!$B$11,Paramètres!$A$1:$I$89,3,0)*0.475*44/12</f>
        <v>0.28276445965190117</v>
      </c>
      <c r="BR188" s="21">
        <f>EXP(-LN(2)/2)*BR187+(1-EXP(-LN(2)/2))/(LN(2)/2)*BL188*BO188*VLOOKUP('Données projet'!$B$11,Paramètres!$A$1:$I$89,3,0)*0.475*44/12</f>
        <v>9.4477674833114541E-23</v>
      </c>
      <c r="BS188" s="22">
        <f t="shared" si="169"/>
        <v>0.60565802782356482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215.23235148064941</v>
      </c>
      <c r="CE188" s="59">
        <f t="shared" si="148"/>
        <v>184.07239726900434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0.14556157372310088</v>
      </c>
      <c r="CL188" s="21">
        <f>EXP(-LN(2)/25)*CL187+(1-EXP(-LN(2)/25))/(LN(2)/25)*Calculateur!CG188*Calculateur!CI188*VLOOKUP('Données projet'!$B$12,Paramètres!$A$1:$I$89,3,0)*0.475*44/12</f>
        <v>0.10685279559877232</v>
      </c>
      <c r="CM188" s="21">
        <f>EXP(-LN(2)/2)*CM187+(1-EXP(-LN(2)/2))/(LN(2)/2)*CG188*CJ188*VLOOKUP('Données projet'!$B$12,Paramètres!$A$1:$I$89,3,0)*0.475*44/12</f>
        <v>4.6007115078451394E-23</v>
      </c>
      <c r="CN188" s="22">
        <f t="shared" si="172"/>
        <v>0.25241436932187322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-1.1527845344971866E-13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279.20364724206644</v>
      </c>
      <c r="CZ188" s="59">
        <f t="shared" si="150"/>
        <v>173.99850582760712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4.7346970545679393E-2</v>
      </c>
      <c r="DH188" s="21">
        <f>EXP(-LN(2)/2)*DH187+(1-EXP(-LN(2)/2))/(LN(2)/2)*DB188*DE188*VLOOKUP('Données projet'!$B$13,Paramètres!$A$1:$I$89,3,0)*0.475*44/12</f>
        <v>3.2456791882708356E-23</v>
      </c>
      <c r="DI188" s="22">
        <f t="shared" si="175"/>
        <v>4.7346970545679393E-2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-1.1882548278663309E-13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291.18074901939718</v>
      </c>
      <c r="DU188" s="59">
        <f t="shared" si="152"/>
        <v>181.05123751753774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4.880380040862338E-2</v>
      </c>
      <c r="EC188" s="21">
        <f>EXP(-LN(2)/2)*EC187+(1-EXP(-LN(2)/2))/(LN(2)/2)*DW188*DZ188*VLOOKUP('Données projet'!$B$14,Paramètres!$A$1:$I$89,3,0)*0.475*44/12</f>
        <v>3.3455462402176338E-23</v>
      </c>
      <c r="ED188" s="22">
        <f t="shared" si="178"/>
        <v>4.880380040862338E-2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168.08890945052406</v>
      </c>
      <c r="EP188" s="59">
        <f t="shared" si="154"/>
        <v>182.52462557642343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0.28848091045675694</v>
      </c>
      <c r="EW188" s="21">
        <f>EXP(-LN(2)/25)*EW187+(1-EXP(-LN(2)/25))/(LN(2)/25)*Calculateur!ER188*Calculateur!ET188*VLOOKUP('Données projet'!$B$15,Paramètres!$A$1:$I$89,3,0)*0.475*44/12</f>
        <v>0.16772900766216123</v>
      </c>
      <c r="EX188" s="21">
        <f>EXP(-LN(2)/2)*EX187+(1-EXP(-LN(2)/2))/(LN(2)/2)*ER188*EU188*VLOOKUP('Données projet'!$B$15,Paramètres!$A$1:$I$89,3,0)*0.475*44/12</f>
        <v>2.5481702473299501E-23</v>
      </c>
      <c r="EY188" s="22">
        <f t="shared" si="181"/>
        <v>0.4562099181189182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3.813056537183002E-14</v>
      </c>
      <c r="FG188" s="13">
        <f t="shared" si="182"/>
        <v>6.4086286045526829E-13</v>
      </c>
      <c r="FH188" s="20">
        <f t="shared" si="183"/>
        <v>1.1825802166488628E-12</v>
      </c>
      <c r="FI188" s="59">
        <f t="shared" si="131"/>
        <v>293.33333333333451</v>
      </c>
      <c r="FJ188" s="59">
        <f ca="1">AVERAGE(OFFSET($FI$3,0,0,'Données projet'!$E$16+1,1))-AVERAGE(OFFSET($H$3,0,0,'Données projet'!$E$16+1,1))</f>
        <v>156.63226020379989</v>
      </c>
      <c r="FK188" s="59">
        <f t="shared" si="156"/>
        <v>196.0481096619543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0.11793186004464236</v>
      </c>
      <c r="FS188" s="21">
        <f>EXP(-LN(2)/2)*FS187+(1-EXP(-LN(2)/2))/(LN(2)/2)*FM188*FP188*VLOOKUP('Données projet'!$B$16,Paramètres!$A$1:$I$89,3,0)*0.475*44/12</f>
        <v>4.2456948997100533E-23</v>
      </c>
      <c r="FT188" s="22">
        <f t="shared" si="184"/>
        <v>0.11793186004464236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-4.5474735088646412E-13</v>
      </c>
      <c r="GA188" s="17">
        <f>FZ188*VLOOKUP('Données projet'!$B$17,Paramètres!$A$1:$I$89,3,0)*VLOOKUP('Données projet'!$B$17,Paramètres!$A$1:$I$89,5,0)</f>
        <v>-2.7193891583010558E-13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216.94426559495264</v>
      </c>
      <c r="GF188" s="59">
        <f t="shared" si="158"/>
        <v>225.33715877618704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0.17478021285943113</v>
      </c>
      <c r="GN188" s="21">
        <f>EXP(-LN(2)/2)*GN187+(1-EXP(-LN(2)/2))/(LN(2)/2)*GH188*GK188*VLOOKUP('Données projet'!$B$17,Paramètres!$A$1:$I$89,3,0)*0.475*44/12</f>
        <v>1.1103537376903457E-22</v>
      </c>
      <c r="GO188" s="21">
        <f t="shared" si="187"/>
        <v>0.17478021285943113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-1.1368683772161603E-13</v>
      </c>
      <c r="GV188" s="17">
        <f>GU188*VLOOKUP('Données projet'!$B$18,Paramètres!$A$1:$I$89,3,0)*VLOOKUP('Données projet'!$B$18,Paramètres!$A$1:$I$89,5,0)</f>
        <v>-1.0995790944434703E-13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261.22357949323879</v>
      </c>
      <c r="HA188" s="59">
        <f t="shared" si="160"/>
        <v>163.41029152029387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4.5161725751263405E-2</v>
      </c>
      <c r="HI188" s="21">
        <f>EXP(-LN(2)/2)*HI187+(1-EXP(-LN(2)/2))/(LN(2)/2)*HC188*HF188*VLOOKUP('Données projet'!$B$18,Paramètres!$A$1:$I$89,3,0)*0.475*44/12</f>
        <v>3.0958786103506431E-23</v>
      </c>
      <c r="HJ188" s="22">
        <f t="shared" si="190"/>
        <v>4.5161725751263405E-2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237.22177246688199</v>
      </c>
      <c r="T189" s="59">
        <f t="shared" si="142"/>
        <v>149.27472147904302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227.99999999999986</v>
      </c>
      <c r="AJ189" s="13">
        <f>AI189*VLOOKUP('Données projet'!$B$10,Paramètres!$A$1:$I$89,3,0)*VLOOKUP('Données projet'!$B$10,Paramètres!$A$1:$I$89,5,0)</f>
        <v>199.18079999999992</v>
      </c>
      <c r="AK189" s="13">
        <f t="shared" si="164"/>
        <v>49.564089376413683</v>
      </c>
      <c r="AL189" s="20">
        <f t="shared" si="165"/>
        <v>433.23068233058694</v>
      </c>
      <c r="AM189" s="59">
        <f t="shared" si="113"/>
        <v>726.56401566392026</v>
      </c>
      <c r="AN189" s="59">
        <f ca="1">AVERAGE(OFFSET($AM$3,0,0,'Données projet'!$E$10+1,1))-AVERAGE(OFFSET($H$3,0,0,'Données projet'!$E$10+1,1))</f>
        <v>210.07838338464626</v>
      </c>
      <c r="AO189" s="59">
        <f t="shared" si="144"/>
        <v>241.76003724236273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0.24130150154802829</v>
      </c>
      <c r="AV189" s="21">
        <f>EXP(-LN(2)/25)*AV188+(1-EXP(-LN(2)/25))/(LN(2)/25)*Calculateur!AQ189*Calculateur!AS189*VLOOKUP('Données projet'!$B$10,Paramètres!$A$1:$I$89,3,0)*0.475*44/12</f>
        <v>0.17940293168752489</v>
      </c>
      <c r="AW189" s="21">
        <f>EXP(-LN(2)/2)*AW188+(1-EXP(-LN(2)/2))/(LN(2)/2)*AQ189*AT189*VLOOKUP('Données projet'!$B$10,Paramètres!$A$1:$I$89,3,0)*0.475*44/12</f>
        <v>5.28450107085666E-23</v>
      </c>
      <c r="AX189" s="21">
        <f t="shared" si="166"/>
        <v>0.42070443323555318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3.9017322706058616E-13</v>
      </c>
      <c r="BF189" s="13">
        <f t="shared" si="167"/>
        <v>5.0025007393608908E-12</v>
      </c>
      <c r="BG189" s="20">
        <f t="shared" si="168"/>
        <v>9.3922404915174053E-12</v>
      </c>
      <c r="BH189" s="59">
        <f t="shared" si="116"/>
        <v>293.33333333334269</v>
      </c>
      <c r="BI189" s="59">
        <f ca="1">AVERAGE(OFFSET($BH$3,0,0,'Données projet'!$E$11+1,1))-AVERAGE(OFFSET($H$3,0,0,'Données projet'!$E$11+1,1))</f>
        <v>209.93608079129638</v>
      </c>
      <c r="BJ189" s="59">
        <f t="shared" si="146"/>
        <v>240.15652428700969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0.3165618222454471</v>
      </c>
      <c r="BQ189" s="21">
        <f>EXP(-LN(2)/25)*BQ188+(1-EXP(-LN(2)/25))/(LN(2)/25)*Calculateur!BL189*Calculateur!BN189*VLOOKUP('Données projet'!$B$11,Paramètres!$A$1:$I$89,3,0)*0.475*44/12</f>
        <v>0.27503225063278325</v>
      </c>
      <c r="BR189" s="21">
        <f>EXP(-LN(2)/2)*BR188+(1-EXP(-LN(2)/2))/(LN(2)/2)*BL189*BO189*VLOOKUP('Données projet'!$B$11,Paramètres!$A$1:$I$89,3,0)*0.475*44/12</f>
        <v>6.6805804545232911E-23</v>
      </c>
      <c r="BS189" s="22">
        <f t="shared" si="169"/>
        <v>0.59159407287823029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215.23235148064941</v>
      </c>
      <c r="CE189" s="59">
        <f t="shared" si="148"/>
        <v>184.07239726900434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0.14270720004618417</v>
      </c>
      <c r="CL189" s="21">
        <f>EXP(-LN(2)/25)*CL188+(1-EXP(-LN(2)/25))/(LN(2)/25)*Calculateur!CG189*Calculateur!CI189*VLOOKUP('Données projet'!$B$12,Paramètres!$A$1:$I$89,3,0)*0.475*44/12</f>
        <v>0.10393090028397958</v>
      </c>
      <c r="CM189" s="21">
        <f>EXP(-LN(2)/2)*CM188+(1-EXP(-LN(2)/2))/(LN(2)/2)*CG189*CJ189*VLOOKUP('Données projet'!$B$12,Paramètres!$A$1:$I$89,3,0)*0.475*44/12</f>
        <v>3.2531943054802841E-23</v>
      </c>
      <c r="CN189" s="22">
        <f t="shared" si="172"/>
        <v>0.24663810033016376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-1.1527845344971866E-13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279.20364724206644</v>
      </c>
      <c r="CZ189" s="59">
        <f t="shared" si="150"/>
        <v>173.99850582760712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4.6052265146238822E-2</v>
      </c>
      <c r="DH189" s="21">
        <f>EXP(-LN(2)/2)*DH188+(1-EXP(-LN(2)/2))/(LN(2)/2)*DB189*DE189*VLOOKUP('Données projet'!$B$13,Paramètres!$A$1:$I$89,3,0)*0.475*44/12</f>
        <v>2.295041763582357E-23</v>
      </c>
      <c r="DI189" s="22">
        <f t="shared" si="175"/>
        <v>4.6052265146238822E-2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-1.1882548278663309E-13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291.18074901939718</v>
      </c>
      <c r="DU189" s="59">
        <f t="shared" si="152"/>
        <v>181.05123751753774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4.7469257919969254E-2</v>
      </c>
      <c r="EC189" s="21">
        <f>EXP(-LN(2)/2)*EC188+(1-EXP(-LN(2)/2))/(LN(2)/2)*DW189*DZ189*VLOOKUP('Données projet'!$B$14,Paramètres!$A$1:$I$89,3,0)*0.475*44/12</f>
        <v>2.3656584332310472E-23</v>
      </c>
      <c r="ED189" s="22">
        <f t="shared" si="178"/>
        <v>4.7469257919969254E-2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168.08890945052406</v>
      </c>
      <c r="EP189" s="59">
        <f t="shared" si="154"/>
        <v>182.52462557642343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0.28282397575868112</v>
      </c>
      <c r="EW189" s="21">
        <f>EXP(-LN(2)/25)*EW188+(1-EXP(-LN(2)/25))/(LN(2)/25)*Calculateur!ER189*Calculateur!ET189*VLOOKUP('Données projet'!$B$15,Paramètres!$A$1:$I$89,3,0)*0.475*44/12</f>
        <v>0.16314244912715425</v>
      </c>
      <c r="EX189" s="21">
        <f>EXP(-LN(2)/2)*EX188+(1-EXP(-LN(2)/2))/(LN(2)/2)*ER189*EU189*VLOOKUP('Données projet'!$B$15,Paramètres!$A$1:$I$89,3,0)*0.475*44/12</f>
        <v>1.8018284615048097E-23</v>
      </c>
      <c r="EY189" s="22">
        <f t="shared" si="181"/>
        <v>0.44596642488583538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3.813056537183002E-14</v>
      </c>
      <c r="FG189" s="13">
        <f t="shared" si="182"/>
        <v>6.4086286045526829E-13</v>
      </c>
      <c r="FH189" s="20">
        <f t="shared" si="183"/>
        <v>1.1825802166488628E-12</v>
      </c>
      <c r="FI189" s="59">
        <f t="shared" si="131"/>
        <v>293.33333333333451</v>
      </c>
      <c r="FJ189" s="59">
        <f ca="1">AVERAGE(OFFSET($FI$3,0,0,'Données projet'!$E$16+1,1))-AVERAGE(OFFSET($H$3,0,0,'Données projet'!$E$16+1,1))</f>
        <v>156.63226020379989</v>
      </c>
      <c r="FK189" s="59">
        <f t="shared" si="156"/>
        <v>196.0481096619543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0.11470700712995463</v>
      </c>
      <c r="FS189" s="21">
        <f>EXP(-LN(2)/2)*FS188+(1-EXP(-LN(2)/2))/(LN(2)/2)*FM189*FP189*VLOOKUP('Données projet'!$B$16,Paramètres!$A$1:$I$89,3,0)*0.475*44/12</f>
        <v>3.0021596544341175E-23</v>
      </c>
      <c r="FT189" s="22">
        <f t="shared" si="184"/>
        <v>0.11470700712995463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-4.5474735088646412E-13</v>
      </c>
      <c r="GA189" s="17">
        <f>FZ189*VLOOKUP('Données projet'!$B$17,Paramètres!$A$1:$I$89,3,0)*VLOOKUP('Données projet'!$B$17,Paramètres!$A$1:$I$89,5,0)</f>
        <v>-2.7193891583010558E-13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216.94426559495264</v>
      </c>
      <c r="GF189" s="59">
        <f t="shared" si="158"/>
        <v>225.33715877618704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0.17000083874749805</v>
      </c>
      <c r="GN189" s="21">
        <f>EXP(-LN(2)/2)*GN188+(1-EXP(-LN(2)/2))/(LN(2)/2)*GH189*GK189*VLOOKUP('Données projet'!$B$17,Paramètres!$A$1:$I$89,3,0)*0.475*44/12</f>
        <v>7.8513865743667249E-23</v>
      </c>
      <c r="GO189" s="21">
        <f t="shared" si="187"/>
        <v>0.17000083874749805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-1.1368683772161603E-13</v>
      </c>
      <c r="GV189" s="17">
        <f>GU189*VLOOKUP('Données projet'!$B$18,Paramètres!$A$1:$I$89,3,0)*VLOOKUP('Données projet'!$B$18,Paramètres!$A$1:$I$89,5,0)</f>
        <v>-1.0995790944434703E-13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261.22357949323879</v>
      </c>
      <c r="HA189" s="59">
        <f t="shared" si="160"/>
        <v>163.41029152029387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4.3926775985643166E-2</v>
      </c>
      <c r="HI189" s="21">
        <f>EXP(-LN(2)/2)*HI188+(1-EXP(-LN(2)/2))/(LN(2)/2)*HC189*HF189*VLOOKUP('Données projet'!$B$18,Paramètres!$A$1:$I$89,3,0)*0.475*44/12</f>
        <v>2.189116759109325E-23</v>
      </c>
      <c r="HJ189" s="22">
        <f t="shared" si="190"/>
        <v>4.3926775985643166E-2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237.22177246688199</v>
      </c>
      <c r="T190" s="59">
        <f t="shared" si="142"/>
        <v>149.27472147904302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227.99999999999986</v>
      </c>
      <c r="AJ190" s="13">
        <f>AI190*VLOOKUP('Données projet'!$B$10,Paramètres!$A$1:$I$89,3,0)*VLOOKUP('Données projet'!$B$10,Paramètres!$A$1:$I$89,5,0)</f>
        <v>199.18079999999992</v>
      </c>
      <c r="AK190" s="13">
        <f t="shared" si="164"/>
        <v>49.564089376413683</v>
      </c>
      <c r="AL190" s="20">
        <f t="shared" si="165"/>
        <v>433.23068233058694</v>
      </c>
      <c r="AM190" s="59">
        <f t="shared" si="113"/>
        <v>726.56401566392026</v>
      </c>
      <c r="AN190" s="59">
        <f ca="1">AVERAGE(OFFSET($AM$3,0,0,'Données projet'!$E$10+1,1))-AVERAGE(OFFSET($H$3,0,0,'Données projet'!$E$10+1,1))</f>
        <v>210.07838338464626</v>
      </c>
      <c r="AO190" s="59">
        <f t="shared" si="144"/>
        <v>241.76003724236273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0.23656972628205464</v>
      </c>
      <c r="AV190" s="21">
        <f>EXP(-LN(2)/25)*AV189+(1-EXP(-LN(2)/25))/(LN(2)/25)*Calculateur!AQ190*Calculateur!AS190*VLOOKUP('Données projet'!$B$10,Paramètres!$A$1:$I$89,3,0)*0.475*44/12</f>
        <v>0.17449714908613936</v>
      </c>
      <c r="AW190" s="21">
        <f>EXP(-LN(2)/2)*AW189+(1-EXP(-LN(2)/2))/(LN(2)/2)*AQ190*AT190*VLOOKUP('Données projet'!$B$10,Paramètres!$A$1:$I$89,3,0)*0.475*44/12</f>
        <v>3.7367065423903166E-23</v>
      </c>
      <c r="AX190" s="21">
        <f t="shared" si="166"/>
        <v>0.41106687536819397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3.9017322706058616E-13</v>
      </c>
      <c r="BF190" s="13">
        <f t="shared" si="167"/>
        <v>5.0025007393608908E-12</v>
      </c>
      <c r="BG190" s="20">
        <f t="shared" si="168"/>
        <v>9.3922404915174053E-12</v>
      </c>
      <c r="BH190" s="59">
        <f t="shared" si="116"/>
        <v>293.33333333334269</v>
      </c>
      <c r="BI190" s="59">
        <f ca="1">AVERAGE(OFFSET($BH$3,0,0,'Données projet'!$E$11+1,1))-AVERAGE(OFFSET($H$3,0,0,'Données projet'!$E$11+1,1))</f>
        <v>209.93608079129638</v>
      </c>
      <c r="BJ190" s="59">
        <f t="shared" si="146"/>
        <v>240.15652428700969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0.31035423799486</v>
      </c>
      <c r="BQ190" s="21">
        <f>EXP(-LN(2)/25)*BQ189+(1-EXP(-LN(2)/25))/(LN(2)/25)*Calculateur!BL190*Calculateur!BN190*VLOOKUP('Données projet'!$B$11,Paramètres!$A$1:$I$89,3,0)*0.475*44/12</f>
        <v>0.26751147927591234</v>
      </c>
      <c r="BR190" s="21">
        <f>EXP(-LN(2)/2)*BR189+(1-EXP(-LN(2)/2))/(LN(2)/2)*BL190*BO190*VLOOKUP('Données projet'!$B$11,Paramètres!$A$1:$I$89,3,0)*0.475*44/12</f>
        <v>4.7238837416557271E-23</v>
      </c>
      <c r="BS190" s="22">
        <f t="shared" si="169"/>
        <v>0.57786571727077241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215.23235148064941</v>
      </c>
      <c r="CE190" s="59">
        <f t="shared" si="148"/>
        <v>184.07239726900434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0.13990879889607577</v>
      </c>
      <c r="CL190" s="21">
        <f>EXP(-LN(2)/25)*CL189+(1-EXP(-LN(2)/25))/(LN(2)/25)*Calculateur!CG190*Calculateur!CI190*VLOOKUP('Données projet'!$B$12,Paramètres!$A$1:$I$89,3,0)*0.475*44/12</f>
        <v>0.10108890435022565</v>
      </c>
      <c r="CM190" s="21">
        <f>EXP(-LN(2)/2)*CM189+(1-EXP(-LN(2)/2))/(LN(2)/2)*CG190*CJ190*VLOOKUP('Données projet'!$B$12,Paramètres!$A$1:$I$89,3,0)*0.475*44/12</f>
        <v>2.3003557539225697E-23</v>
      </c>
      <c r="CN190" s="22">
        <f t="shared" si="172"/>
        <v>0.24099770324630143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-1.1527845344971866E-13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279.20364724206644</v>
      </c>
      <c r="CZ190" s="59">
        <f t="shared" si="150"/>
        <v>173.99850582760712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4.4792963534031553E-2</v>
      </c>
      <c r="DH190" s="21">
        <f>EXP(-LN(2)/2)*DH189+(1-EXP(-LN(2)/2))/(LN(2)/2)*DB190*DE190*VLOOKUP('Données projet'!$B$13,Paramètres!$A$1:$I$89,3,0)*0.475*44/12</f>
        <v>1.6228395941354178E-23</v>
      </c>
      <c r="DI190" s="22">
        <f t="shared" si="175"/>
        <v>4.4792963534031553E-2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-1.1882548278663309E-13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291.18074901939718</v>
      </c>
      <c r="DU190" s="59">
        <f t="shared" si="152"/>
        <v>181.05123751753774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4.6171208565847915E-2</v>
      </c>
      <c r="EC190" s="21">
        <f>EXP(-LN(2)/2)*EC189+(1-EXP(-LN(2)/2))/(LN(2)/2)*DW190*DZ190*VLOOKUP('Données projet'!$B$14,Paramètres!$A$1:$I$89,3,0)*0.475*44/12</f>
        <v>1.6727731201088169E-23</v>
      </c>
      <c r="ED190" s="22">
        <f t="shared" si="178"/>
        <v>4.6171208565847915E-2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168.08890945052406</v>
      </c>
      <c r="EP190" s="59">
        <f t="shared" si="154"/>
        <v>182.52462557642343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0.27727797009964511</v>
      </c>
      <c r="EW190" s="21">
        <f>EXP(-LN(2)/25)*EW189+(1-EXP(-LN(2)/25))/(LN(2)/25)*Calculateur!ER190*Calculateur!ET190*VLOOKUP('Données projet'!$B$15,Paramètres!$A$1:$I$89,3,0)*0.475*44/12</f>
        <v>0.15868131027648369</v>
      </c>
      <c r="EX190" s="21">
        <f>EXP(-LN(2)/2)*EX189+(1-EXP(-LN(2)/2))/(LN(2)/2)*ER190*EU190*VLOOKUP('Données projet'!$B$15,Paramètres!$A$1:$I$89,3,0)*0.475*44/12</f>
        <v>1.2740851236649751E-23</v>
      </c>
      <c r="EY190" s="22">
        <f t="shared" si="181"/>
        <v>0.4359592803761288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3.813056537183002E-14</v>
      </c>
      <c r="FG190" s="13">
        <f t="shared" si="182"/>
        <v>6.4086286045526829E-13</v>
      </c>
      <c r="FH190" s="20">
        <f t="shared" si="183"/>
        <v>1.1825802166488628E-12</v>
      </c>
      <c r="FI190" s="59">
        <f t="shared" si="131"/>
        <v>293.33333333333451</v>
      </c>
      <c r="FJ190" s="59">
        <f ca="1">AVERAGE(OFFSET($FI$3,0,0,'Données projet'!$E$16+1,1))-AVERAGE(OFFSET($H$3,0,0,'Données projet'!$E$16+1,1))</f>
        <v>156.63226020379989</v>
      </c>
      <c r="FK190" s="59">
        <f t="shared" si="156"/>
        <v>196.0481096619543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0.11157033798780668</v>
      </c>
      <c r="FS190" s="21">
        <f>EXP(-LN(2)/2)*FS189+(1-EXP(-LN(2)/2))/(LN(2)/2)*FM190*FP190*VLOOKUP('Données projet'!$B$16,Paramètres!$A$1:$I$89,3,0)*0.475*44/12</f>
        <v>2.1228474498550267E-23</v>
      </c>
      <c r="FT190" s="22">
        <f t="shared" si="184"/>
        <v>0.11157033798780668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-4.5474735088646412E-13</v>
      </c>
      <c r="GA190" s="17">
        <f>FZ190*VLOOKUP('Données projet'!$B$17,Paramètres!$A$1:$I$89,3,0)*VLOOKUP('Données projet'!$B$17,Paramètres!$A$1:$I$89,5,0)</f>
        <v>-2.7193891583010558E-13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216.94426559495264</v>
      </c>
      <c r="GF190" s="59">
        <f t="shared" si="158"/>
        <v>225.33715877618704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0.16535215687199215</v>
      </c>
      <c r="GN190" s="21">
        <f>EXP(-LN(2)/2)*GN189+(1-EXP(-LN(2)/2))/(LN(2)/2)*GH190*GK190*VLOOKUP('Données projet'!$B$17,Paramètres!$A$1:$I$89,3,0)*0.475*44/12</f>
        <v>5.5517686884517286E-23</v>
      </c>
      <c r="GO190" s="21">
        <f t="shared" si="187"/>
        <v>0.16535215687199215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-1.1368683772161603E-13</v>
      </c>
      <c r="GV190" s="17">
        <f>GU190*VLOOKUP('Données projet'!$B$18,Paramètres!$A$1:$I$89,3,0)*VLOOKUP('Données projet'!$B$18,Paramètres!$A$1:$I$89,5,0)</f>
        <v>-1.0995790944434703E-13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261.22357949323879</v>
      </c>
      <c r="HA190" s="59">
        <f t="shared" si="160"/>
        <v>163.41029152029387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4.2725595986307E-2</v>
      </c>
      <c r="HI190" s="21">
        <f>EXP(-LN(2)/2)*HI189+(1-EXP(-LN(2)/2))/(LN(2)/2)*HC190*HF190*VLOOKUP('Données projet'!$B$18,Paramètres!$A$1:$I$89,3,0)*0.475*44/12</f>
        <v>1.5479393051753215E-23</v>
      </c>
      <c r="HJ190" s="22">
        <f t="shared" si="190"/>
        <v>4.2725595986307E-2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237.22177246688199</v>
      </c>
      <c r="T191" s="59">
        <f t="shared" si="142"/>
        <v>149.27472147904302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227.99999999999986</v>
      </c>
      <c r="AJ191" s="13">
        <f>AI191*VLOOKUP('Données projet'!$B$10,Paramètres!$A$1:$I$89,3,0)*VLOOKUP('Données projet'!$B$10,Paramètres!$A$1:$I$89,5,0)</f>
        <v>199.18079999999992</v>
      </c>
      <c r="AK191" s="13">
        <f t="shared" si="164"/>
        <v>49.564089376413683</v>
      </c>
      <c r="AL191" s="20">
        <f t="shared" si="165"/>
        <v>433.23068233058694</v>
      </c>
      <c r="AM191" s="59">
        <f t="shared" si="113"/>
        <v>726.56401566392026</v>
      </c>
      <c r="AN191" s="59">
        <f ca="1">AVERAGE(OFFSET($AM$3,0,0,'Données projet'!$E$10+1,1))-AVERAGE(OFFSET($H$3,0,0,'Données projet'!$E$10+1,1))</f>
        <v>210.07838338464626</v>
      </c>
      <c r="AO191" s="59">
        <f t="shared" si="144"/>
        <v>241.76003724236273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0.2319307382429488</v>
      </c>
      <c r="AV191" s="21">
        <f>EXP(-LN(2)/25)*AV190+(1-EXP(-LN(2)/25))/(LN(2)/25)*Calculateur!AQ191*Calculateur!AS191*VLOOKUP('Données projet'!$B$10,Paramètres!$A$1:$I$89,3,0)*0.475*44/12</f>
        <v>0.16972551536797262</v>
      </c>
      <c r="AW191" s="21">
        <f>EXP(-LN(2)/2)*AW190+(1-EXP(-LN(2)/2))/(LN(2)/2)*AQ191*AT191*VLOOKUP('Données projet'!$B$10,Paramètres!$A$1:$I$89,3,0)*0.475*44/12</f>
        <v>2.6422505354283303E-23</v>
      </c>
      <c r="AX191" s="21">
        <f t="shared" si="166"/>
        <v>0.40165625361092139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3.9017322706058616E-13</v>
      </c>
      <c r="BF191" s="13">
        <f t="shared" si="167"/>
        <v>5.0025007393608908E-12</v>
      </c>
      <c r="BG191" s="20">
        <f t="shared" si="168"/>
        <v>9.3922404915174053E-12</v>
      </c>
      <c r="BH191" s="59">
        <f t="shared" si="116"/>
        <v>293.33333333334269</v>
      </c>
      <c r="BI191" s="59">
        <f ca="1">AVERAGE(OFFSET($BH$3,0,0,'Données projet'!$E$11+1,1))-AVERAGE(OFFSET($H$3,0,0,'Données projet'!$E$11+1,1))</f>
        <v>209.93608079129638</v>
      </c>
      <c r="BJ191" s="59">
        <f t="shared" si="146"/>
        <v>240.15652428700969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0.30426838068517442</v>
      </c>
      <c r="BQ191" s="21">
        <f>EXP(-LN(2)/25)*BQ190+(1-EXP(-LN(2)/25))/(LN(2)/25)*Calculateur!BL191*Calculateur!BN191*VLOOKUP('Données projet'!$B$11,Paramètres!$A$1:$I$89,3,0)*0.475*44/12</f>
        <v>0.26019636380729522</v>
      </c>
      <c r="BR191" s="21">
        <f>EXP(-LN(2)/2)*BR190+(1-EXP(-LN(2)/2))/(LN(2)/2)*BL191*BO191*VLOOKUP('Données projet'!$B$11,Paramètres!$A$1:$I$89,3,0)*0.475*44/12</f>
        <v>3.3402902272616456E-23</v>
      </c>
      <c r="BS191" s="22">
        <f t="shared" si="169"/>
        <v>0.56446474449246964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215.23235148064941</v>
      </c>
      <c r="CE191" s="59">
        <f t="shared" si="148"/>
        <v>184.07239726900434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0.13716527268566484</v>
      </c>
      <c r="CL191" s="21">
        <f>EXP(-LN(2)/25)*CL190+(1-EXP(-LN(2)/25))/(LN(2)/25)*Calculateur!CG191*Calculateur!CI191*VLOOKUP('Données projet'!$B$12,Paramètres!$A$1:$I$89,3,0)*0.475*44/12</f>
        <v>9.8324622944734291E-2</v>
      </c>
      <c r="CM191" s="21">
        <f>EXP(-LN(2)/2)*CM190+(1-EXP(-LN(2)/2))/(LN(2)/2)*CG191*CJ191*VLOOKUP('Données projet'!$B$12,Paramètres!$A$1:$I$89,3,0)*0.475*44/12</f>
        <v>1.626597152740142E-23</v>
      </c>
      <c r="CN191" s="22">
        <f t="shared" si="172"/>
        <v>0.23548989563039913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-1.1527845344971866E-13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279.20364724206644</v>
      </c>
      <c r="CZ191" s="59">
        <f t="shared" si="150"/>
        <v>173.99850582760712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4.3568097590633882E-2</v>
      </c>
      <c r="DH191" s="21">
        <f>EXP(-LN(2)/2)*DH190+(1-EXP(-LN(2)/2))/(LN(2)/2)*DB191*DE191*VLOOKUP('Données projet'!$B$13,Paramètres!$A$1:$I$89,3,0)*0.475*44/12</f>
        <v>1.1475208817911785E-23</v>
      </c>
      <c r="DI191" s="22">
        <f t="shared" si="175"/>
        <v>4.3568097590633882E-2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-1.1882548278663309E-13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291.18074901939718</v>
      </c>
      <c r="DU191" s="59">
        <f t="shared" si="152"/>
        <v>181.05123751753774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4.4908654439576472E-2</v>
      </c>
      <c r="EC191" s="21">
        <f>EXP(-LN(2)/2)*EC190+(1-EXP(-LN(2)/2))/(LN(2)/2)*DW191*DZ191*VLOOKUP('Données projet'!$B$14,Paramètres!$A$1:$I$89,3,0)*0.475*44/12</f>
        <v>1.1828292166155236E-23</v>
      </c>
      <c r="ED191" s="22">
        <f t="shared" si="178"/>
        <v>4.4908654439576472E-2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168.08890945052406</v>
      </c>
      <c r="EP191" s="59">
        <f t="shared" si="154"/>
        <v>182.52462557642343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0.27184071822885336</v>
      </c>
      <c r="EW191" s="21">
        <f>EXP(-LN(2)/25)*EW190+(1-EXP(-LN(2)/25))/(LN(2)/25)*Calculateur!ER191*Calculateur!ET191*VLOOKUP('Données projet'!$B$15,Paramètres!$A$1:$I$89,3,0)*0.475*44/12</f>
        <v>0.1543421615022858</v>
      </c>
      <c r="EX191" s="21">
        <f>EXP(-LN(2)/2)*EX190+(1-EXP(-LN(2)/2))/(LN(2)/2)*ER191*EU191*VLOOKUP('Données projet'!$B$15,Paramètres!$A$1:$I$89,3,0)*0.475*44/12</f>
        <v>9.0091423075240485E-24</v>
      </c>
      <c r="EY191" s="22">
        <f t="shared" si="181"/>
        <v>0.42618287973113916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3.813056537183002E-14</v>
      </c>
      <c r="FG191" s="13">
        <f t="shared" si="182"/>
        <v>6.4086286045526829E-13</v>
      </c>
      <c r="FH191" s="20">
        <f t="shared" si="183"/>
        <v>1.1825802166488628E-12</v>
      </c>
      <c r="FI191" s="59">
        <f t="shared" si="131"/>
        <v>293.33333333333451</v>
      </c>
      <c r="FJ191" s="59">
        <f ca="1">AVERAGE(OFFSET($FI$3,0,0,'Données projet'!$E$16+1,1))-AVERAGE(OFFSET($H$3,0,0,'Données projet'!$E$16+1,1))</f>
        <v>156.63226020379989</v>
      </c>
      <c r="FK191" s="59">
        <f t="shared" si="156"/>
        <v>196.0481096619543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0.10851944122830103</v>
      </c>
      <c r="FS191" s="21">
        <f>EXP(-LN(2)/2)*FS190+(1-EXP(-LN(2)/2))/(LN(2)/2)*FM191*FP191*VLOOKUP('Données projet'!$B$16,Paramètres!$A$1:$I$89,3,0)*0.475*44/12</f>
        <v>1.5010798272170588E-23</v>
      </c>
      <c r="FT191" s="22">
        <f t="shared" si="184"/>
        <v>0.10851944122830103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-4.5474735088646412E-13</v>
      </c>
      <c r="GA191" s="17">
        <f>FZ191*VLOOKUP('Données projet'!$B$17,Paramètres!$A$1:$I$89,3,0)*VLOOKUP('Données projet'!$B$17,Paramètres!$A$1:$I$89,5,0)</f>
        <v>-2.7193891583010558E-13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216.94426559495264</v>
      </c>
      <c r="GF191" s="59">
        <f t="shared" si="158"/>
        <v>225.33715877618704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0.16083059344683551</v>
      </c>
      <c r="GN191" s="21">
        <f>EXP(-LN(2)/2)*GN190+(1-EXP(-LN(2)/2))/(LN(2)/2)*GH191*GK191*VLOOKUP('Données projet'!$B$17,Paramètres!$A$1:$I$89,3,0)*0.475*44/12</f>
        <v>3.9256932871833625E-23</v>
      </c>
      <c r="GO191" s="21">
        <f t="shared" si="187"/>
        <v>0.16083059344683551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-1.1368683772161603E-13</v>
      </c>
      <c r="GV191" s="17">
        <f>GU191*VLOOKUP('Données projet'!$B$18,Paramètres!$A$1:$I$89,3,0)*VLOOKUP('Données projet'!$B$18,Paramètres!$A$1:$I$89,5,0)</f>
        <v>-1.0995790944434703E-13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261.22357949323879</v>
      </c>
      <c r="HA191" s="59">
        <f t="shared" si="160"/>
        <v>163.41029152029387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4.1557262317219991E-2</v>
      </c>
      <c r="HI191" s="21">
        <f>EXP(-LN(2)/2)*HI190+(1-EXP(-LN(2)/2))/(LN(2)/2)*HC191*HF191*VLOOKUP('Données projet'!$B$18,Paramètres!$A$1:$I$89,3,0)*0.475*44/12</f>
        <v>1.0945583795546625E-23</v>
      </c>
      <c r="HJ191" s="22">
        <f t="shared" si="190"/>
        <v>4.1557262317219991E-2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237.22177246688199</v>
      </c>
      <c r="T192" s="59">
        <f t="shared" si="142"/>
        <v>149.27472147904302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227.99999999999986</v>
      </c>
      <c r="AJ192" s="13">
        <f>AI192*VLOOKUP('Données projet'!$B$10,Paramètres!$A$1:$I$89,3,0)*VLOOKUP('Données projet'!$B$10,Paramètres!$A$1:$I$89,5,0)</f>
        <v>199.18079999999992</v>
      </c>
      <c r="AK192" s="13">
        <f t="shared" si="164"/>
        <v>49.564089376413683</v>
      </c>
      <c r="AL192" s="20">
        <f t="shared" si="165"/>
        <v>433.23068233058694</v>
      </c>
      <c r="AM192" s="59">
        <f t="shared" si="113"/>
        <v>726.56401566392026</v>
      </c>
      <c r="AN192" s="59">
        <f ca="1">AVERAGE(OFFSET($AM$3,0,0,'Données projet'!$E$10+1,1))-AVERAGE(OFFSET($H$3,0,0,'Données projet'!$E$10+1,1))</f>
        <v>210.07838338464626</v>
      </c>
      <c r="AO192" s="59">
        <f t="shared" si="144"/>
        <v>241.76003724236273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0.22738271792978651</v>
      </c>
      <c r="AV192" s="21">
        <f>EXP(-LN(2)/25)*AV191+(1-EXP(-LN(2)/25))/(LN(2)/25)*Calculateur!AQ192*Calculateur!AS192*VLOOKUP('Données projet'!$B$10,Paramètres!$A$1:$I$89,3,0)*0.475*44/12</f>
        <v>0.16508436222475847</v>
      </c>
      <c r="AW192" s="21">
        <f>EXP(-LN(2)/2)*AW191+(1-EXP(-LN(2)/2))/(LN(2)/2)*AQ192*AT192*VLOOKUP('Données projet'!$B$10,Paramètres!$A$1:$I$89,3,0)*0.475*44/12</f>
        <v>1.8683532711951586E-23</v>
      </c>
      <c r="AX192" s="21">
        <f t="shared" si="166"/>
        <v>0.39246708015454501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3.9017322706058616E-13</v>
      </c>
      <c r="BF192" s="13">
        <f t="shared" si="167"/>
        <v>5.0025007393608908E-12</v>
      </c>
      <c r="BG192" s="20">
        <f t="shared" si="168"/>
        <v>9.3922404915174053E-12</v>
      </c>
      <c r="BH192" s="59">
        <f t="shared" si="116"/>
        <v>293.33333333334269</v>
      </c>
      <c r="BI192" s="59">
        <f ca="1">AVERAGE(OFFSET($BH$3,0,0,'Données projet'!$E$11+1,1))-AVERAGE(OFFSET($H$3,0,0,'Données projet'!$E$11+1,1))</f>
        <v>209.93608079129638</v>
      </c>
      <c r="BJ192" s="59">
        <f t="shared" si="146"/>
        <v>240.15652428700969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0.29830186332532532</v>
      </c>
      <c r="BQ192" s="21">
        <f>EXP(-LN(2)/25)*BQ191+(1-EXP(-LN(2)/25))/(LN(2)/25)*Calculateur!BL192*Calculateur!BN192*VLOOKUP('Données projet'!$B$11,Paramètres!$A$1:$I$89,3,0)*0.475*44/12</f>
        <v>0.25308128055585266</v>
      </c>
      <c r="BR192" s="21">
        <f>EXP(-LN(2)/2)*BR191+(1-EXP(-LN(2)/2))/(LN(2)/2)*BL192*BO192*VLOOKUP('Données projet'!$B$11,Paramètres!$A$1:$I$89,3,0)*0.475*44/12</f>
        <v>2.3619418708278635E-23</v>
      </c>
      <c r="BS192" s="22">
        <f t="shared" si="169"/>
        <v>0.55138314388117804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215.23235148064941</v>
      </c>
      <c r="CE192" s="59">
        <f t="shared" si="148"/>
        <v>184.07239726900434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0.13447554535085429</v>
      </c>
      <c r="CL192" s="21">
        <f>EXP(-LN(2)/25)*CL191+(1-EXP(-LN(2)/25))/(LN(2)/25)*Calculateur!CG192*Calculateur!CI192*VLOOKUP('Données projet'!$B$12,Paramètres!$A$1:$I$89,3,0)*0.475*44/12</f>
        <v>9.5635930959643331E-2</v>
      </c>
      <c r="CM192" s="21">
        <f>EXP(-LN(2)/2)*CM191+(1-EXP(-LN(2)/2))/(LN(2)/2)*CG192*CJ192*VLOOKUP('Données projet'!$B$12,Paramètres!$A$1:$I$89,3,0)*0.475*44/12</f>
        <v>1.1501778769612849E-23</v>
      </c>
      <c r="CN192" s="22">
        <f t="shared" si="172"/>
        <v>0.23011147631049761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-1.1527845344971866E-13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279.20364724206644</v>
      </c>
      <c r="CZ192" s="59">
        <f t="shared" si="150"/>
        <v>173.99850582760712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4.2376725670871321E-2</v>
      </c>
      <c r="DH192" s="21">
        <f>EXP(-LN(2)/2)*DH191+(1-EXP(-LN(2)/2))/(LN(2)/2)*DB192*DE192*VLOOKUP('Données projet'!$B$13,Paramètres!$A$1:$I$89,3,0)*0.475*44/12</f>
        <v>8.1141979706770891E-24</v>
      </c>
      <c r="DI192" s="22">
        <f t="shared" si="175"/>
        <v>4.2376725670871321E-2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-1.1882548278663309E-13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291.18074901939718</v>
      </c>
      <c r="DU192" s="59">
        <f t="shared" si="152"/>
        <v>181.05123751753774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4.3680624922282758E-2</v>
      </c>
      <c r="EC192" s="21">
        <f>EXP(-LN(2)/2)*EC191+(1-EXP(-LN(2)/2))/(LN(2)/2)*DW192*DZ192*VLOOKUP('Données projet'!$B$14,Paramètres!$A$1:$I$89,3,0)*0.475*44/12</f>
        <v>8.3638656005440845E-24</v>
      </c>
      <c r="ED192" s="22">
        <f t="shared" si="178"/>
        <v>4.3680624922282758E-2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168.08890945052406</v>
      </c>
      <c r="EP192" s="59">
        <f t="shared" si="154"/>
        <v>182.52462557642343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0.26651008755085165</v>
      </c>
      <c r="EW192" s="21">
        <f>EXP(-LN(2)/25)*EW191+(1-EXP(-LN(2)/25))/(LN(2)/25)*Calculateur!ER192*Calculateur!ET192*VLOOKUP('Données projet'!$B$15,Paramètres!$A$1:$I$89,3,0)*0.475*44/12</f>
        <v>0.15012166697950427</v>
      </c>
      <c r="EX192" s="21">
        <f>EXP(-LN(2)/2)*EX191+(1-EXP(-LN(2)/2))/(LN(2)/2)*ER192*EU192*VLOOKUP('Données projet'!$B$15,Paramètres!$A$1:$I$89,3,0)*0.475*44/12</f>
        <v>6.3704256183248753E-24</v>
      </c>
      <c r="EY192" s="22">
        <f t="shared" si="181"/>
        <v>0.41663175453035595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3.813056537183002E-14</v>
      </c>
      <c r="FG192" s="13">
        <f t="shared" si="182"/>
        <v>6.4086286045526829E-13</v>
      </c>
      <c r="FH192" s="20">
        <f t="shared" si="183"/>
        <v>1.1825802166488628E-12</v>
      </c>
      <c r="FI192" s="59">
        <f t="shared" si="131"/>
        <v>293.33333333333451</v>
      </c>
      <c r="FJ192" s="59">
        <f ca="1">AVERAGE(OFFSET($FI$3,0,0,'Données projet'!$E$16+1,1))-AVERAGE(OFFSET($H$3,0,0,'Données projet'!$E$16+1,1))</f>
        <v>156.63226020379989</v>
      </c>
      <c r="FK192" s="59">
        <f t="shared" si="156"/>
        <v>196.0481096619543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0.10555197140112374</v>
      </c>
      <c r="FS192" s="21">
        <f>EXP(-LN(2)/2)*FS191+(1-EXP(-LN(2)/2))/(LN(2)/2)*FM192*FP192*VLOOKUP('Données projet'!$B$16,Paramètres!$A$1:$I$89,3,0)*0.475*44/12</f>
        <v>1.0614237249275133E-23</v>
      </c>
      <c r="FT192" s="22">
        <f t="shared" si="184"/>
        <v>0.10555197140112374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-4.5474735088646412E-13</v>
      </c>
      <c r="GA192" s="17">
        <f>FZ192*VLOOKUP('Données projet'!$B$17,Paramètres!$A$1:$I$89,3,0)*VLOOKUP('Données projet'!$B$17,Paramètres!$A$1:$I$89,5,0)</f>
        <v>-2.7193891583010558E-13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216.94426559495264</v>
      </c>
      <c r="GF192" s="59">
        <f t="shared" si="158"/>
        <v>225.33715877618704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0.15643267241131847</v>
      </c>
      <c r="GN192" s="21">
        <f>EXP(-LN(2)/2)*GN191+(1-EXP(-LN(2)/2))/(LN(2)/2)*GH192*GK192*VLOOKUP('Données projet'!$B$17,Paramètres!$A$1:$I$89,3,0)*0.475*44/12</f>
        <v>2.7758843442258643E-23</v>
      </c>
      <c r="GO192" s="21">
        <f t="shared" si="187"/>
        <v>0.15643267241131847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-1.1368683772161603E-13</v>
      </c>
      <c r="GV192" s="17">
        <f>GU192*VLOOKUP('Données projet'!$B$18,Paramètres!$A$1:$I$89,3,0)*VLOOKUP('Données projet'!$B$18,Paramètres!$A$1:$I$89,5,0)</f>
        <v>-1.0995790944434703E-13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261.22357949323879</v>
      </c>
      <c r="HA192" s="59">
        <f t="shared" si="160"/>
        <v>163.41029152029387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4.0420876793754168E-2</v>
      </c>
      <c r="HI192" s="21">
        <f>EXP(-LN(2)/2)*HI191+(1-EXP(-LN(2)/2))/(LN(2)/2)*HC192*HF192*VLOOKUP('Données projet'!$B$18,Paramètres!$A$1:$I$89,3,0)*0.475*44/12</f>
        <v>7.7396965258766076E-24</v>
      </c>
      <c r="HJ192" s="22">
        <f t="shared" si="190"/>
        <v>4.0420876793754168E-2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237.22177246688199</v>
      </c>
      <c r="T193" s="59">
        <f t="shared" si="142"/>
        <v>149.27472147904302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227.99999999999986</v>
      </c>
      <c r="AJ193" s="13">
        <f>AI193*VLOOKUP('Données projet'!$B$10,Paramètres!$A$1:$I$89,3,0)*VLOOKUP('Données projet'!$B$10,Paramètres!$A$1:$I$89,5,0)</f>
        <v>199.18079999999992</v>
      </c>
      <c r="AK193" s="13">
        <f t="shared" si="164"/>
        <v>49.564089376413683</v>
      </c>
      <c r="AL193" s="20">
        <f t="shared" si="165"/>
        <v>433.23068233058694</v>
      </c>
      <c r="AM193" s="59">
        <f t="shared" si="113"/>
        <v>726.56401566392026</v>
      </c>
      <c r="AN193" s="59">
        <f ca="1">AVERAGE(OFFSET($AM$3,0,0,'Données projet'!$E$10+1,1))-AVERAGE(OFFSET($H$3,0,0,'Données projet'!$E$10+1,1))</f>
        <v>210.07838338464626</v>
      </c>
      <c r="AO193" s="59">
        <f t="shared" si="144"/>
        <v>241.76003724236273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0.22292388152094686</v>
      </c>
      <c r="AV193" s="21">
        <f>EXP(-LN(2)/25)*AV192+(1-EXP(-LN(2)/25))/(LN(2)/25)*Calculateur!AQ193*Calculateur!AS193*VLOOKUP('Données projet'!$B$10,Paramètres!$A$1:$I$89,3,0)*0.475*44/12</f>
        <v>0.16057012165831314</v>
      </c>
      <c r="AW193" s="21">
        <f>EXP(-LN(2)/2)*AW192+(1-EXP(-LN(2)/2))/(LN(2)/2)*AQ193*AT193*VLOOKUP('Données projet'!$B$10,Paramètres!$A$1:$I$89,3,0)*0.475*44/12</f>
        <v>1.3211252677141654E-23</v>
      </c>
      <c r="AX193" s="21">
        <f t="shared" si="166"/>
        <v>0.38349400317925997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3.9017322706058616E-13</v>
      </c>
      <c r="BF193" s="13">
        <f t="shared" si="167"/>
        <v>5.0025007393608908E-12</v>
      </c>
      <c r="BG193" s="20">
        <f t="shared" si="168"/>
        <v>9.3922404915174053E-12</v>
      </c>
      <c r="BH193" s="59">
        <f t="shared" si="116"/>
        <v>293.33333333334269</v>
      </c>
      <c r="BI193" s="59">
        <f ca="1">AVERAGE(OFFSET($BH$3,0,0,'Données projet'!$E$11+1,1))-AVERAGE(OFFSET($H$3,0,0,'Données projet'!$E$11+1,1))</f>
        <v>209.93608079129638</v>
      </c>
      <c r="BJ193" s="59">
        <f t="shared" si="146"/>
        <v>240.15652428700969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0.2924523457316866</v>
      </c>
      <c r="BQ193" s="21">
        <f>EXP(-LN(2)/25)*BQ192+(1-EXP(-LN(2)/25))/(LN(2)/25)*Calculateur!BL193*Calculateur!BN193*VLOOKUP('Données projet'!$B$11,Paramètres!$A$1:$I$89,3,0)*0.475*44/12</f>
        <v>0.24616075963008674</v>
      </c>
      <c r="BR193" s="21">
        <f>EXP(-LN(2)/2)*BR192+(1-EXP(-LN(2)/2))/(LN(2)/2)*BL193*BO193*VLOOKUP('Données projet'!$B$11,Paramètres!$A$1:$I$89,3,0)*0.475*44/12</f>
        <v>1.6701451136308228E-23</v>
      </c>
      <c r="BS193" s="22">
        <f t="shared" si="169"/>
        <v>0.53861310536177331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215.23235148064941</v>
      </c>
      <c r="CE193" s="59">
        <f t="shared" si="148"/>
        <v>184.07239726900434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0.13183856192850771</v>
      </c>
      <c r="CL193" s="21">
        <f>EXP(-LN(2)/25)*CL192+(1-EXP(-LN(2)/25))/(LN(2)/25)*Calculateur!CG193*Calculateur!CI193*VLOOKUP('Données projet'!$B$12,Paramètres!$A$1:$I$89,3,0)*0.475*44/12</f>
        <v>9.3020761398276849E-2</v>
      </c>
      <c r="CM193" s="21">
        <f>EXP(-LN(2)/2)*CM192+(1-EXP(-LN(2)/2))/(LN(2)/2)*CG193*CJ193*VLOOKUP('Données projet'!$B$12,Paramètres!$A$1:$I$89,3,0)*0.475*44/12</f>
        <v>8.1329857637007102E-24</v>
      </c>
      <c r="CN193" s="22">
        <f t="shared" si="172"/>
        <v>0.22485932332678454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-1.1527845344971866E-13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279.20364724206644</v>
      </c>
      <c r="CZ193" s="59">
        <f t="shared" si="150"/>
        <v>173.99850582760712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4.1217931878906197E-2</v>
      </c>
      <c r="DH193" s="21">
        <f>EXP(-LN(2)/2)*DH192+(1-EXP(-LN(2)/2))/(LN(2)/2)*DB193*DE193*VLOOKUP('Données projet'!$B$13,Paramètres!$A$1:$I$89,3,0)*0.475*44/12</f>
        <v>5.7376044089558924E-24</v>
      </c>
      <c r="DI193" s="22">
        <f t="shared" si="175"/>
        <v>4.1217931878906197E-2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-1.1882548278663309E-13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291.18074901939718</v>
      </c>
      <c r="DU193" s="59">
        <f t="shared" si="152"/>
        <v>181.05123751753774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4.2486175936718704E-2</v>
      </c>
      <c r="EC193" s="21">
        <f>EXP(-LN(2)/2)*EC192+(1-EXP(-LN(2)/2))/(LN(2)/2)*DW193*DZ193*VLOOKUP('Données projet'!$B$14,Paramètres!$A$1:$I$89,3,0)*0.475*44/12</f>
        <v>5.9141460830776179E-24</v>
      </c>
      <c r="ED193" s="22">
        <f t="shared" si="178"/>
        <v>4.2486175936718704E-2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168.08890945052406</v>
      </c>
      <c r="EP193" s="59">
        <f t="shared" si="154"/>
        <v>182.52462557642343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0.26128398728908186</v>
      </c>
      <c r="EW193" s="21">
        <f>EXP(-LN(2)/25)*EW192+(1-EXP(-LN(2)/25))/(LN(2)/25)*Calculateur!ER193*Calculateur!ET193*VLOOKUP('Données projet'!$B$15,Paramètres!$A$1:$I$89,3,0)*0.475*44/12</f>
        <v>0.14601658210139437</v>
      </c>
      <c r="EX193" s="21">
        <f>EXP(-LN(2)/2)*EX192+(1-EXP(-LN(2)/2))/(LN(2)/2)*ER193*EU193*VLOOKUP('Données projet'!$B$15,Paramètres!$A$1:$I$89,3,0)*0.475*44/12</f>
        <v>4.5045711537620243E-24</v>
      </c>
      <c r="EY193" s="22">
        <f t="shared" si="181"/>
        <v>0.40730056939047621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3.813056537183002E-14</v>
      </c>
      <c r="FG193" s="13">
        <f t="shared" si="182"/>
        <v>6.4086286045526829E-13</v>
      </c>
      <c r="FH193" s="20">
        <f t="shared" si="183"/>
        <v>1.1825802166488628E-12</v>
      </c>
      <c r="FI193" s="59">
        <f t="shared" si="131"/>
        <v>293.33333333333451</v>
      </c>
      <c r="FJ193" s="59">
        <f ca="1">AVERAGE(OFFSET($FI$3,0,0,'Données projet'!$E$16+1,1))-AVERAGE(OFFSET($H$3,0,0,'Données projet'!$E$16+1,1))</f>
        <v>156.63226020379989</v>
      </c>
      <c r="FK193" s="59">
        <f t="shared" si="156"/>
        <v>196.0481096619543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0.10266564719242308</v>
      </c>
      <c r="FS193" s="21">
        <f>EXP(-LN(2)/2)*FS192+(1-EXP(-LN(2)/2))/(LN(2)/2)*FM193*FP193*VLOOKUP('Données projet'!$B$16,Paramètres!$A$1:$I$89,3,0)*0.475*44/12</f>
        <v>7.5053991360852938E-24</v>
      </c>
      <c r="FT193" s="22">
        <f t="shared" si="184"/>
        <v>0.10266564719242308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-4.5474735088646412E-13</v>
      </c>
      <c r="GA193" s="17">
        <f>FZ193*VLOOKUP('Données projet'!$B$17,Paramètres!$A$1:$I$89,3,0)*VLOOKUP('Données projet'!$B$17,Paramètres!$A$1:$I$89,5,0)</f>
        <v>-2.7193891583010558E-13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216.94426559495264</v>
      </c>
      <c r="GF193" s="59">
        <f t="shared" si="158"/>
        <v>225.33715877618704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0.15215501275779425</v>
      </c>
      <c r="GN193" s="21">
        <f>EXP(-LN(2)/2)*GN192+(1-EXP(-LN(2)/2))/(LN(2)/2)*GH193*GK193*VLOOKUP('Données projet'!$B$17,Paramètres!$A$1:$I$89,3,0)*0.475*44/12</f>
        <v>1.9628466435916812E-23</v>
      </c>
      <c r="GO193" s="21">
        <f t="shared" si="187"/>
        <v>0.15215501275779425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-1.1368683772161603E-13</v>
      </c>
      <c r="GV193" s="17">
        <f>GU193*VLOOKUP('Données projet'!$B$18,Paramètres!$A$1:$I$89,3,0)*VLOOKUP('Données projet'!$B$18,Paramètres!$A$1:$I$89,5,0)</f>
        <v>-1.0995790944434703E-13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261.22357949323879</v>
      </c>
      <c r="HA193" s="59">
        <f t="shared" si="160"/>
        <v>163.41029152029387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3.931556579218743E-2</v>
      </c>
      <c r="HI193" s="21">
        <f>EXP(-LN(2)/2)*HI192+(1-EXP(-LN(2)/2))/(LN(2)/2)*HC193*HF193*VLOOKUP('Données projet'!$B$18,Paramètres!$A$1:$I$89,3,0)*0.475*44/12</f>
        <v>5.4727918977733126E-24</v>
      </c>
      <c r="HJ193" s="22">
        <f t="shared" si="190"/>
        <v>3.931556579218743E-2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237.22177246688199</v>
      </c>
      <c r="T194" s="59">
        <f t="shared" si="142"/>
        <v>149.27472147904302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227.99999999999986</v>
      </c>
      <c r="AJ194" s="13">
        <f>AI194*VLOOKUP('Données projet'!$B$10,Paramètres!$A$1:$I$89,3,0)*VLOOKUP('Données projet'!$B$10,Paramètres!$A$1:$I$89,5,0)</f>
        <v>199.18079999999992</v>
      </c>
      <c r="AK194" s="13">
        <f t="shared" si="164"/>
        <v>49.564089376413683</v>
      </c>
      <c r="AL194" s="20">
        <f t="shared" si="165"/>
        <v>433.23068233058694</v>
      </c>
      <c r="AM194" s="59">
        <f t="shared" si="113"/>
        <v>726.56401566392026</v>
      </c>
      <c r="AN194" s="59">
        <f ca="1">AVERAGE(OFFSET($AM$3,0,0,'Données projet'!$E$10+1,1))-AVERAGE(OFFSET($H$3,0,0,'Données projet'!$E$10+1,1))</f>
        <v>210.07838338464626</v>
      </c>
      <c r="AO194" s="59">
        <f t="shared" si="144"/>
        <v>241.76003724236273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0.21855248017446288</v>
      </c>
      <c r="AV194" s="21">
        <f>EXP(-LN(2)/25)*AV193+(1-EXP(-LN(2)/25))/(LN(2)/25)*Calculateur!AQ194*Calculateur!AS194*VLOOKUP('Données projet'!$B$10,Paramètres!$A$1:$I$89,3,0)*0.475*44/12</f>
        <v>0.15617932323755085</v>
      </c>
      <c r="AW194" s="21">
        <f>EXP(-LN(2)/2)*AW193+(1-EXP(-LN(2)/2))/(LN(2)/2)*AQ194*AT194*VLOOKUP('Données projet'!$B$10,Paramètres!$A$1:$I$89,3,0)*0.475*44/12</f>
        <v>9.3417663559757944E-24</v>
      </c>
      <c r="AX194" s="21">
        <f t="shared" si="166"/>
        <v>0.37473180341201373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3.9017322706058616E-13</v>
      </c>
      <c r="BF194" s="13">
        <f t="shared" si="167"/>
        <v>5.0025007393608908E-12</v>
      </c>
      <c r="BG194" s="20">
        <f t="shared" si="168"/>
        <v>9.3922404915174053E-12</v>
      </c>
      <c r="BH194" s="59">
        <f t="shared" si="116"/>
        <v>293.33333333334269</v>
      </c>
      <c r="BI194" s="59">
        <f ca="1">AVERAGE(OFFSET($BH$3,0,0,'Données projet'!$E$11+1,1))-AVERAGE(OFFSET($H$3,0,0,'Données projet'!$E$11+1,1))</f>
        <v>209.93608079129638</v>
      </c>
      <c r="BJ194" s="59">
        <f t="shared" si="146"/>
        <v>240.15652428700969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0.28671753361020574</v>
      </c>
      <c r="BQ194" s="21">
        <f>EXP(-LN(2)/25)*BQ193+(1-EXP(-LN(2)/25))/(LN(2)/25)*Calculateur!BL194*Calculateur!BN194*VLOOKUP('Données projet'!$B$11,Paramètres!$A$1:$I$89,3,0)*0.475*44/12</f>
        <v>0.23942948071297027</v>
      </c>
      <c r="BR194" s="21">
        <f>EXP(-LN(2)/2)*BR193+(1-EXP(-LN(2)/2))/(LN(2)/2)*BL194*BO194*VLOOKUP('Données projet'!$B$11,Paramètres!$A$1:$I$89,3,0)*0.475*44/12</f>
        <v>1.1809709354139318E-23</v>
      </c>
      <c r="BS194" s="22">
        <f t="shared" si="169"/>
        <v>0.52614701432317601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215.23235148064941</v>
      </c>
      <c r="CE194" s="59">
        <f t="shared" si="148"/>
        <v>184.07239726900434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0.12925328814267226</v>
      </c>
      <c r="CL194" s="21">
        <f>EXP(-LN(2)/25)*CL193+(1-EXP(-LN(2)/25))/(LN(2)/25)*Calculateur!CG194*Calculateur!CI194*VLOOKUP('Données projet'!$B$12,Paramètres!$A$1:$I$89,3,0)*0.475*44/12</f>
        <v>9.0477103786091723E-2</v>
      </c>
      <c r="CM194" s="21">
        <f>EXP(-LN(2)/2)*CM193+(1-EXP(-LN(2)/2))/(LN(2)/2)*CG194*CJ194*VLOOKUP('Données projet'!$B$12,Paramètres!$A$1:$I$89,3,0)*0.475*44/12</f>
        <v>5.7508893848064243E-24</v>
      </c>
      <c r="CN194" s="22">
        <f t="shared" si="172"/>
        <v>0.21973039192876398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-1.1527845344971866E-13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279.20364724206644</v>
      </c>
      <c r="CZ194" s="59">
        <f t="shared" si="150"/>
        <v>173.99850582760712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4.0090825364120675E-2</v>
      </c>
      <c r="DH194" s="21">
        <f>EXP(-LN(2)/2)*DH193+(1-EXP(-LN(2)/2))/(LN(2)/2)*DB194*DE194*VLOOKUP('Données projet'!$B$13,Paramètres!$A$1:$I$89,3,0)*0.475*44/12</f>
        <v>4.0570989853385445E-24</v>
      </c>
      <c r="DI194" s="22">
        <f t="shared" si="175"/>
        <v>4.0090825364120675E-2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-1.1882548278663309E-13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291.18074901939718</v>
      </c>
      <c r="DU194" s="59">
        <f t="shared" si="152"/>
        <v>181.05123751753774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4.1324389221478242E-2</v>
      </c>
      <c r="EC194" s="21">
        <f>EXP(-LN(2)/2)*EC193+(1-EXP(-LN(2)/2))/(LN(2)/2)*DW194*DZ194*VLOOKUP('Données projet'!$B$14,Paramètres!$A$1:$I$89,3,0)*0.475*44/12</f>
        <v>4.1819328002720423E-24</v>
      </c>
      <c r="ED194" s="22">
        <f t="shared" si="178"/>
        <v>4.1324389221478242E-2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168.08890945052406</v>
      </c>
      <c r="EP194" s="59">
        <f t="shared" si="154"/>
        <v>182.52462557642343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0.25616036766583899</v>
      </c>
      <c r="EW194" s="21">
        <f>EXP(-LN(2)/25)*EW193+(1-EXP(-LN(2)/25))/(LN(2)/25)*Calculateur!ER194*Calculateur!ET194*VLOOKUP('Données projet'!$B$15,Paramètres!$A$1:$I$89,3,0)*0.475*44/12</f>
        <v>0.14202375098515341</v>
      </c>
      <c r="EX194" s="21">
        <f>EXP(-LN(2)/2)*EX193+(1-EXP(-LN(2)/2))/(LN(2)/2)*ER194*EU194*VLOOKUP('Données projet'!$B$15,Paramètres!$A$1:$I$89,3,0)*0.475*44/12</f>
        <v>3.1852128091624376E-24</v>
      </c>
      <c r="EY194" s="22">
        <f t="shared" si="181"/>
        <v>0.3981841186509924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3.813056537183002E-14</v>
      </c>
      <c r="FG194" s="13">
        <f t="shared" si="182"/>
        <v>6.4086286045526829E-13</v>
      </c>
      <c r="FH194" s="20">
        <f t="shared" si="183"/>
        <v>1.1825802166488628E-12</v>
      </c>
      <c r="FI194" s="59">
        <f t="shared" si="131"/>
        <v>293.33333333333451</v>
      </c>
      <c r="FJ194" s="59">
        <f ca="1">AVERAGE(OFFSET($FI$3,0,0,'Données projet'!$E$16+1,1))-AVERAGE(OFFSET($H$3,0,0,'Données projet'!$E$16+1,1))</f>
        <v>156.63226020379989</v>
      </c>
      <c r="FK194" s="59">
        <f t="shared" si="156"/>
        <v>196.0481096619543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9.985824967099452E-2</v>
      </c>
      <c r="FS194" s="21">
        <f>EXP(-LN(2)/2)*FS193+(1-EXP(-LN(2)/2))/(LN(2)/2)*FM194*FP194*VLOOKUP('Données projet'!$B$16,Paramètres!$A$1:$I$89,3,0)*0.475*44/12</f>
        <v>5.3071186246375667E-24</v>
      </c>
      <c r="FT194" s="22">
        <f t="shared" si="184"/>
        <v>9.985824967099452E-2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-4.5474735088646412E-13</v>
      </c>
      <c r="GA194" s="17">
        <f>FZ194*VLOOKUP('Données projet'!$B$17,Paramètres!$A$1:$I$89,3,0)*VLOOKUP('Données projet'!$B$17,Paramètres!$A$1:$I$89,5,0)</f>
        <v>-2.7193891583010558E-13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216.94426559495264</v>
      </c>
      <c r="GF194" s="59">
        <f t="shared" si="158"/>
        <v>225.33715877618704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0.14799432593244799</v>
      </c>
      <c r="GN194" s="21">
        <f>EXP(-LN(2)/2)*GN193+(1-EXP(-LN(2)/2))/(LN(2)/2)*GH194*GK194*VLOOKUP('Données projet'!$B$17,Paramètres!$A$1:$I$89,3,0)*0.475*44/12</f>
        <v>1.3879421721129321E-23</v>
      </c>
      <c r="GO194" s="21">
        <f t="shared" si="187"/>
        <v>0.14799432593244799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-1.1368683772161603E-13</v>
      </c>
      <c r="GV194" s="17">
        <f>GU194*VLOOKUP('Données projet'!$B$18,Paramètres!$A$1:$I$89,3,0)*VLOOKUP('Données projet'!$B$18,Paramètres!$A$1:$I$89,5,0)</f>
        <v>-1.0995790944434703E-13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261.22357949323879</v>
      </c>
      <c r="HA194" s="59">
        <f t="shared" si="160"/>
        <v>163.41029152029387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3.8240479578084317E-2</v>
      </c>
      <c r="HI194" s="21">
        <f>EXP(-LN(2)/2)*HI193+(1-EXP(-LN(2)/2))/(LN(2)/2)*HC194*HF194*VLOOKUP('Données projet'!$B$18,Paramètres!$A$1:$I$89,3,0)*0.475*44/12</f>
        <v>3.8698482629383038E-24</v>
      </c>
      <c r="HJ194" s="22">
        <f t="shared" si="190"/>
        <v>3.8240479578084317E-2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237.22177246688199</v>
      </c>
      <c r="T195" s="59">
        <f t="shared" si="142"/>
        <v>149.27472147904302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227.99999999999986</v>
      </c>
      <c r="AJ195" s="13">
        <f>AI195*VLOOKUP('Données projet'!$B$10,Paramètres!$A$1:$I$89,3,0)*VLOOKUP('Données projet'!$B$10,Paramètres!$A$1:$I$89,5,0)</f>
        <v>199.18079999999992</v>
      </c>
      <c r="AK195" s="13">
        <f t="shared" si="164"/>
        <v>49.564089376413683</v>
      </c>
      <c r="AL195" s="20">
        <f t="shared" si="165"/>
        <v>433.23068233058694</v>
      </c>
      <c r="AM195" s="59">
        <f t="shared" si="113"/>
        <v>726.56401566392026</v>
      </c>
      <c r="AN195" s="59">
        <f ca="1">AVERAGE(OFFSET($AM$3,0,0,'Données projet'!$E$10+1,1))-AVERAGE(OFFSET($H$3,0,0,'Données projet'!$E$10+1,1))</f>
        <v>210.07838338464626</v>
      </c>
      <c r="AO195" s="59">
        <f t="shared" si="144"/>
        <v>241.76003724236273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0.21426679934209192</v>
      </c>
      <c r="AV195" s="21">
        <f>EXP(-LN(2)/25)*AV194+(1-EXP(-LN(2)/25))/(LN(2)/25)*Calculateur!AQ195*Calculateur!AS195*VLOOKUP('Données projet'!$B$10,Paramètres!$A$1:$I$89,3,0)*0.475*44/12</f>
        <v>0.15190859143050636</v>
      </c>
      <c r="AW195" s="21">
        <f>EXP(-LN(2)/2)*AW194+(1-EXP(-LN(2)/2))/(LN(2)/2)*AQ195*AT195*VLOOKUP('Données projet'!$B$10,Paramètres!$A$1:$I$89,3,0)*0.475*44/12</f>
        <v>6.6056263385708279E-24</v>
      </c>
      <c r="AX195" s="21">
        <f t="shared" si="166"/>
        <v>0.36617539077259831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3.9017322706058616E-13</v>
      </c>
      <c r="BF195" s="13">
        <f t="shared" si="167"/>
        <v>5.0025007393608908E-12</v>
      </c>
      <c r="BG195" s="20">
        <f t="shared" si="168"/>
        <v>9.3922404915174053E-12</v>
      </c>
      <c r="BH195" s="59">
        <f t="shared" si="116"/>
        <v>293.33333333334269</v>
      </c>
      <c r="BI195" s="59">
        <f ca="1">AVERAGE(OFFSET($BH$3,0,0,'Données projet'!$E$11+1,1))-AVERAGE(OFFSET($H$3,0,0,'Données projet'!$E$11+1,1))</f>
        <v>209.93608079129638</v>
      </c>
      <c r="BJ195" s="59">
        <f t="shared" si="146"/>
        <v>240.15652428700969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0.28109517765653708</v>
      </c>
      <c r="BQ195" s="21">
        <f>EXP(-LN(2)/25)*BQ194+(1-EXP(-LN(2)/25))/(LN(2)/25)*Calculateur!BL195*Calculateur!BN195*VLOOKUP('Données projet'!$B$11,Paramètres!$A$1:$I$89,3,0)*0.475*44/12</f>
        <v>0.23288226897182493</v>
      </c>
      <c r="BR195" s="21">
        <f>EXP(-LN(2)/2)*BR194+(1-EXP(-LN(2)/2))/(LN(2)/2)*BL195*BO195*VLOOKUP('Données projet'!$B$11,Paramètres!$A$1:$I$89,3,0)*0.475*44/12</f>
        <v>8.3507255681541139E-24</v>
      </c>
      <c r="BS195" s="22">
        <f t="shared" si="169"/>
        <v>0.51397744662836198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215.23235148064941</v>
      </c>
      <c r="CE195" s="59">
        <f t="shared" si="148"/>
        <v>184.07239726900434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0.12671870999891574</v>
      </c>
      <c r="CL195" s="21">
        <f>EXP(-LN(2)/25)*CL194+(1-EXP(-LN(2)/25))/(LN(2)/25)*Calculateur!CG195*Calculateur!CI195*VLOOKUP('Données projet'!$B$12,Paramètres!$A$1:$I$89,3,0)*0.475*44/12</f>
        <v>8.8003002625076945E-2</v>
      </c>
      <c r="CM195" s="21">
        <f>EXP(-LN(2)/2)*CM194+(1-EXP(-LN(2)/2))/(LN(2)/2)*CG195*CJ195*VLOOKUP('Données projet'!$B$12,Paramètres!$A$1:$I$89,3,0)*0.475*44/12</f>
        <v>4.0664928818503551E-24</v>
      </c>
      <c r="CN195" s="22">
        <f t="shared" si="172"/>
        <v>0.2147217126239927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-1.1527845344971866E-13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279.20364724206644</v>
      </c>
      <c r="CZ195" s="59">
        <f t="shared" si="150"/>
        <v>173.99850582760712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3.8994539636253919E-2</v>
      </c>
      <c r="DH195" s="21">
        <f>EXP(-LN(2)/2)*DH194+(1-EXP(-LN(2)/2))/(LN(2)/2)*DB195*DE195*VLOOKUP('Données projet'!$B$13,Paramètres!$A$1:$I$89,3,0)*0.475*44/12</f>
        <v>2.8688022044779462E-24</v>
      </c>
      <c r="DI195" s="22">
        <f t="shared" si="175"/>
        <v>3.8994539636253919E-2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-1.1882548278663309E-13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291.18074901939718</v>
      </c>
      <c r="DU195" s="59">
        <f t="shared" si="152"/>
        <v>181.05123751753774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4.0194371625061738E-2</v>
      </c>
      <c r="EC195" s="21">
        <f>EXP(-LN(2)/2)*EC194+(1-EXP(-LN(2)/2))/(LN(2)/2)*DW195*DZ195*VLOOKUP('Données projet'!$B$14,Paramètres!$A$1:$I$89,3,0)*0.475*44/12</f>
        <v>2.957073041538809E-24</v>
      </c>
      <c r="ED195" s="22">
        <f t="shared" si="178"/>
        <v>4.0194371625061738E-2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168.08890945052406</v>
      </c>
      <c r="EP195" s="59">
        <f t="shared" si="154"/>
        <v>182.52462557642343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0.2511372190983085</v>
      </c>
      <c r="EW195" s="21">
        <f>EXP(-LN(2)/25)*EW194+(1-EXP(-LN(2)/25))/(LN(2)/25)*Calculateur!ER195*Calculateur!ET195*VLOOKUP('Données projet'!$B$15,Paramètres!$A$1:$I$89,3,0)*0.475*44/12</f>
        <v>0.13814010404575991</v>
      </c>
      <c r="EX195" s="21">
        <f>EXP(-LN(2)/2)*EX194+(1-EXP(-LN(2)/2))/(LN(2)/2)*ER195*EU195*VLOOKUP('Données projet'!$B$15,Paramètres!$A$1:$I$89,3,0)*0.475*44/12</f>
        <v>2.2522855768810121E-24</v>
      </c>
      <c r="EY195" s="22">
        <f t="shared" si="181"/>
        <v>0.38927732314406838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3.813056537183002E-14</v>
      </c>
      <c r="FG195" s="13">
        <f t="shared" si="182"/>
        <v>6.4086286045526829E-13</v>
      </c>
      <c r="FH195" s="20">
        <f t="shared" si="183"/>
        <v>1.1825802166488628E-12</v>
      </c>
      <c r="FI195" s="59">
        <f t="shared" si="131"/>
        <v>293.33333333333451</v>
      </c>
      <c r="FJ195" s="59">
        <f ca="1">AVERAGE(OFFSET($FI$3,0,0,'Données projet'!$E$16+1,1))-AVERAGE(OFFSET($H$3,0,0,'Données projet'!$E$16+1,1))</f>
        <v>156.63226020379989</v>
      </c>
      <c r="FK195" s="59">
        <f t="shared" si="156"/>
        <v>196.0481096619543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9.7127620582424051E-2</v>
      </c>
      <c r="FS195" s="21">
        <f>EXP(-LN(2)/2)*FS194+(1-EXP(-LN(2)/2))/(LN(2)/2)*FM195*FP195*VLOOKUP('Données projet'!$B$16,Paramètres!$A$1:$I$89,3,0)*0.475*44/12</f>
        <v>3.7526995680426469E-24</v>
      </c>
      <c r="FT195" s="22">
        <f t="shared" si="184"/>
        <v>9.7127620582424051E-2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-4.5474735088646412E-13</v>
      </c>
      <c r="GA195" s="17">
        <f>FZ195*VLOOKUP('Données projet'!$B$17,Paramètres!$A$1:$I$89,3,0)*VLOOKUP('Données projet'!$B$17,Paramètres!$A$1:$I$89,5,0)</f>
        <v>-2.7193891583010558E-13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216.94426559495264</v>
      </c>
      <c r="GF195" s="59">
        <f t="shared" si="158"/>
        <v>225.33715877618704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0.14394741330714184</v>
      </c>
      <c r="GN195" s="21">
        <f>EXP(-LN(2)/2)*GN194+(1-EXP(-LN(2)/2))/(LN(2)/2)*GH195*GK195*VLOOKUP('Données projet'!$B$17,Paramètres!$A$1:$I$89,3,0)*0.475*44/12</f>
        <v>9.8142332179584062E-24</v>
      </c>
      <c r="GO195" s="21">
        <f t="shared" si="187"/>
        <v>0.14394741330714184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-1.1368683772161603E-13</v>
      </c>
      <c r="GV195" s="17">
        <f>GU195*VLOOKUP('Données projet'!$B$18,Paramètres!$A$1:$I$89,3,0)*VLOOKUP('Données projet'!$B$18,Paramètres!$A$1:$I$89,5,0)</f>
        <v>-1.0995790944434703E-13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261.22357949323879</v>
      </c>
      <c r="HA195" s="59">
        <f t="shared" si="160"/>
        <v>163.41029152029387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3.7194791653042181E-2</v>
      </c>
      <c r="HI195" s="21">
        <f>EXP(-LN(2)/2)*HI194+(1-EXP(-LN(2)/2))/(LN(2)/2)*HC195*HF195*VLOOKUP('Données projet'!$B$18,Paramètres!$A$1:$I$89,3,0)*0.475*44/12</f>
        <v>2.7363959488866563E-24</v>
      </c>
      <c r="HJ195" s="22">
        <f t="shared" si="190"/>
        <v>3.7194791653042181E-2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237.22177246688199</v>
      </c>
      <c r="T196" s="59">
        <f t="shared" si="142"/>
        <v>149.27472147904302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227.99999999999986</v>
      </c>
      <c r="AJ196" s="13">
        <f>AI196*VLOOKUP('Données projet'!$B$10,Paramètres!$A$1:$I$89,3,0)*VLOOKUP('Données projet'!$B$10,Paramètres!$A$1:$I$89,5,0)</f>
        <v>199.18079999999992</v>
      </c>
      <c r="AK196" s="13">
        <f t="shared" si="164"/>
        <v>49.564089376413683</v>
      </c>
      <c r="AL196" s="20">
        <f t="shared" si="165"/>
        <v>433.23068233058694</v>
      </c>
      <c r="AM196" s="59">
        <f t="shared" ref="AM196:AM203" si="193">AL196+(AD196+AE196)*44/12</f>
        <v>726.56401566392026</v>
      </c>
      <c r="AN196" s="59">
        <f ca="1">AVERAGE(OFFSET($AM$3,0,0,'Données projet'!$E$10+1,1))-AVERAGE(OFFSET($H$3,0,0,'Données projet'!$E$10+1,1))</f>
        <v>210.07838338464626</v>
      </c>
      <c r="AO196" s="59">
        <f t="shared" si="144"/>
        <v>241.76003724236273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0.21006515809683654</v>
      </c>
      <c r="AV196" s="21">
        <f>EXP(-LN(2)/25)*AV195+(1-EXP(-LN(2)/25))/(LN(2)/25)*Calculateur!AQ196*Calculateur!AS196*VLOOKUP('Données projet'!$B$10,Paramètres!$A$1:$I$89,3,0)*0.475*44/12</f>
        <v>0.14775464300931354</v>
      </c>
      <c r="AW196" s="21">
        <f>EXP(-LN(2)/2)*AW195+(1-EXP(-LN(2)/2))/(LN(2)/2)*AQ196*AT196*VLOOKUP('Données projet'!$B$10,Paramètres!$A$1:$I$89,3,0)*0.475*44/12</f>
        <v>4.6708831779878979E-24</v>
      </c>
      <c r="AX196" s="21">
        <f t="shared" si="166"/>
        <v>0.35781980110615008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3.9017322706058616E-13</v>
      </c>
      <c r="BF196" s="13">
        <f t="shared" si="167"/>
        <v>5.0025007393608908E-12</v>
      </c>
      <c r="BG196" s="20">
        <f t="shared" si="168"/>
        <v>9.3922404915174053E-12</v>
      </c>
      <c r="BH196" s="59">
        <f t="shared" ref="BH196:BH203" si="194">BG196+(AY196+AZ196)*44/12</f>
        <v>293.33333333334269</v>
      </c>
      <c r="BI196" s="59">
        <f ca="1">AVERAGE(OFFSET($BH$3,0,0,'Données projet'!$E$11+1,1))-AVERAGE(OFFSET($H$3,0,0,'Données projet'!$E$11+1,1))</f>
        <v>209.93608079129638</v>
      </c>
      <c r="BJ196" s="59">
        <f t="shared" si="146"/>
        <v>240.15652428700969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0.27558307267382137</v>
      </c>
      <c r="BQ196" s="21">
        <f>EXP(-LN(2)/25)*BQ195+(1-EXP(-LN(2)/25))/(LN(2)/25)*Calculateur!BL196*Calculateur!BN196*VLOOKUP('Données projet'!$B$11,Paramètres!$A$1:$I$89,3,0)*0.475*44/12</f>
        <v>0.22651409108004411</v>
      </c>
      <c r="BR196" s="21">
        <f>EXP(-LN(2)/2)*BR195+(1-EXP(-LN(2)/2))/(LN(2)/2)*BL196*BO196*VLOOKUP('Données projet'!$B$11,Paramètres!$A$1:$I$89,3,0)*0.475*44/12</f>
        <v>5.9048546770696588E-24</v>
      </c>
      <c r="BS196" s="22">
        <f t="shared" si="169"/>
        <v>0.50209716375386548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215.23235148064941</v>
      </c>
      <c r="CE196" s="59">
        <f t="shared" si="148"/>
        <v>184.07239726900434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0.12423383338661827</v>
      </c>
      <c r="CL196" s="21">
        <f>EXP(-LN(2)/25)*CL195+(1-EXP(-LN(2)/25))/(LN(2)/25)*Calculateur!CG196*Calculateur!CI196*VLOOKUP('Données projet'!$B$12,Paramètres!$A$1:$I$89,3,0)*0.475*44/12</f>
        <v>8.5596555890417439E-2</v>
      </c>
      <c r="CM196" s="21">
        <f>EXP(-LN(2)/2)*CM195+(1-EXP(-LN(2)/2))/(LN(2)/2)*CG196*CJ196*VLOOKUP('Données projet'!$B$12,Paramètres!$A$1:$I$89,3,0)*0.475*44/12</f>
        <v>2.8754446924032122E-24</v>
      </c>
      <c r="CN196" s="22">
        <f t="shared" si="172"/>
        <v>0.20983038927703571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-1.1527845344971866E-13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279.20364724206644</v>
      </c>
      <c r="CZ196" s="59">
        <f t="shared" si="150"/>
        <v>173.99850582760712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3.7928231899266841E-2</v>
      </c>
      <c r="DH196" s="21">
        <f>EXP(-LN(2)/2)*DH195+(1-EXP(-LN(2)/2))/(LN(2)/2)*DB196*DE196*VLOOKUP('Données projet'!$B$13,Paramètres!$A$1:$I$89,3,0)*0.475*44/12</f>
        <v>2.0285494926692723E-24</v>
      </c>
      <c r="DI196" s="22">
        <f t="shared" si="175"/>
        <v>3.7928231899266841E-2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-1.1882548278663309E-13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291.18074901939718</v>
      </c>
      <c r="DU196" s="59">
        <f t="shared" si="152"/>
        <v>181.05123751753774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3.9095254419244288E-2</v>
      </c>
      <c r="EC196" s="21">
        <f>EXP(-LN(2)/2)*EC195+(1-EXP(-LN(2)/2))/(LN(2)/2)*DW196*DZ196*VLOOKUP('Données projet'!$B$14,Paramètres!$A$1:$I$89,3,0)*0.475*44/12</f>
        <v>2.0909664001360211E-24</v>
      </c>
      <c r="ED196" s="22">
        <f t="shared" si="178"/>
        <v>3.9095254419244288E-2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168.08890945052406</v>
      </c>
      <c r="EP196" s="59">
        <f t="shared" si="154"/>
        <v>182.52462557642343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0.24621257141036917</v>
      </c>
      <c r="EW196" s="21">
        <f>EXP(-LN(2)/25)*EW195+(1-EXP(-LN(2)/25))/(LN(2)/25)*Calculateur!ER196*Calculateur!ET196*VLOOKUP('Données projet'!$B$15,Paramètres!$A$1:$I$89,3,0)*0.475*44/12</f>
        <v>0.13436265563615626</v>
      </c>
      <c r="EX196" s="21">
        <f>EXP(-LN(2)/2)*EX195+(1-EXP(-LN(2)/2))/(LN(2)/2)*ER196*EU196*VLOOKUP('Données projet'!$B$15,Paramètres!$A$1:$I$89,3,0)*0.475*44/12</f>
        <v>1.5926064045812188E-24</v>
      </c>
      <c r="EY196" s="22">
        <f t="shared" si="181"/>
        <v>0.38057522704652547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3.813056537183002E-14</v>
      </c>
      <c r="FG196" s="13">
        <f t="shared" si="182"/>
        <v>6.4086286045526829E-13</v>
      </c>
      <c r="FH196" s="20">
        <f t="shared" si="183"/>
        <v>1.1825802166488628E-12</v>
      </c>
      <c r="FI196" s="59">
        <f t="shared" ref="FI196:FI203" si="199">FH196+(EZ196+FA196)*44/12</f>
        <v>293.33333333333451</v>
      </c>
      <c r="FJ196" s="59">
        <f ca="1">AVERAGE(OFFSET($FI$3,0,0,'Données projet'!$E$16+1,1))-AVERAGE(OFFSET($H$3,0,0,'Données projet'!$E$16+1,1))</f>
        <v>156.63226020379989</v>
      </c>
      <c r="FK196" s="59">
        <f t="shared" si="156"/>
        <v>196.0481096619543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9.4471660689878084E-2</v>
      </c>
      <c r="FS196" s="21">
        <f>EXP(-LN(2)/2)*FS195+(1-EXP(-LN(2)/2))/(LN(2)/2)*FM196*FP196*VLOOKUP('Données projet'!$B$16,Paramètres!$A$1:$I$89,3,0)*0.475*44/12</f>
        <v>2.6535593123187833E-24</v>
      </c>
      <c r="FT196" s="22">
        <f t="shared" si="184"/>
        <v>9.4471660689878084E-2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-4.5474735088646412E-13</v>
      </c>
      <c r="GA196" s="17">
        <f>FZ196*VLOOKUP('Données projet'!$B$17,Paramètres!$A$1:$I$89,3,0)*VLOOKUP('Données projet'!$B$17,Paramètres!$A$1:$I$89,5,0)</f>
        <v>-2.7193891583010558E-13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216.94426559495264</v>
      </c>
      <c r="GF196" s="59">
        <f t="shared" si="158"/>
        <v>225.33715877618704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0.14001116372039257</v>
      </c>
      <c r="GN196" s="21">
        <f>EXP(-LN(2)/2)*GN195+(1-EXP(-LN(2)/2))/(LN(2)/2)*GH196*GK196*VLOOKUP('Données projet'!$B$17,Paramètres!$A$1:$I$89,3,0)*0.475*44/12</f>
        <v>6.9397108605646607E-24</v>
      </c>
      <c r="GO196" s="21">
        <f t="shared" si="187"/>
        <v>0.14001116372039257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-1.1368683772161603E-13</v>
      </c>
      <c r="GV196" s="17">
        <f>GU196*VLOOKUP('Données projet'!$B$18,Paramètres!$A$1:$I$89,3,0)*VLOOKUP('Données projet'!$B$18,Paramètres!$A$1:$I$89,5,0)</f>
        <v>-1.0995790944434703E-13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261.22357949323879</v>
      </c>
      <c r="HA196" s="59">
        <f t="shared" si="160"/>
        <v>163.41029152029387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3.6177698119300661E-2</v>
      </c>
      <c r="HI196" s="21">
        <f>EXP(-LN(2)/2)*HI195+(1-EXP(-LN(2)/2))/(LN(2)/2)*HC196*HF196*VLOOKUP('Données projet'!$B$18,Paramètres!$A$1:$I$89,3,0)*0.475*44/12</f>
        <v>1.9349241314691519E-24</v>
      </c>
      <c r="HJ196" s="22">
        <f t="shared" si="190"/>
        <v>3.6177698119300661E-2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237.22177246688199</v>
      </c>
      <c r="T197" s="59">
        <f t="shared" ref="T197:T203" si="204">$T$3</f>
        <v>149.27472147904302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227.99999999999986</v>
      </c>
      <c r="AJ197" s="13">
        <f>AI197*VLOOKUP('Données projet'!$B$10,Paramètres!$A$1:$I$89,3,0)*VLOOKUP('Données projet'!$B$10,Paramètres!$A$1:$I$89,5,0)</f>
        <v>199.18079999999992</v>
      </c>
      <c r="AK197" s="13">
        <f t="shared" si="164"/>
        <v>49.564089376413683</v>
      </c>
      <c r="AL197" s="20">
        <f t="shared" si="165"/>
        <v>433.23068233058694</v>
      </c>
      <c r="AM197" s="59">
        <f t="shared" si="193"/>
        <v>726.56401566392026</v>
      </c>
      <c r="AN197" s="59">
        <f ca="1">AVERAGE(OFFSET($AM$3,0,0,'Données projet'!$E$10+1,1))-AVERAGE(OFFSET($H$3,0,0,'Données projet'!$E$10+1,1))</f>
        <v>210.07838338464626</v>
      </c>
      <c r="AO197" s="59">
        <f t="shared" ref="AO197:AO203" si="205">$AO$3</f>
        <v>241.76003724236273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0.20594590847365252</v>
      </c>
      <c r="AV197" s="21">
        <f>EXP(-LN(2)/25)*AV196+(1-EXP(-LN(2)/25))/(LN(2)/25)*Calculateur!AQ197*Calculateur!AS197*VLOOKUP('Données projet'!$B$10,Paramètres!$A$1:$I$89,3,0)*0.475*44/12</f>
        <v>0.14371428452614488</v>
      </c>
      <c r="AW197" s="21">
        <f>EXP(-LN(2)/2)*AW196+(1-EXP(-LN(2)/2))/(LN(2)/2)*AQ197*AT197*VLOOKUP('Données projet'!$B$10,Paramètres!$A$1:$I$89,3,0)*0.475*44/12</f>
        <v>3.3028131692854143E-24</v>
      </c>
      <c r="AX197" s="21">
        <f t="shared" si="166"/>
        <v>0.34966019299979739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3.9017322706058616E-13</v>
      </c>
      <c r="BF197" s="13">
        <f t="shared" si="167"/>
        <v>5.0025007393608908E-12</v>
      </c>
      <c r="BG197" s="20">
        <f t="shared" si="168"/>
        <v>9.3922404915174053E-12</v>
      </c>
      <c r="BH197" s="59">
        <f t="shared" si="194"/>
        <v>293.33333333334269</v>
      </c>
      <c r="BI197" s="59">
        <f ca="1">AVERAGE(OFFSET($BH$3,0,0,'Données projet'!$E$11+1,1))-AVERAGE(OFFSET($H$3,0,0,'Données projet'!$E$11+1,1))</f>
        <v>209.93608079129638</v>
      </c>
      <c r="BJ197" s="59">
        <f t="shared" ref="BJ197:BJ203" si="206">$BJ$3</f>
        <v>240.15652428700969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0.27017905670776465</v>
      </c>
      <c r="BQ197" s="21">
        <f>EXP(-LN(2)/25)*BQ196+(1-EXP(-LN(2)/25))/(LN(2)/25)*Calculateur!BL197*Calculateur!BN197*VLOOKUP('Données projet'!$B$11,Paramètres!$A$1:$I$89,3,0)*0.475*44/12</f>
        <v>0.22032005134760196</v>
      </c>
      <c r="BR197" s="21">
        <f>EXP(-LN(2)/2)*BR196+(1-EXP(-LN(2)/2))/(LN(2)/2)*BL197*BO197*VLOOKUP('Données projet'!$B$11,Paramètres!$A$1:$I$89,3,0)*0.475*44/12</f>
        <v>4.1753627840770569E-24</v>
      </c>
      <c r="BS197" s="22">
        <f t="shared" si="169"/>
        <v>0.49049910805536662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215.23235148064941</v>
      </c>
      <c r="CE197" s="59">
        <f t="shared" ref="CE197:CE203" si="207">$CE$3</f>
        <v>184.07239726900434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0.12179768368906288</v>
      </c>
      <c r="CL197" s="21">
        <f>EXP(-LN(2)/25)*CL196+(1-EXP(-LN(2)/25))/(LN(2)/25)*Calculateur!CG197*Calculateur!CI197*VLOOKUP('Données projet'!$B$12,Paramètres!$A$1:$I$89,3,0)*0.475*44/12</f>
        <v>8.325591356826674E-2</v>
      </c>
      <c r="CM197" s="21">
        <f>EXP(-LN(2)/2)*CM196+(1-EXP(-LN(2)/2))/(LN(2)/2)*CG197*CJ197*VLOOKUP('Données projet'!$B$12,Paramètres!$A$1:$I$89,3,0)*0.475*44/12</f>
        <v>2.0332464409251776E-24</v>
      </c>
      <c r="CN197" s="22">
        <f t="shared" si="172"/>
        <v>0.20505359725732963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-1.1527845344971866E-13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279.20364724206644</v>
      </c>
      <c r="CZ197" s="59">
        <f t="shared" ref="CZ197:CZ203" si="208">$CZ$3</f>
        <v>173.99850582760712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3.6891082403422357E-2</v>
      </c>
      <c r="DH197" s="21">
        <f>EXP(-LN(2)/2)*DH196+(1-EXP(-LN(2)/2))/(LN(2)/2)*DB197*DE197*VLOOKUP('Données projet'!$B$13,Paramètres!$A$1:$I$89,3,0)*0.475*44/12</f>
        <v>1.4344011022389731E-24</v>
      </c>
      <c r="DI197" s="22">
        <f t="shared" si="175"/>
        <v>3.6891082403422357E-2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-1.1882548278663309E-13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291.18074901939718</v>
      </c>
      <c r="DU197" s="59">
        <f t="shared" ref="DU197:DU203" si="209">$DU$3</f>
        <v>181.05123751753774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3.8026192631219979E-2</v>
      </c>
      <c r="EC197" s="21">
        <f>EXP(-LN(2)/2)*EC196+(1-EXP(-LN(2)/2))/(LN(2)/2)*DW197*DZ197*VLOOKUP('Données projet'!$B$14,Paramètres!$A$1:$I$89,3,0)*0.475*44/12</f>
        <v>1.4785365207694045E-24</v>
      </c>
      <c r="ED197" s="22">
        <f t="shared" si="178"/>
        <v>3.8026192631219979E-2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168.08890945052406</v>
      </c>
      <c r="EP197" s="59">
        <f t="shared" ref="EP197:EP203" si="210">$EP$3</f>
        <v>182.52462557642343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0.24138449305985185</v>
      </c>
      <c r="EW197" s="21">
        <f>EXP(-LN(2)/25)*EW196+(1-EXP(-LN(2)/25))/(LN(2)/25)*Calculateur!ER197*Calculateur!ET197*VLOOKUP('Données projet'!$B$15,Paramètres!$A$1:$I$89,3,0)*0.475*44/12</f>
        <v>0.13068850175196059</v>
      </c>
      <c r="EX197" s="21">
        <f>EXP(-LN(2)/2)*EX196+(1-EXP(-LN(2)/2))/(LN(2)/2)*ER197*EU197*VLOOKUP('Données projet'!$B$15,Paramètres!$A$1:$I$89,3,0)*0.475*44/12</f>
        <v>1.1261427884405061E-24</v>
      </c>
      <c r="EY197" s="22">
        <f t="shared" si="181"/>
        <v>0.37207299481181244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3.813056537183002E-14</v>
      </c>
      <c r="FG197" s="13">
        <f t="shared" si="182"/>
        <v>6.4086286045526829E-13</v>
      </c>
      <c r="FH197" s="20">
        <f t="shared" si="183"/>
        <v>1.1825802166488628E-12</v>
      </c>
      <c r="FI197" s="59">
        <f t="shared" si="199"/>
        <v>293.33333333333451</v>
      </c>
      <c r="FJ197" s="59">
        <f ca="1">AVERAGE(OFFSET($FI$3,0,0,'Données projet'!$E$16+1,1))-AVERAGE(OFFSET($H$3,0,0,'Données projet'!$E$16+1,1))</f>
        <v>156.63226020379989</v>
      </c>
      <c r="FK197" s="59">
        <f t="shared" ref="FK197:FK203" si="211">$FK$3</f>
        <v>196.0481096619543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9.1888328160264654E-2</v>
      </c>
      <c r="FS197" s="21">
        <f>EXP(-LN(2)/2)*FS196+(1-EXP(-LN(2)/2))/(LN(2)/2)*FM197*FP197*VLOOKUP('Données projet'!$B$16,Paramètres!$A$1:$I$89,3,0)*0.475*44/12</f>
        <v>1.8763497840213234E-24</v>
      </c>
      <c r="FT197" s="22">
        <f t="shared" si="184"/>
        <v>9.1888328160264654E-2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-4.5474735088646412E-13</v>
      </c>
      <c r="GA197" s="17">
        <f>FZ197*VLOOKUP('Données projet'!$B$17,Paramètres!$A$1:$I$89,3,0)*VLOOKUP('Données projet'!$B$17,Paramètres!$A$1:$I$89,5,0)</f>
        <v>-2.7193891583010558E-13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216.94426559495264</v>
      </c>
      <c r="GF197" s="59">
        <f t="shared" ref="GF197:GF203" si="212">$GF$3</f>
        <v>225.33715877618704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0.13618255108559132</v>
      </c>
      <c r="GN197" s="21">
        <f>EXP(-LN(2)/2)*GN196+(1-EXP(-LN(2)/2))/(LN(2)/2)*GH197*GK197*VLOOKUP('Données projet'!$B$17,Paramètres!$A$1:$I$89,3,0)*0.475*44/12</f>
        <v>4.9071166089792031E-24</v>
      </c>
      <c r="GO197" s="21">
        <f t="shared" si="187"/>
        <v>0.13618255108559132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-1.1368683772161603E-13</v>
      </c>
      <c r="GV197" s="17">
        <f>GU197*VLOOKUP('Données projet'!$B$18,Paramètres!$A$1:$I$89,3,0)*VLOOKUP('Données projet'!$B$18,Paramètres!$A$1:$I$89,5,0)</f>
        <v>-1.0995790944434703E-13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261.22357949323879</v>
      </c>
      <c r="HA197" s="59">
        <f t="shared" ref="HA197:HA203" si="213">$HA$3</f>
        <v>163.41029152029387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3.5188417061725923E-2</v>
      </c>
      <c r="HI197" s="21">
        <f>EXP(-LN(2)/2)*HI196+(1-EXP(-LN(2)/2))/(LN(2)/2)*HC197*HF197*VLOOKUP('Données projet'!$B$18,Paramètres!$A$1:$I$89,3,0)*0.475*44/12</f>
        <v>1.3681979744433281E-24</v>
      </c>
      <c r="HJ197" s="22">
        <f t="shared" si="190"/>
        <v>3.5188417061725923E-2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237.22177246688199</v>
      </c>
      <c r="T198" s="59">
        <f t="shared" si="204"/>
        <v>149.27472147904302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227.99999999999986</v>
      </c>
      <c r="AJ198" s="13">
        <f>AI198*VLOOKUP('Données projet'!$B$10,Paramètres!$A$1:$I$89,3,0)*VLOOKUP('Données projet'!$B$10,Paramètres!$A$1:$I$89,5,0)</f>
        <v>199.18079999999992</v>
      </c>
      <c r="AK198" s="13">
        <f t="shared" si="164"/>
        <v>49.564089376413683</v>
      </c>
      <c r="AL198" s="20">
        <f t="shared" si="165"/>
        <v>433.23068233058694</v>
      </c>
      <c r="AM198" s="59">
        <f t="shared" si="193"/>
        <v>726.56401566392026</v>
      </c>
      <c r="AN198" s="59">
        <f ca="1">AVERAGE(OFFSET($AM$3,0,0,'Données projet'!$E$10+1,1))-AVERAGE(OFFSET($H$3,0,0,'Données projet'!$E$10+1,1))</f>
        <v>210.07838338464626</v>
      </c>
      <c r="AO198" s="59">
        <f t="shared" si="205"/>
        <v>241.76003724236273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0.20190743482308496</v>
      </c>
      <c r="AV198" s="21">
        <f>EXP(-LN(2)/25)*AV197+(1-EXP(-LN(2)/25))/(LN(2)/25)*Calculateur!AQ198*Calculateur!AS198*VLOOKUP('Données projet'!$B$10,Paramètres!$A$1:$I$89,3,0)*0.475*44/12</f>
        <v>0.13978440985817167</v>
      </c>
      <c r="AW198" s="21">
        <f>EXP(-LN(2)/2)*AW197+(1-EXP(-LN(2)/2))/(LN(2)/2)*AQ198*AT198*VLOOKUP('Données projet'!$B$10,Paramètres!$A$1:$I$89,3,0)*0.475*44/12</f>
        <v>2.3354415889939493E-24</v>
      </c>
      <c r="AX198" s="21">
        <f t="shared" si="166"/>
        <v>0.34169184468125663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3.9017322706058616E-13</v>
      </c>
      <c r="BF198" s="13">
        <f t="shared" si="167"/>
        <v>5.0025007393608908E-12</v>
      </c>
      <c r="BG198" s="20">
        <f t="shared" si="168"/>
        <v>9.3922404915174053E-12</v>
      </c>
      <c r="BH198" s="59">
        <f t="shared" si="194"/>
        <v>293.33333333334269</v>
      </c>
      <c r="BI198" s="59">
        <f ca="1">AVERAGE(OFFSET($BH$3,0,0,'Données projet'!$E$11+1,1))-AVERAGE(OFFSET($H$3,0,0,'Données projet'!$E$11+1,1))</f>
        <v>209.93608079129638</v>
      </c>
      <c r="BJ198" s="59">
        <f t="shared" si="206"/>
        <v>240.15652428700969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0.26488101019867805</v>
      </c>
      <c r="BQ198" s="21">
        <f>EXP(-LN(2)/25)*BQ197+(1-EXP(-LN(2)/25))/(LN(2)/25)*Calculateur!BL198*Calculateur!BN198*VLOOKUP('Données projet'!$B$11,Paramètres!$A$1:$I$89,3,0)*0.475*44/12</f>
        <v>0.21429538795737382</v>
      </c>
      <c r="BR198" s="21">
        <f>EXP(-LN(2)/2)*BR197+(1-EXP(-LN(2)/2))/(LN(2)/2)*BL198*BO198*VLOOKUP('Données projet'!$B$11,Paramètres!$A$1:$I$89,3,0)*0.475*44/12</f>
        <v>2.9524273385348294E-24</v>
      </c>
      <c r="BS198" s="22">
        <f t="shared" si="169"/>
        <v>0.47917639815605184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215.23235148064941</v>
      </c>
      <c r="CE198" s="59">
        <f t="shared" si="207"/>
        <v>184.07239726900434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0.11940930540117195</v>
      </c>
      <c r="CL198" s="21">
        <f>EXP(-LN(2)/25)*CL197+(1-EXP(-LN(2)/25))/(LN(2)/25)*Calculateur!CG198*Calculateur!CI198*VLOOKUP('Données projet'!$B$12,Paramètres!$A$1:$I$89,3,0)*0.475*44/12</f>
        <v>8.0979276233504274E-2</v>
      </c>
      <c r="CM198" s="21">
        <f>EXP(-LN(2)/2)*CM197+(1-EXP(-LN(2)/2))/(LN(2)/2)*CG198*CJ198*VLOOKUP('Données projet'!$B$12,Paramètres!$A$1:$I$89,3,0)*0.475*44/12</f>
        <v>1.4377223462016061E-24</v>
      </c>
      <c r="CN198" s="22">
        <f t="shared" si="172"/>
        <v>0.20038858163467621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-1.1527845344971866E-13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279.20364724206644</v>
      </c>
      <c r="CZ198" s="59">
        <f t="shared" si="208"/>
        <v>173.99850582760712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3.5882293815083066E-2</v>
      </c>
      <c r="DH198" s="21">
        <f>EXP(-LN(2)/2)*DH197+(1-EXP(-LN(2)/2))/(LN(2)/2)*DB198*DE198*VLOOKUP('Données projet'!$B$13,Paramètres!$A$1:$I$89,3,0)*0.475*44/12</f>
        <v>1.0142747463346361E-24</v>
      </c>
      <c r="DI198" s="22">
        <f t="shared" si="175"/>
        <v>3.5882293815083066E-2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-1.1882548278663309E-13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291.18074901939718</v>
      </c>
      <c r="DU198" s="59">
        <f t="shared" si="209"/>
        <v>181.05123751753774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3.6986364394008708E-2</v>
      </c>
      <c r="EC198" s="21">
        <f>EXP(-LN(2)/2)*EC197+(1-EXP(-LN(2)/2))/(LN(2)/2)*DW198*DZ198*VLOOKUP('Données projet'!$B$14,Paramètres!$A$1:$I$89,3,0)*0.475*44/12</f>
        <v>1.0454832000680106E-24</v>
      </c>
      <c r="ED198" s="22">
        <f t="shared" si="178"/>
        <v>3.6986364394008708E-2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168.08890945052406</v>
      </c>
      <c r="EP198" s="59">
        <f t="shared" si="210"/>
        <v>182.52462557642343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0.23665109038095117</v>
      </c>
      <c r="EW198" s="21">
        <f>EXP(-LN(2)/25)*EW197+(1-EXP(-LN(2)/25))/(LN(2)/25)*Calculateur!ER198*Calculateur!ET198*VLOOKUP('Données projet'!$B$15,Paramètres!$A$1:$I$89,3,0)*0.475*44/12</f>
        <v>0.12711481779894362</v>
      </c>
      <c r="EX198" s="21">
        <f>EXP(-LN(2)/2)*EX197+(1-EXP(-LN(2)/2))/(LN(2)/2)*ER198*EU198*VLOOKUP('Données projet'!$B$15,Paramètres!$A$1:$I$89,3,0)*0.475*44/12</f>
        <v>7.9630320229060941E-25</v>
      </c>
      <c r="EY198" s="22">
        <f t="shared" si="181"/>
        <v>0.36376590817989479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3.813056537183002E-14</v>
      </c>
      <c r="FG198" s="13">
        <f t="shared" si="182"/>
        <v>6.4086286045526829E-13</v>
      </c>
      <c r="FH198" s="20">
        <f t="shared" si="183"/>
        <v>1.1825802166488628E-12</v>
      </c>
      <c r="FI198" s="59">
        <f t="shared" si="199"/>
        <v>293.33333333333451</v>
      </c>
      <c r="FJ198" s="59">
        <f ca="1">AVERAGE(OFFSET($FI$3,0,0,'Données projet'!$E$16+1,1))-AVERAGE(OFFSET($H$3,0,0,'Données projet'!$E$16+1,1))</f>
        <v>156.63226020379989</v>
      </c>
      <c r="FK198" s="59">
        <f t="shared" si="211"/>
        <v>196.0481096619543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8.9375636994525054E-2</v>
      </c>
      <c r="FS198" s="21">
        <f>EXP(-LN(2)/2)*FS197+(1-EXP(-LN(2)/2))/(LN(2)/2)*FM198*FP198*VLOOKUP('Données projet'!$B$16,Paramètres!$A$1:$I$89,3,0)*0.475*44/12</f>
        <v>1.3267796561593917E-24</v>
      </c>
      <c r="FT198" s="22">
        <f t="shared" si="184"/>
        <v>8.9375636994525054E-2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-4.5474735088646412E-13</v>
      </c>
      <c r="GA198" s="17">
        <f>FZ198*VLOOKUP('Données projet'!$B$17,Paramètres!$A$1:$I$89,3,0)*VLOOKUP('Données projet'!$B$17,Paramètres!$A$1:$I$89,5,0)</f>
        <v>-2.7193891583010558E-13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216.94426559495264</v>
      </c>
      <c r="GF198" s="59">
        <f t="shared" si="212"/>
        <v>225.33715877618704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0.13245863206462671</v>
      </c>
      <c r="GN198" s="21">
        <f>EXP(-LN(2)/2)*GN197+(1-EXP(-LN(2)/2))/(LN(2)/2)*GH198*GK198*VLOOKUP('Données projet'!$B$17,Paramètres!$A$1:$I$89,3,0)*0.475*44/12</f>
        <v>3.4698554302823304E-24</v>
      </c>
      <c r="GO198" s="21">
        <f t="shared" si="187"/>
        <v>0.13245863206462671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-1.1368683772161603E-13</v>
      </c>
      <c r="GV198" s="17">
        <f>GU198*VLOOKUP('Données projet'!$B$18,Paramètres!$A$1:$I$89,3,0)*VLOOKUP('Données projet'!$B$18,Paramètres!$A$1:$I$89,5,0)</f>
        <v>-1.0995790944434703E-13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261.22357949323879</v>
      </c>
      <c r="HA198" s="59">
        <f t="shared" si="213"/>
        <v>163.41029152029387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3.4226187946694596E-2</v>
      </c>
      <c r="HI198" s="21">
        <f>EXP(-LN(2)/2)*HI197+(1-EXP(-LN(2)/2))/(LN(2)/2)*HC198*HF198*VLOOKUP('Données projet'!$B$18,Paramètres!$A$1:$I$89,3,0)*0.475*44/12</f>
        <v>9.6746206573457596E-25</v>
      </c>
      <c r="HJ198" s="22">
        <f t="shared" si="190"/>
        <v>3.4226187946694596E-2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237.22177246688199</v>
      </c>
      <c r="T199" s="59">
        <f t="shared" si="204"/>
        <v>149.27472147904302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227.99999999999986</v>
      </c>
      <c r="AJ199" s="13">
        <f>AI199*VLOOKUP('Données projet'!$B$10,Paramètres!$A$1:$I$89,3,0)*VLOOKUP('Données projet'!$B$10,Paramètres!$A$1:$I$89,5,0)</f>
        <v>199.18079999999992</v>
      </c>
      <c r="AK199" s="13">
        <f t="shared" si="164"/>
        <v>49.564089376413683</v>
      </c>
      <c r="AL199" s="20">
        <f t="shared" si="165"/>
        <v>433.23068233058694</v>
      </c>
      <c r="AM199" s="59">
        <f t="shared" si="193"/>
        <v>726.56401566392026</v>
      </c>
      <c r="AN199" s="59">
        <f ca="1">AVERAGE(OFFSET($AM$3,0,0,'Données projet'!$E$10+1,1))-AVERAGE(OFFSET($H$3,0,0,'Données projet'!$E$10+1,1))</f>
        <v>210.07838338464626</v>
      </c>
      <c r="AO199" s="59">
        <f t="shared" si="205"/>
        <v>241.76003724236273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0.19794815317757933</v>
      </c>
      <c r="AV199" s="21">
        <f>EXP(-LN(2)/25)*AV198+(1-EXP(-LN(2)/25))/(LN(2)/25)*Calculateur!AQ199*Calculateur!AS199*VLOOKUP('Données projet'!$B$10,Paramètres!$A$1:$I$89,3,0)*0.475*44/12</f>
        <v>0.13596199781965734</v>
      </c>
      <c r="AW199" s="21">
        <f>EXP(-LN(2)/2)*AW198+(1-EXP(-LN(2)/2))/(LN(2)/2)*AQ199*AT199*VLOOKUP('Données projet'!$B$10,Paramètres!$A$1:$I$89,3,0)*0.475*44/12</f>
        <v>1.6514065846427075E-24</v>
      </c>
      <c r="AX199" s="21">
        <f t="shared" si="166"/>
        <v>0.33391015099723664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3.9017322706058616E-13</v>
      </c>
      <c r="BF199" s="13">
        <f t="shared" si="167"/>
        <v>5.0025007393608908E-12</v>
      </c>
      <c r="BG199" s="20">
        <f t="shared" si="168"/>
        <v>9.3922404915174053E-12</v>
      </c>
      <c r="BH199" s="59">
        <f t="shared" si="194"/>
        <v>293.33333333334269</v>
      </c>
      <c r="BI199" s="59">
        <f ca="1">AVERAGE(OFFSET($BH$3,0,0,'Données projet'!$E$11+1,1))-AVERAGE(OFFSET($H$3,0,0,'Données projet'!$E$11+1,1))</f>
        <v>209.93608079129638</v>
      </c>
      <c r="BJ199" s="59">
        <f t="shared" si="206"/>
        <v>240.15652428700969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0.25968685515014533</v>
      </c>
      <c r="BQ199" s="21">
        <f>EXP(-LN(2)/25)*BQ198+(1-EXP(-LN(2)/25))/(LN(2)/25)*Calculateur!BL199*Calculateur!BN199*VLOOKUP('Données projet'!$B$11,Paramètres!$A$1:$I$89,3,0)*0.475*44/12</f>
        <v>0.20843546930437476</v>
      </c>
      <c r="BR199" s="21">
        <f>EXP(-LN(2)/2)*BR198+(1-EXP(-LN(2)/2))/(LN(2)/2)*BL199*BO199*VLOOKUP('Données projet'!$B$11,Paramètres!$A$1:$I$89,3,0)*0.475*44/12</f>
        <v>2.0876813920385285E-24</v>
      </c>
      <c r="BS199" s="22">
        <f t="shared" si="169"/>
        <v>0.46812232445452007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215.23235148064941</v>
      </c>
      <c r="CE199" s="59">
        <f t="shared" si="207"/>
        <v>184.07239726900434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0.11706776175473965</v>
      </c>
      <c r="CL199" s="21">
        <f>EXP(-LN(2)/25)*CL198+(1-EXP(-LN(2)/25))/(LN(2)/25)*Calculateur!CG199*Calculateur!CI199*VLOOKUP('Données projet'!$B$12,Paramètres!$A$1:$I$89,3,0)*0.475*44/12</f>
        <v>7.8764893666384048E-2</v>
      </c>
      <c r="CM199" s="21">
        <f>EXP(-LN(2)/2)*CM198+(1-EXP(-LN(2)/2))/(LN(2)/2)*CG199*CJ199*VLOOKUP('Données projet'!$B$12,Paramètres!$A$1:$I$89,3,0)*0.475*44/12</f>
        <v>1.0166232204625888E-24</v>
      </c>
      <c r="CN199" s="22">
        <f t="shared" si="172"/>
        <v>0.19583265542112371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-1.1527845344971866E-13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279.20364724206644</v>
      </c>
      <c r="CZ199" s="59">
        <f t="shared" si="208"/>
        <v>173.99850582760712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3.4901090603741795E-2</v>
      </c>
      <c r="DH199" s="21">
        <f>EXP(-LN(2)/2)*DH198+(1-EXP(-LN(2)/2))/(LN(2)/2)*DB199*DE199*VLOOKUP('Données projet'!$B$13,Paramètres!$A$1:$I$89,3,0)*0.475*44/12</f>
        <v>7.1720055111948655E-25</v>
      </c>
      <c r="DI199" s="22">
        <f t="shared" si="175"/>
        <v>3.4901090603741795E-2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-1.1882548278663309E-13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291.18074901939718</v>
      </c>
      <c r="DU199" s="59">
        <f t="shared" si="209"/>
        <v>181.05123751753774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3.5974970314626167E-2</v>
      </c>
      <c r="EC199" s="21">
        <f>EXP(-LN(2)/2)*EC198+(1-EXP(-LN(2)/2))/(LN(2)/2)*DW199*DZ199*VLOOKUP('Données projet'!$B$14,Paramètres!$A$1:$I$89,3,0)*0.475*44/12</f>
        <v>7.3926826038470224E-25</v>
      </c>
      <c r="ED199" s="22">
        <f t="shared" si="178"/>
        <v>3.5974970314626167E-2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168.08890945052406</v>
      </c>
      <c r="EP199" s="59">
        <f t="shared" si="210"/>
        <v>182.52462557642343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0.23201050684149316</v>
      </c>
      <c r="EW199" s="21">
        <f>EXP(-LN(2)/25)*EW198+(1-EXP(-LN(2)/25))/(LN(2)/25)*Calculateur!ER199*Calculateur!ET199*VLOOKUP('Données projet'!$B$15,Paramètres!$A$1:$I$89,3,0)*0.475*44/12</f>
        <v>0.12363885642155377</v>
      </c>
      <c r="EX199" s="21">
        <f>EXP(-LN(2)/2)*EX198+(1-EXP(-LN(2)/2))/(LN(2)/2)*ER199*EU199*VLOOKUP('Données projet'!$B$15,Paramètres!$A$1:$I$89,3,0)*0.475*44/12</f>
        <v>5.6307139422025303E-25</v>
      </c>
      <c r="EY199" s="22">
        <f t="shared" si="181"/>
        <v>0.35564936326304691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3.813056537183002E-14</v>
      </c>
      <c r="FG199" s="13">
        <f t="shared" si="182"/>
        <v>6.4086286045526829E-13</v>
      </c>
      <c r="FH199" s="20">
        <f t="shared" si="183"/>
        <v>1.1825802166488628E-12</v>
      </c>
      <c r="FI199" s="59">
        <f t="shared" si="199"/>
        <v>293.33333333333451</v>
      </c>
      <c r="FJ199" s="59">
        <f ca="1">AVERAGE(OFFSET($FI$3,0,0,'Données projet'!$E$16+1,1))-AVERAGE(OFFSET($H$3,0,0,'Données projet'!$E$16+1,1))</f>
        <v>156.63226020379989</v>
      </c>
      <c r="FK199" s="59">
        <f t="shared" si="211"/>
        <v>196.0481096619543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8.6931655500849289E-2</v>
      </c>
      <c r="FS199" s="21">
        <f>EXP(-LN(2)/2)*FS198+(1-EXP(-LN(2)/2))/(LN(2)/2)*FM199*FP199*VLOOKUP('Données projet'!$B$16,Paramètres!$A$1:$I$89,3,0)*0.475*44/12</f>
        <v>9.3817489201066172E-25</v>
      </c>
      <c r="FT199" s="22">
        <f t="shared" si="184"/>
        <v>8.6931655500849289E-2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-4.5474735088646412E-13</v>
      </c>
      <c r="GA199" s="17">
        <f>FZ199*VLOOKUP('Données projet'!$B$17,Paramètres!$A$1:$I$89,3,0)*VLOOKUP('Données projet'!$B$17,Paramètres!$A$1:$I$89,5,0)</f>
        <v>-2.7193891583010558E-13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216.94426559495264</v>
      </c>
      <c r="GF199" s="59">
        <f t="shared" si="212"/>
        <v>225.33715877618704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0.12883654380512277</v>
      </c>
      <c r="GN199" s="21">
        <f>EXP(-LN(2)/2)*GN198+(1-EXP(-LN(2)/2))/(LN(2)/2)*GH199*GK199*VLOOKUP('Données projet'!$B$17,Paramètres!$A$1:$I$89,3,0)*0.475*44/12</f>
        <v>2.4535583044896015E-24</v>
      </c>
      <c r="GO199" s="21">
        <f t="shared" si="187"/>
        <v>0.12883654380512277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-1.1368683772161603E-13</v>
      </c>
      <c r="GV199" s="17">
        <f>GU199*VLOOKUP('Données projet'!$B$18,Paramètres!$A$1:$I$89,3,0)*VLOOKUP('Données projet'!$B$18,Paramètres!$A$1:$I$89,5,0)</f>
        <v>-1.0995790944434703E-13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261.22357949323879</v>
      </c>
      <c r="HA199" s="59">
        <f t="shared" si="213"/>
        <v>163.41029152029387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3.3290271037415234E-2</v>
      </c>
      <c r="HI199" s="21">
        <f>EXP(-LN(2)/2)*HI198+(1-EXP(-LN(2)/2))/(LN(2)/2)*HC199*HF199*VLOOKUP('Données projet'!$B$18,Paramètres!$A$1:$I$89,3,0)*0.475*44/12</f>
        <v>6.8409898722166407E-25</v>
      </c>
      <c r="HJ199" s="22">
        <f t="shared" si="190"/>
        <v>3.3290271037415234E-2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237.22177246688199</v>
      </c>
      <c r="T200" s="59">
        <f t="shared" si="204"/>
        <v>149.27472147904302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227.99999999999986</v>
      </c>
      <c r="AJ200" s="13">
        <f>AI200*VLOOKUP('Données projet'!$B$10,Paramètres!$A$1:$I$89,3,0)*VLOOKUP('Données projet'!$B$10,Paramètres!$A$1:$I$89,5,0)</f>
        <v>199.18079999999992</v>
      </c>
      <c r="AK200" s="13">
        <f t="shared" si="164"/>
        <v>49.564089376413683</v>
      </c>
      <c r="AL200" s="20">
        <f t="shared" si="165"/>
        <v>433.23068233058694</v>
      </c>
      <c r="AM200" s="59">
        <f t="shared" si="193"/>
        <v>726.56401566392026</v>
      </c>
      <c r="AN200" s="59">
        <f ca="1">AVERAGE(OFFSET($AM$3,0,0,'Données projet'!$E$10+1,1))-AVERAGE(OFFSET($H$3,0,0,'Données projet'!$E$10+1,1))</f>
        <v>210.07838338464626</v>
      </c>
      <c r="AO200" s="59">
        <f t="shared" si="205"/>
        <v>241.76003724236273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0.19406651063021871</v>
      </c>
      <c r="AV200" s="21">
        <f>EXP(-LN(2)/25)*AV199+(1-EXP(-LN(2)/25))/(LN(2)/25)*Calculateur!AQ200*Calculateur!AS200*VLOOKUP('Données projet'!$B$10,Paramètres!$A$1:$I$89,3,0)*0.475*44/12</f>
        <v>0.13224410983934809</v>
      </c>
      <c r="AW200" s="21">
        <f>EXP(-LN(2)/2)*AW199+(1-EXP(-LN(2)/2))/(LN(2)/2)*AQ200*AT200*VLOOKUP('Données projet'!$B$10,Paramètres!$A$1:$I$89,3,0)*0.475*44/12</f>
        <v>1.1677207944969748E-24</v>
      </c>
      <c r="AX200" s="21">
        <f t="shared" si="166"/>
        <v>0.32631062046956683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3.9017322706058616E-13</v>
      </c>
      <c r="BF200" s="13">
        <f t="shared" si="167"/>
        <v>5.0025007393608908E-12</v>
      </c>
      <c r="BG200" s="20">
        <f t="shared" si="168"/>
        <v>9.3922404915174053E-12</v>
      </c>
      <c r="BH200" s="59">
        <f t="shared" si="194"/>
        <v>293.33333333334269</v>
      </c>
      <c r="BI200" s="59">
        <f ca="1">AVERAGE(OFFSET($BH$3,0,0,'Données projet'!$E$11+1,1))-AVERAGE(OFFSET($H$3,0,0,'Données projet'!$E$11+1,1))</f>
        <v>209.93608079129638</v>
      </c>
      <c r="BJ200" s="59">
        <f t="shared" si="206"/>
        <v>240.15652428700969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0.25459455431399258</v>
      </c>
      <c r="BQ200" s="21">
        <f>EXP(-LN(2)/25)*BQ199+(1-EXP(-LN(2)/25))/(LN(2)/25)*Calculateur!BL200*Calculateur!BN200*VLOOKUP('Données projet'!$B$11,Paramètres!$A$1:$I$89,3,0)*0.475*44/12</f>
        <v>0.20273579043510168</v>
      </c>
      <c r="BR200" s="21">
        <f>EXP(-LN(2)/2)*BR199+(1-EXP(-LN(2)/2))/(LN(2)/2)*BL200*BO200*VLOOKUP('Données projet'!$B$11,Paramètres!$A$1:$I$89,3,0)*0.475*44/12</f>
        <v>1.4762136692674147E-24</v>
      </c>
      <c r="BS200" s="22">
        <f t="shared" si="169"/>
        <v>0.45733034474909429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215.23235148064941</v>
      </c>
      <c r="CE200" s="59">
        <f t="shared" si="207"/>
        <v>184.07239726900434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0.11477213435101329</v>
      </c>
      <c r="CL200" s="21">
        <f>EXP(-LN(2)/25)*CL199+(1-EXP(-LN(2)/25))/(LN(2)/25)*Calculateur!CG200*Calculateur!CI200*VLOOKUP('Données projet'!$B$12,Paramètres!$A$1:$I$89,3,0)*0.475*44/12</f>
        <v>7.6611063507011037E-2</v>
      </c>
      <c r="CM200" s="21">
        <f>EXP(-LN(2)/2)*CM199+(1-EXP(-LN(2)/2))/(LN(2)/2)*CG200*CJ200*VLOOKUP('Données projet'!$B$12,Paramètres!$A$1:$I$89,3,0)*0.475*44/12</f>
        <v>7.1886117310080304E-25</v>
      </c>
      <c r="CN200" s="22">
        <f t="shared" si="172"/>
        <v>0.19138319785802432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-1.1527845344971866E-13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279.20364724206644</v>
      </c>
      <c r="CZ200" s="59">
        <f t="shared" si="208"/>
        <v>173.99850582760712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3.3946718445813887E-2</v>
      </c>
      <c r="DH200" s="21">
        <f>EXP(-LN(2)/2)*DH199+(1-EXP(-LN(2)/2))/(LN(2)/2)*DB200*DE200*VLOOKUP('Données projet'!$B$13,Paramètres!$A$1:$I$89,3,0)*0.475*44/12</f>
        <v>5.0713737316731807E-25</v>
      </c>
      <c r="DI200" s="22">
        <f t="shared" si="175"/>
        <v>3.3946718445813887E-2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-1.1882548278663309E-13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291.18074901939718</v>
      </c>
      <c r="DU200" s="59">
        <f t="shared" si="209"/>
        <v>181.05123751753774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3.4991232859531249E-2</v>
      </c>
      <c r="EC200" s="21">
        <f>EXP(-LN(2)/2)*EC199+(1-EXP(-LN(2)/2))/(LN(2)/2)*DW200*DZ200*VLOOKUP('Données projet'!$B$14,Paramètres!$A$1:$I$89,3,0)*0.475*44/12</f>
        <v>5.2274160003400528E-25</v>
      </c>
      <c r="ED200" s="22">
        <f t="shared" si="178"/>
        <v>3.4991232859531249E-2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168.08890945052406</v>
      </c>
      <c r="EP200" s="59">
        <f t="shared" si="210"/>
        <v>182.52462557642343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0.22746092231476747</v>
      </c>
      <c r="EW200" s="21">
        <f>EXP(-LN(2)/25)*EW199+(1-EXP(-LN(2)/25))/(LN(2)/25)*Calculateur!ER200*Calculateur!ET200*VLOOKUP('Données projet'!$B$15,Paramètres!$A$1:$I$89,3,0)*0.475*44/12</f>
        <v>0.12025794539082151</v>
      </c>
      <c r="EX200" s="21">
        <f>EXP(-LN(2)/2)*EX199+(1-EXP(-LN(2)/2))/(LN(2)/2)*ER200*EU200*VLOOKUP('Données projet'!$B$15,Paramètres!$A$1:$I$89,3,0)*0.475*44/12</f>
        <v>3.9815160114530471E-25</v>
      </c>
      <c r="EY200" s="22">
        <f t="shared" si="181"/>
        <v>0.34771886770558896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3.813056537183002E-14</v>
      </c>
      <c r="FG200" s="13">
        <f t="shared" si="182"/>
        <v>6.4086286045526829E-13</v>
      </c>
      <c r="FH200" s="20">
        <f t="shared" si="183"/>
        <v>1.1825802166488628E-12</v>
      </c>
      <c r="FI200" s="59">
        <f t="shared" si="199"/>
        <v>293.33333333333451</v>
      </c>
      <c r="FJ200" s="59">
        <f ca="1">AVERAGE(OFFSET($FI$3,0,0,'Données projet'!$E$16+1,1))-AVERAGE(OFFSET($H$3,0,0,'Données projet'!$E$16+1,1))</f>
        <v>156.63226020379989</v>
      </c>
      <c r="FK200" s="59">
        <f t="shared" si="211"/>
        <v>196.0481096619543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8.4554504809641481E-2</v>
      </c>
      <c r="FS200" s="21">
        <f>EXP(-LN(2)/2)*FS199+(1-EXP(-LN(2)/2))/(LN(2)/2)*FM200*FP200*VLOOKUP('Données projet'!$B$16,Paramètres!$A$1:$I$89,3,0)*0.475*44/12</f>
        <v>6.6338982807969583E-25</v>
      </c>
      <c r="FT200" s="22">
        <f t="shared" si="184"/>
        <v>8.4554504809641481E-2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-4.5474735088646412E-13</v>
      </c>
      <c r="GA200" s="17">
        <f>FZ200*VLOOKUP('Données projet'!$B$17,Paramètres!$A$1:$I$89,3,0)*VLOOKUP('Données projet'!$B$17,Paramètres!$A$1:$I$89,5,0)</f>
        <v>-2.7193891583010558E-13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216.94426559495264</v>
      </c>
      <c r="GF200" s="59">
        <f t="shared" si="212"/>
        <v>225.33715877618704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0.1253135017395523</v>
      </c>
      <c r="GN200" s="21">
        <f>EXP(-LN(2)/2)*GN199+(1-EXP(-LN(2)/2))/(LN(2)/2)*GH200*GK200*VLOOKUP('Données projet'!$B$17,Paramètres!$A$1:$I$89,3,0)*0.475*44/12</f>
        <v>1.7349277151411652E-24</v>
      </c>
      <c r="GO200" s="21">
        <f t="shared" si="187"/>
        <v>0.1253135017395523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-1.1368683772161603E-13</v>
      </c>
      <c r="GV200" s="17">
        <f>GU200*VLOOKUP('Données projet'!$B$18,Paramètres!$A$1:$I$89,3,0)*VLOOKUP('Données projet'!$B$18,Paramètres!$A$1:$I$89,5,0)</f>
        <v>-1.0995790944434703E-13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261.22357949323879</v>
      </c>
      <c r="HA200" s="59">
        <f t="shared" si="213"/>
        <v>163.41029152029387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3.2379946825237843E-2</v>
      </c>
      <c r="HI200" s="21">
        <f>EXP(-LN(2)/2)*HI199+(1-EXP(-LN(2)/2))/(LN(2)/2)*HC200*HF200*VLOOKUP('Données projet'!$B$18,Paramètres!$A$1:$I$89,3,0)*0.475*44/12</f>
        <v>4.8373103286728798E-25</v>
      </c>
      <c r="HJ200" s="22">
        <f t="shared" si="190"/>
        <v>3.2379946825237843E-2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237.22177246688199</v>
      </c>
      <c r="T201" s="59">
        <f t="shared" si="204"/>
        <v>149.27472147904302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227.99999999999986</v>
      </c>
      <c r="AJ201" s="13">
        <f>AI201*VLOOKUP('Données projet'!$B$10,Paramètres!$A$1:$I$89,3,0)*VLOOKUP('Données projet'!$B$10,Paramètres!$A$1:$I$89,5,0)</f>
        <v>199.18079999999992</v>
      </c>
      <c r="AK201" s="13">
        <f t="shared" si="164"/>
        <v>49.564089376413683</v>
      </c>
      <c r="AL201" s="20">
        <f t="shared" si="165"/>
        <v>433.23068233058694</v>
      </c>
      <c r="AM201" s="59">
        <f t="shared" si="193"/>
        <v>726.56401566392026</v>
      </c>
      <c r="AN201" s="59">
        <f ca="1">AVERAGE(OFFSET($AM$3,0,0,'Données projet'!$E$10+1,1))-AVERAGE(OFFSET($H$3,0,0,'Données projet'!$E$10+1,1))</f>
        <v>210.07838338464626</v>
      </c>
      <c r="AO201" s="59">
        <f t="shared" si="205"/>
        <v>241.76003724236273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0.19026098472564365</v>
      </c>
      <c r="AV201" s="21">
        <f>EXP(-LN(2)/25)*AV200+(1-EXP(-LN(2)/25))/(LN(2)/25)*Calculateur!AQ201*Calculateur!AS201*VLOOKUP('Données projet'!$B$10,Paramètres!$A$1:$I$89,3,0)*0.475*44/12</f>
        <v>0.12862788770137562</v>
      </c>
      <c r="AW201" s="21">
        <f>EXP(-LN(2)/2)*AW200+(1-EXP(-LN(2)/2))/(LN(2)/2)*AQ201*AT201*VLOOKUP('Données projet'!$B$10,Paramètres!$A$1:$I$89,3,0)*0.475*44/12</f>
        <v>8.2570329232135386E-25</v>
      </c>
      <c r="AX201" s="21">
        <f t="shared" si="166"/>
        <v>0.31888887242701924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3.9017322706058616E-13</v>
      </c>
      <c r="BF201" s="13">
        <f t="shared" si="167"/>
        <v>5.0025007393608908E-12</v>
      </c>
      <c r="BG201" s="20">
        <f t="shared" si="168"/>
        <v>9.3922404915174053E-12</v>
      </c>
      <c r="BH201" s="59">
        <f t="shared" si="194"/>
        <v>293.33333333334269</v>
      </c>
      <c r="BI201" s="59">
        <f ca="1">AVERAGE(OFFSET($BH$3,0,0,'Données projet'!$E$11+1,1))-AVERAGE(OFFSET($H$3,0,0,'Données projet'!$E$11+1,1))</f>
        <v>209.93608079129638</v>
      </c>
      <c r="BJ201" s="59">
        <f t="shared" si="206"/>
        <v>240.15652428700969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0.24960211039123997</v>
      </c>
      <c r="BQ201" s="21">
        <f>EXP(-LN(2)/25)*BQ200+(1-EXP(-LN(2)/25))/(LN(2)/25)*Calculateur!BL201*Calculateur!BN201*VLOOKUP('Données projet'!$B$11,Paramètres!$A$1:$I$89,3,0)*0.475*44/12</f>
        <v>0.19719196958424196</v>
      </c>
      <c r="BR201" s="21">
        <f>EXP(-LN(2)/2)*BR200+(1-EXP(-LN(2)/2))/(LN(2)/2)*BL201*BO201*VLOOKUP('Données projet'!$B$11,Paramètres!$A$1:$I$89,3,0)*0.475*44/12</f>
        <v>1.0438406960192642E-24</v>
      </c>
      <c r="BS201" s="22">
        <f t="shared" si="169"/>
        <v>0.44679407997548193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215.23235148064941</v>
      </c>
      <c r="CE201" s="59">
        <f t="shared" si="207"/>
        <v>184.07239726900434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0.11252152280047954</v>
      </c>
      <c r="CL201" s="21">
        <f>EXP(-LN(2)/25)*CL200+(1-EXP(-LN(2)/25))/(LN(2)/25)*Calculateur!CG201*Calculateur!CI201*VLOOKUP('Données projet'!$B$12,Paramètres!$A$1:$I$89,3,0)*0.475*44/12</f>
        <v>7.4516129946611082E-2</v>
      </c>
      <c r="CM201" s="21">
        <f>EXP(-LN(2)/2)*CM200+(1-EXP(-LN(2)/2))/(LN(2)/2)*CG201*CJ201*VLOOKUP('Données projet'!$B$12,Paramètres!$A$1:$I$89,3,0)*0.475*44/12</f>
        <v>5.0831161023129439E-25</v>
      </c>
      <c r="CN201" s="22">
        <f t="shared" si="172"/>
        <v>0.18703765274709061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-1.1527845344971866E-13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279.20364724206644</v>
      </c>
      <c r="CZ201" s="59">
        <f t="shared" si="208"/>
        <v>173.99850582760712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3.3018443644732769E-2</v>
      </c>
      <c r="DH201" s="21">
        <f>EXP(-LN(2)/2)*DH200+(1-EXP(-LN(2)/2))/(LN(2)/2)*DB201*DE201*VLOOKUP('Données projet'!$B$13,Paramètres!$A$1:$I$89,3,0)*0.475*44/12</f>
        <v>3.5860027555974328E-25</v>
      </c>
      <c r="DI201" s="22">
        <f t="shared" si="175"/>
        <v>3.3018443644732769E-2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-1.1882548278663309E-13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291.18074901939718</v>
      </c>
      <c r="DU201" s="59">
        <f t="shared" si="209"/>
        <v>181.05123751753774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3.4034395756878402E-2</v>
      </c>
      <c r="EC201" s="21">
        <f>EXP(-LN(2)/2)*EC200+(1-EXP(-LN(2)/2))/(LN(2)/2)*DW201*DZ201*VLOOKUP('Données projet'!$B$14,Paramètres!$A$1:$I$89,3,0)*0.475*44/12</f>
        <v>3.6963413019235112E-25</v>
      </c>
      <c r="ED201" s="22">
        <f t="shared" si="178"/>
        <v>3.4034395756878402E-2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168.08890945052406</v>
      </c>
      <c r="EP201" s="59">
        <f t="shared" si="210"/>
        <v>182.52462557642343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0.22300055236563832</v>
      </c>
      <c r="EW201" s="21">
        <f>EXP(-LN(2)/25)*EW200+(1-EXP(-LN(2)/25))/(LN(2)/25)*Calculateur!ER201*Calculateur!ET201*VLOOKUP('Données projet'!$B$15,Paramètres!$A$1:$I$89,3,0)*0.475*44/12</f>
        <v>0.116969485550019</v>
      </c>
      <c r="EX201" s="21">
        <f>EXP(-LN(2)/2)*EX200+(1-EXP(-LN(2)/2))/(LN(2)/2)*ER201*EU201*VLOOKUP('Données projet'!$B$15,Paramètres!$A$1:$I$89,3,0)*0.475*44/12</f>
        <v>2.8153569711012652E-25</v>
      </c>
      <c r="EY201" s="22">
        <f t="shared" si="181"/>
        <v>0.33997003791565733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3.813056537183002E-14</v>
      </c>
      <c r="FG201" s="13">
        <f t="shared" si="182"/>
        <v>6.4086286045526829E-13</v>
      </c>
      <c r="FH201" s="20">
        <f t="shared" si="183"/>
        <v>1.1825802166488628E-12</v>
      </c>
      <c r="FI201" s="59">
        <f t="shared" si="199"/>
        <v>293.33333333333451</v>
      </c>
      <c r="FJ201" s="59">
        <f ca="1">AVERAGE(OFFSET($FI$3,0,0,'Données projet'!$E$16+1,1))-AVERAGE(OFFSET($H$3,0,0,'Données projet'!$E$16+1,1))</f>
        <v>156.63226020379989</v>
      </c>
      <c r="FK201" s="59">
        <f t="shared" si="211"/>
        <v>196.0481096619543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8.2242357429093679E-2</v>
      </c>
      <c r="FS201" s="21">
        <f>EXP(-LN(2)/2)*FS200+(1-EXP(-LN(2)/2))/(LN(2)/2)*FM201*FP201*VLOOKUP('Données projet'!$B$16,Paramètres!$A$1:$I$89,3,0)*0.475*44/12</f>
        <v>4.6908744600533086E-25</v>
      </c>
      <c r="FT201" s="22">
        <f t="shared" si="184"/>
        <v>8.2242357429093679E-2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-4.5474735088646412E-13</v>
      </c>
      <c r="GA201" s="17">
        <f>FZ201*VLOOKUP('Données projet'!$B$17,Paramètres!$A$1:$I$89,3,0)*VLOOKUP('Données projet'!$B$17,Paramètres!$A$1:$I$89,5,0)</f>
        <v>-2.7193891583010558E-13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216.94426559495264</v>
      </c>
      <c r="GF201" s="59">
        <f t="shared" si="212"/>
        <v>225.33715877618704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0.1218867974445336</v>
      </c>
      <c r="GN201" s="21">
        <f>EXP(-LN(2)/2)*GN200+(1-EXP(-LN(2)/2))/(LN(2)/2)*GH201*GK201*VLOOKUP('Données projet'!$B$17,Paramètres!$A$1:$I$89,3,0)*0.475*44/12</f>
        <v>1.2267791522448008E-24</v>
      </c>
      <c r="GO201" s="21">
        <f t="shared" si="187"/>
        <v>0.1218867974445336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-1.1368683772161603E-13</v>
      </c>
      <c r="GV201" s="17">
        <f>GU201*VLOOKUP('Données projet'!$B$18,Paramètres!$A$1:$I$89,3,0)*VLOOKUP('Données projet'!$B$18,Paramètres!$A$1:$I$89,5,0)</f>
        <v>-1.0995790944434703E-13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261.22357949323879</v>
      </c>
      <c r="HA201" s="59">
        <f t="shared" si="213"/>
        <v>163.41029152029387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3.1494515476514315E-2</v>
      </c>
      <c r="HI201" s="21">
        <f>EXP(-LN(2)/2)*HI200+(1-EXP(-LN(2)/2))/(LN(2)/2)*HC201*HF201*VLOOKUP('Données projet'!$B$18,Paramètres!$A$1:$I$89,3,0)*0.475*44/12</f>
        <v>3.4204949361083204E-25</v>
      </c>
      <c r="HJ201" s="22">
        <f t="shared" si="190"/>
        <v>3.1494515476514315E-2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237.22177246688199</v>
      </c>
      <c r="T202" s="59">
        <f t="shared" si="204"/>
        <v>149.27472147904302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227.99999999999986</v>
      </c>
      <c r="AJ202" s="13">
        <f>AI202*VLOOKUP('Données projet'!$B$10,Paramètres!$A$1:$I$89,3,0)*VLOOKUP('Données projet'!$B$10,Paramètres!$A$1:$I$89,5,0)</f>
        <v>199.18079999999992</v>
      </c>
      <c r="AK202" s="13">
        <f t="shared" si="164"/>
        <v>49.564089376413683</v>
      </c>
      <c r="AL202" s="20">
        <f t="shared" si="165"/>
        <v>433.23068233058694</v>
      </c>
      <c r="AM202" s="59">
        <f t="shared" si="193"/>
        <v>726.56401566392026</v>
      </c>
      <c r="AN202" s="59">
        <f ca="1">AVERAGE(OFFSET($AM$3,0,0,'Données projet'!$E$10+1,1))-AVERAGE(OFFSET($H$3,0,0,'Données projet'!$E$10+1,1))</f>
        <v>210.07838338464626</v>
      </c>
      <c r="AO202" s="59">
        <f t="shared" si="205"/>
        <v>241.76003724236273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0.1865300828629157</v>
      </c>
      <c r="AV202" s="21">
        <f>EXP(-LN(2)/25)*AV201+(1-EXP(-LN(2)/25))/(LN(2)/25)*Calculateur!AQ202*Calculateur!AS202*VLOOKUP('Données projet'!$B$10,Paramètres!$A$1:$I$89,3,0)*0.475*44/12</f>
        <v>0.12511055134793486</v>
      </c>
      <c r="AW202" s="21">
        <f>EXP(-LN(2)/2)*AW201+(1-EXP(-LN(2)/2))/(LN(2)/2)*AQ202*AT202*VLOOKUP('Données projet'!$B$10,Paramètres!$A$1:$I$89,3,0)*0.475*44/12</f>
        <v>5.8386039724848752E-25</v>
      </c>
      <c r="AX202" s="21">
        <f t="shared" si="166"/>
        <v>0.31164063421085053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3.9017322706058616E-13</v>
      </c>
      <c r="BF202" s="13">
        <f t="shared" si="167"/>
        <v>5.0025007393608908E-12</v>
      </c>
      <c r="BG202" s="20">
        <f t="shared" si="168"/>
        <v>9.3922404915174053E-12</v>
      </c>
      <c r="BH202" s="59">
        <f t="shared" si="194"/>
        <v>293.33333333334269</v>
      </c>
      <c r="BI202" s="59">
        <f ca="1">AVERAGE(OFFSET($BH$3,0,0,'Données projet'!$E$11+1,1))-AVERAGE(OFFSET($H$3,0,0,'Données projet'!$E$11+1,1))</f>
        <v>209.93608079129638</v>
      </c>
      <c r="BJ202" s="59">
        <f t="shared" si="206"/>
        <v>240.15652428700969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0.24470756524872242</v>
      </c>
      <c r="BQ202" s="21">
        <f>EXP(-LN(2)/25)*BQ201+(1-EXP(-LN(2)/25))/(LN(2)/25)*Calculateur!BL202*Calculateur!BN202*VLOOKUP('Données projet'!$B$11,Paramètres!$A$1:$I$89,3,0)*0.475*44/12</f>
        <v>0.19179974480608586</v>
      </c>
      <c r="BR202" s="21">
        <f>EXP(-LN(2)/2)*BR201+(1-EXP(-LN(2)/2))/(LN(2)/2)*BL202*BO202*VLOOKUP('Données projet'!$B$11,Paramètres!$A$1:$I$89,3,0)*0.475*44/12</f>
        <v>7.3810683463370735E-25</v>
      </c>
      <c r="BS202" s="22">
        <f t="shared" si="169"/>
        <v>0.43650731005480825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215.23235148064941</v>
      </c>
      <c r="CE202" s="59">
        <f t="shared" si="207"/>
        <v>184.07239726900434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0.11031504436971426</v>
      </c>
      <c r="CL202" s="21">
        <f>EXP(-LN(2)/25)*CL201+(1-EXP(-LN(2)/25))/(LN(2)/25)*Calculateur!CG202*Calculateur!CI202*VLOOKUP('Données projet'!$B$12,Paramètres!$A$1:$I$89,3,0)*0.475*44/12</f>
        <v>7.2478482454588031E-2</v>
      </c>
      <c r="CM202" s="21">
        <f>EXP(-LN(2)/2)*CM201+(1-EXP(-LN(2)/2))/(LN(2)/2)*CG202*CJ202*VLOOKUP('Données projet'!$B$12,Paramètres!$A$1:$I$89,3,0)*0.475*44/12</f>
        <v>3.5943058655040152E-25</v>
      </c>
      <c r="CN202" s="22">
        <f t="shared" si="172"/>
        <v>0.18279352682430228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-1.1527845344971866E-13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279.20364724206644</v>
      </c>
      <c r="CZ202" s="59">
        <f t="shared" si="208"/>
        <v>173.99850582760712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3.2115552566903065E-2</v>
      </c>
      <c r="DH202" s="21">
        <f>EXP(-LN(2)/2)*DH201+(1-EXP(-LN(2)/2))/(LN(2)/2)*DB202*DE202*VLOOKUP('Données projet'!$B$13,Paramètres!$A$1:$I$89,3,0)*0.475*44/12</f>
        <v>2.5356868658365903E-25</v>
      </c>
      <c r="DI202" s="22">
        <f t="shared" si="175"/>
        <v>3.2115552566903065E-2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-1.1882548278663309E-13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291.18074901939718</v>
      </c>
      <c r="DU202" s="59">
        <f t="shared" si="209"/>
        <v>181.05123751753774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3.3103723415115478E-2</v>
      </c>
      <c r="EC202" s="21">
        <f>EXP(-LN(2)/2)*EC201+(1-EXP(-LN(2)/2))/(LN(2)/2)*DW202*DZ202*VLOOKUP('Données projet'!$B$14,Paramètres!$A$1:$I$89,3,0)*0.475*44/12</f>
        <v>2.6137080001700264E-25</v>
      </c>
      <c r="ED202" s="22">
        <f t="shared" si="178"/>
        <v>3.3103723415115478E-2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168.08890945052406</v>
      </c>
      <c r="EP202" s="59">
        <f t="shared" si="210"/>
        <v>182.52462557642343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0.21862764755065453</v>
      </c>
      <c r="EW202" s="21">
        <f>EXP(-LN(2)/25)*EW201+(1-EXP(-LN(2)/25))/(LN(2)/25)*Calculateur!ER202*Calculateur!ET202*VLOOKUP('Données projet'!$B$15,Paramètres!$A$1:$I$89,3,0)*0.475*44/12</f>
        <v>0.11377094881649583</v>
      </c>
      <c r="EX202" s="21">
        <f>EXP(-LN(2)/2)*EX201+(1-EXP(-LN(2)/2))/(LN(2)/2)*ER202*EU202*VLOOKUP('Données projet'!$B$15,Paramètres!$A$1:$I$89,3,0)*0.475*44/12</f>
        <v>1.9907580057265235E-25</v>
      </c>
      <c r="EY202" s="22">
        <f t="shared" si="181"/>
        <v>0.33239859636715036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3.813056537183002E-14</v>
      </c>
      <c r="FG202" s="13">
        <f t="shared" si="182"/>
        <v>6.4086286045526829E-13</v>
      </c>
      <c r="FH202" s="20">
        <f t="shared" si="183"/>
        <v>1.1825802166488628E-12</v>
      </c>
      <c r="FI202" s="59">
        <f t="shared" si="199"/>
        <v>293.33333333333451</v>
      </c>
      <c r="FJ202" s="59">
        <f ca="1">AVERAGE(OFFSET($FI$3,0,0,'Données projet'!$E$16+1,1))-AVERAGE(OFFSET($H$3,0,0,'Données projet'!$E$16+1,1))</f>
        <v>156.63226020379989</v>
      </c>
      <c r="FK202" s="59">
        <f t="shared" si="211"/>
        <v>196.0481096619543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7.9993435840257504E-2</v>
      </c>
      <c r="FS202" s="21">
        <f>EXP(-LN(2)/2)*FS201+(1-EXP(-LN(2)/2))/(LN(2)/2)*FM202*FP202*VLOOKUP('Données projet'!$B$16,Paramètres!$A$1:$I$89,3,0)*0.475*44/12</f>
        <v>3.3169491403984792E-25</v>
      </c>
      <c r="FT202" s="22">
        <f t="shared" si="184"/>
        <v>7.9993435840257504E-2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-4.5474735088646412E-13</v>
      </c>
      <c r="GA202" s="17">
        <f>FZ202*VLOOKUP('Données projet'!$B$17,Paramètres!$A$1:$I$89,3,0)*VLOOKUP('Données projet'!$B$17,Paramètres!$A$1:$I$89,5,0)</f>
        <v>-2.7193891583010558E-13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216.94426559495264</v>
      </c>
      <c r="GF202" s="59">
        <f t="shared" si="212"/>
        <v>225.33715877618704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0.11855379655866473</v>
      </c>
      <c r="GN202" s="21">
        <f>EXP(-LN(2)/2)*GN201+(1-EXP(-LN(2)/2))/(LN(2)/2)*GH202*GK202*VLOOKUP('Données projet'!$B$17,Paramètres!$A$1:$I$89,3,0)*0.475*44/12</f>
        <v>8.6746385757058259E-25</v>
      </c>
      <c r="GO202" s="21">
        <f t="shared" si="187"/>
        <v>0.11855379655866473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-1.1368683772161603E-13</v>
      </c>
      <c r="GV202" s="17">
        <f>GU202*VLOOKUP('Données projet'!$B$18,Paramètres!$A$1:$I$89,3,0)*VLOOKUP('Données projet'!$B$18,Paramètres!$A$1:$I$89,5,0)</f>
        <v>-1.0995790944434703E-13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261.22357949323879</v>
      </c>
      <c r="HA202" s="59">
        <f t="shared" si="213"/>
        <v>163.41029152029387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3.0633296294584444E-2</v>
      </c>
      <c r="HI202" s="21">
        <f>EXP(-LN(2)/2)*HI201+(1-EXP(-LN(2)/2))/(LN(2)/2)*HC202*HF202*VLOOKUP('Données projet'!$B$18,Paramètres!$A$1:$I$89,3,0)*0.475*44/12</f>
        <v>2.4186551643364399E-25</v>
      </c>
      <c r="HJ202" s="22">
        <f t="shared" si="190"/>
        <v>3.0633296294584444E-2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237.22177246688199</v>
      </c>
      <c r="T203" s="59">
        <f t="shared" si="204"/>
        <v>149.27472147904302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227.99999999999986</v>
      </c>
      <c r="AJ203" s="13">
        <f>AI203*VLOOKUP('Données projet'!$B$10,Paramètres!$A$1:$I$89,3,0)*VLOOKUP('Données projet'!$B$10,Paramètres!$A$1:$I$89,5,0)</f>
        <v>199.18079999999992</v>
      </c>
      <c r="AK203" s="13">
        <f t="shared" si="164"/>
        <v>49.564089376413683</v>
      </c>
      <c r="AL203" s="20">
        <f t="shared" si="165"/>
        <v>433.23068233058694</v>
      </c>
      <c r="AM203" s="59">
        <f t="shared" si="193"/>
        <v>726.56401566392026</v>
      </c>
      <c r="AN203" s="59">
        <f ca="1">AVERAGE(OFFSET($AM$3,0,0,'Données projet'!$E$10+1,1))-AVERAGE(OFFSET($H$3,0,0,'Données projet'!$E$10+1,1))</f>
        <v>210.07838338464626</v>
      </c>
      <c r="AO203" s="59">
        <f t="shared" si="205"/>
        <v>241.76003724236273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0.1828723417100904</v>
      </c>
      <c r="AV203" s="21">
        <f>EXP(-LN(2)/25)*AV202+(1-EXP(-LN(2)/25))/(LN(2)/25)*Calculateur!AQ203*Calculateur!AS203*VLOOKUP('Données projet'!$B$10,Paramètres!$A$1:$I$89,3,0)*0.475*44/12</f>
        <v>0.12168939674204764</v>
      </c>
      <c r="AW203" s="21">
        <f>EXP(-LN(2)/2)*AW202+(1-EXP(-LN(2)/2))/(LN(2)/2)*AQ203*AT203*VLOOKUP('Données projet'!$B$10,Paramètres!$A$1:$I$89,3,0)*0.475*44/12</f>
        <v>4.1285164616067702E-25</v>
      </c>
      <c r="AX203" s="21">
        <f t="shared" si="166"/>
        <v>0.30456173845213802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3.9017322706058616E-13</v>
      </c>
      <c r="BF203" s="13">
        <f t="shared" si="167"/>
        <v>5.0025007393608908E-12</v>
      </c>
      <c r="BG203" s="20">
        <f t="shared" si="168"/>
        <v>9.3922404915174053E-12</v>
      </c>
      <c r="BH203" s="59">
        <f t="shared" si="194"/>
        <v>293.33333333334269</v>
      </c>
      <c r="BI203" s="59">
        <f ca="1">AVERAGE(OFFSET($BH$3,0,0,'Données projet'!$E$11+1,1))-AVERAGE(OFFSET($H$3,0,0,'Données projet'!$E$11+1,1))</f>
        <v>209.93608079129638</v>
      </c>
      <c r="BJ203" s="59">
        <f t="shared" si="206"/>
        <v>240.15652428700969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0.23990899915107189</v>
      </c>
      <c r="BQ203" s="21">
        <f>EXP(-LN(2)/25)*BQ202+(1-EXP(-LN(2)/25))/(LN(2)/25)*Calculateur!BL203*Calculateur!BN203*VLOOKUP('Données projet'!$B$11,Paramètres!$A$1:$I$89,3,0)*0.475*44/12</f>
        <v>0.18655497069805321</v>
      </c>
      <c r="BR203" s="21">
        <f>EXP(-LN(2)/2)*BR202+(1-EXP(-LN(2)/2))/(LN(2)/2)*BL203*BO203*VLOOKUP('Données projet'!$B$11,Paramètres!$A$1:$I$89,3,0)*0.475*44/12</f>
        <v>5.2192034800963212E-25</v>
      </c>
      <c r="BS203" s="22">
        <f t="shared" si="169"/>
        <v>0.4264639698491251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215.23235148064941</v>
      </c>
      <c r="CE203" s="59">
        <f t="shared" si="207"/>
        <v>184.07239726900434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0.10815183363515733</v>
      </c>
      <c r="CL203" s="21">
        <f>EXP(-LN(2)/25)*CL202+(1-EXP(-LN(2)/25))/(LN(2)/25)*Calculateur!CG203*Calculateur!CI203*VLOOKUP('Données projet'!$B$12,Paramètres!$A$1:$I$89,3,0)*0.475*44/12</f>
        <v>7.0496554540389583E-2</v>
      </c>
      <c r="CM203" s="21">
        <f>EXP(-LN(2)/2)*CM202+(1-EXP(-LN(2)/2))/(LN(2)/2)*CG203*CJ203*VLOOKUP('Données projet'!$B$12,Paramètres!$A$1:$I$89,3,0)*0.475*44/12</f>
        <v>2.5415580511564719E-25</v>
      </c>
      <c r="CN203" s="22">
        <f t="shared" si="172"/>
        <v>0.1786483881755469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-1.1527845344971866E-13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279.20364724206644</v>
      </c>
      <c r="CZ203" s="59">
        <f t="shared" si="208"/>
        <v>173.99850582760712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3.1237351093077591E-2</v>
      </c>
      <c r="DH203" s="21">
        <f>EXP(-LN(2)/2)*DH202+(1-EXP(-LN(2)/2))/(LN(2)/2)*DB203*DE203*VLOOKUP('Données projet'!$B$13,Paramètres!$A$1:$I$89,3,0)*0.475*44/12</f>
        <v>1.7930013777987164E-25</v>
      </c>
      <c r="DI203" s="22">
        <f t="shared" si="175"/>
        <v>3.1237351093077591E-2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-1.1882548278663309E-13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291.18074901939718</v>
      </c>
      <c r="DU203" s="59">
        <f t="shared" si="209"/>
        <v>181.05123751753774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3.2198500357479988E-2</v>
      </c>
      <c r="EC203" s="21">
        <f>EXP(-LN(2)/2)*EC202+(1-EXP(-LN(2)/2))/(LN(2)/2)*DW203*DZ203*VLOOKUP('Données projet'!$B$14,Paramètres!$A$1:$I$89,3,0)*0.475*44/12</f>
        <v>1.8481706509617556E-25</v>
      </c>
      <c r="ED203" s="22">
        <f t="shared" si="178"/>
        <v>3.2198500357479988E-2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168.08890945052406</v>
      </c>
      <c r="EP203" s="59">
        <f t="shared" si="210"/>
        <v>182.52462557642343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0.21434049273188402</v>
      </c>
      <c r="EW203" s="21">
        <f>EXP(-LN(2)/25)*EW202+(1-EXP(-LN(2)/25))/(LN(2)/25)*Calculateur!ER203*Calculateur!ET203*VLOOKUP('Données projet'!$B$15,Paramètres!$A$1:$I$89,3,0)*0.475*44/12</f>
        <v>0.11065987623815457</v>
      </c>
      <c r="EX203" s="21">
        <f>EXP(-LN(2)/2)*EX202+(1-EXP(-LN(2)/2))/(LN(2)/2)*ER203*EU203*VLOOKUP('Données projet'!$B$15,Paramètres!$A$1:$I$89,3,0)*0.475*44/12</f>
        <v>1.4076784855506326E-25</v>
      </c>
      <c r="EY203" s="22">
        <f t="shared" si="181"/>
        <v>0.32500036897003859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3.813056537183002E-14</v>
      </c>
      <c r="FG203" s="13">
        <f t="shared" si="182"/>
        <v>6.4086286045526829E-13</v>
      </c>
      <c r="FH203" s="20">
        <f t="shared" si="183"/>
        <v>1.1825802166488628E-12</v>
      </c>
      <c r="FI203" s="59">
        <f t="shared" si="199"/>
        <v>293.33333333333451</v>
      </c>
      <c r="FJ203" s="59">
        <f ca="1">AVERAGE(OFFSET($FI$3,0,0,'Données projet'!$E$16+1,1))-AVERAGE(OFFSET($H$3,0,0,'Données projet'!$E$16+1,1))</f>
        <v>156.63226020379989</v>
      </c>
      <c r="FK203" s="59">
        <f t="shared" si="211"/>
        <v>196.0481096619543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7.7806011130533703E-2</v>
      </c>
      <c r="FS203" s="21">
        <f>EXP(-LN(2)/2)*FS202+(1-EXP(-LN(2)/2))/(LN(2)/2)*FM203*FP203*VLOOKUP('Données projet'!$B$16,Paramètres!$A$1:$I$89,3,0)*0.475*44/12</f>
        <v>2.3454372300266543E-25</v>
      </c>
      <c r="FT203" s="22">
        <f t="shared" si="184"/>
        <v>7.7806011130533703E-2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-4.5474735088646412E-13</v>
      </c>
      <c r="GA203" s="17">
        <f>FZ203*VLOOKUP('Données projet'!$B$17,Paramètres!$A$1:$I$89,3,0)*VLOOKUP('Données projet'!$B$17,Paramètres!$A$1:$I$89,5,0)</f>
        <v>-2.7193891583010558E-13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216.94426559495264</v>
      </c>
      <c r="GF203" s="59">
        <f t="shared" si="212"/>
        <v>225.33715877618704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0.11531193675729484</v>
      </c>
      <c r="GN203" s="21">
        <f>EXP(-LN(2)/2)*GN202+(1-EXP(-LN(2)/2))/(LN(2)/2)*GH203*GK203*VLOOKUP('Données projet'!$B$17,Paramètres!$A$1:$I$89,3,0)*0.475*44/12</f>
        <v>6.1338957612240039E-25</v>
      </c>
      <c r="GO203" s="21">
        <f t="shared" si="187"/>
        <v>0.11531193675729484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-1.1368683772161603E-13</v>
      </c>
      <c r="GV203" s="17">
        <f>GU203*VLOOKUP('Données projet'!$B$18,Paramètres!$A$1:$I$89,3,0)*VLOOKUP('Données projet'!$B$18,Paramètres!$A$1:$I$89,5,0)</f>
        <v>-1.0995790944434703E-13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261.22357949323879</v>
      </c>
      <c r="HA203" s="59">
        <f t="shared" si="213"/>
        <v>163.41029152029387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2.9795627196473995E-2</v>
      </c>
      <c r="HI203" s="21">
        <f>EXP(-LN(2)/2)*HI202+(1-EXP(-LN(2)/2))/(LN(2)/2)*HC203*HF203*VLOOKUP('Données projet'!$B$18,Paramètres!$A$1:$I$89,3,0)*0.475*44/12</f>
        <v>1.7102474680541602E-25</v>
      </c>
      <c r="HJ203" s="22">
        <f t="shared" si="190"/>
        <v>2.9795627196473995E-2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1.3682730833261529</v>
      </c>
      <c r="BA205" s="82">
        <f>EXP(LN('Données projet'!B88)/'Données projet'!A88)</f>
        <v>1.2693871579679339</v>
      </c>
      <c r="BV205" s="82">
        <f>EXP(LN('Données projet'!B114)/'Données projet'!A114)</f>
        <v>1.2880503926580862</v>
      </c>
      <c r="CQ205" s="82">
        <f>EXP(LN('Données projet'!B140)/'Données projet'!A140)</f>
        <v>1.2054868146447177</v>
      </c>
      <c r="DL205" s="82">
        <f>EXP(LN('Données projet'!B166)/'Données projet'!A166)</f>
        <v>1.2054868146447177</v>
      </c>
      <c r="EG205" s="82">
        <f>EXP(LN('Données projet'!B192)/'Données projet'!A192)</f>
        <v>1.3480061545972777</v>
      </c>
      <c r="FB205" s="82">
        <f>EXP(LN('Données projet'!B218)/'Données projet'!A218)</f>
        <v>1.2557008269631629</v>
      </c>
      <c r="FW205" s="82">
        <f>EXP(LN('Données projet'!B244)/'Données projet'!A244)</f>
        <v>1.2530028811664373</v>
      </c>
      <c r="GR205" s="82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I30" sqref="I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18.283200000000001</v>
      </c>
      <c r="C6" s="147">
        <f ca="1">IF(OR('Données projet'!B9="",'Données projet'!C9="",'Données projet'!C9=0%),0,Calculateur!S3)</f>
        <v>237.22177246688199</v>
      </c>
      <c r="D6" s="147">
        <f>IF(OR('Données projet'!B9="",'Données projet'!C9="",'Données projet'!C9=0%),0,Calculateur!T3)</f>
        <v>149.27472147904302</v>
      </c>
      <c r="E6" s="147">
        <f ca="1">MIN(C6,D6)</f>
        <v>149.27472147904302</v>
      </c>
      <c r="F6" s="147">
        <f ca="1">E6*B6</f>
        <v>2729.2195877456397</v>
      </c>
      <c r="G6" s="147">
        <f ca="1">F6*(100%-'Données projet'!$C$24)*(100%-'Données projet'!$C$25)*(100%-'Données projet'!$C$26)*(100%-'Données projet'!$C$27)</f>
        <v>2456.2976289710759</v>
      </c>
      <c r="H6" s="148">
        <f>IF(OR('Données projet'!B9="",'Données projet'!C9="",'Données projet'!C9=0%),0,AVERAGE(Calculateur!$AC$3:$AC$33)*B6)</f>
        <v>5.4821797899146221</v>
      </c>
      <c r="I6" s="149">
        <f>H6*(100%-'Données projet'!$C$24)*(100%-'Données projet'!$C$25)*(100%-'Données projet'!$C$26)*(100%-'Données projet'!$C$27)</f>
        <v>4.9339618109231598</v>
      </c>
      <c r="J6" s="150">
        <f>IF(OR('Données projet'!B9="",'Données projet'!C9="",'Données projet'!C9=0%),0,SUM(Calculateur!$V$3:$V$33)*VLOOKUP('Données projet'!$B$9,Paramètres!$A$1:$I$89,9,0)*B6)</f>
        <v>132.5532</v>
      </c>
      <c r="K6" s="151">
        <f>J6*(100%-'Données projet'!$C$24)*(100%-'Données projet'!$C$25)*(100%-'Données projet'!$C$26)*(100%-'Données projet'!$C$27)</f>
        <v>119.29788000000001</v>
      </c>
      <c r="L6" s="152">
        <f ca="1">G6+I6+K6</f>
        <v>2580.529470781999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9.3760000000000012</v>
      </c>
      <c r="C7" s="147">
        <f ca="1">IF(OR('Données projet'!B10="",'Données projet'!C10="",'Données projet'!C10=0%),0,Calculateur!AN3)</f>
        <v>210.07838338464626</v>
      </c>
      <c r="D7" s="147">
        <f>IF(OR('Données projet'!B10="",'Données projet'!C10="",'Données projet'!C10=0%),0,Calculateur!AO3)</f>
        <v>241.76003724236273</v>
      </c>
      <c r="E7" s="147">
        <f t="shared" ref="E7:E15" ca="1" si="0">MIN(C7,D7)</f>
        <v>210.07838338464626</v>
      </c>
      <c r="F7" s="147">
        <f t="shared" ref="F7:F15" ca="1" si="1">E7*B7</f>
        <v>1969.6949226144436</v>
      </c>
      <c r="G7" s="147">
        <f ca="1">F7*(100%-'Données projet'!$C$24)*(100%-'Données projet'!$C$25)*(100%-'Données projet'!$C$26)*(100%-'Données projet'!$C$27)</f>
        <v>1772.7254303529992</v>
      </c>
      <c r="H7" s="155">
        <f>IF(OR('Données projet'!B10="",'Données projet'!C10="",'Données projet'!C10=0%),0,AVERAGE(Calculateur!$AX$3:$AX$33)*B7)</f>
        <v>50.905107701059208</v>
      </c>
      <c r="I7" s="149">
        <f>H7*(100%-'Données projet'!$C$24)*(100%-'Données projet'!$C$25)*(100%-'Données projet'!$C$26)*(100%-'Données projet'!$C$27)</f>
        <v>45.814596930953286</v>
      </c>
      <c r="J7" s="150">
        <f>IF(OR('Données projet'!B10="",'Données projet'!C10="",'Données projet'!C10=0%),0,SUM(Calculateur!$AQ$3:$AQ$33)*VLOOKUP('Données projet'!$B$10,Paramètres!$A$1:$I$89,9,0)*B7)</f>
        <v>206.27200000000002</v>
      </c>
      <c r="K7" s="151">
        <f>J7*(100%-'Données projet'!$C$24)*(100%-'Données projet'!$C$25)*(100%-'Données projet'!$C$26)*(100%-'Données projet'!$C$27)</f>
        <v>185.64480000000003</v>
      </c>
      <c r="L7" s="152">
        <f t="shared" ref="L7:L15" ca="1" si="2">G7+I7+K7</f>
        <v>2004.1848272839525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3.7504000000000004</v>
      </c>
      <c r="C8" s="147">
        <f ca="1">IF(OR('Données projet'!B11="",'Données projet'!C11="",'Données projet'!C11=0%),0,Calculateur!BI3)</f>
        <v>209.93608079129638</v>
      </c>
      <c r="D8" s="147">
        <f>IF(OR('Données projet'!B11="",'Données projet'!C11="",'Données projet'!C11=0%),0,Calculateur!BJ3)</f>
        <v>240.15652428700969</v>
      </c>
      <c r="E8" s="147">
        <f t="shared" ca="1" si="0"/>
        <v>209.93608079129638</v>
      </c>
      <c r="F8" s="147">
        <f t="shared" ca="1" si="1"/>
        <v>787.34427739967805</v>
      </c>
      <c r="G8" s="147">
        <f ca="1">F8*(100%-'Données projet'!$C$24)*(100%-'Données projet'!$C$25)*(100%-'Données projet'!$C$26)*(100%-'Données projet'!$C$27)</f>
        <v>708.60984965971022</v>
      </c>
      <c r="H8" s="155">
        <f>IF(OR('Données projet'!B11="",'Données projet'!C11="",'Données projet'!C11=0%),0,AVERAGE(Calculateur!$BS$3:$BS$33)*B8)</f>
        <v>20.83353883813124</v>
      </c>
      <c r="I8" s="149">
        <f>H8*(100%-'Données projet'!$C$24)*(100%-'Données projet'!$C$25)*(100%-'Données projet'!$C$26)*(100%-'Données projet'!$C$27)</f>
        <v>18.750184954318115</v>
      </c>
      <c r="J8" s="150">
        <f>IF(OR('Données projet'!B11="",'Données projet'!C11="",'Données projet'!C11=0%),0,SUM(Calculateur!$BL$3:$BL$33)*VLOOKUP('Données projet'!$B$11,Paramètres!$A$1:$I$89,9,0)*B8)</f>
        <v>172.555904</v>
      </c>
      <c r="K8" s="151">
        <f>J8*(100%-'Données projet'!$C$24)*(100%-'Données projet'!$C$25)*(100%-'Données projet'!$C$26)*(100%-'Données projet'!$C$27)</f>
        <v>155.30031360000001</v>
      </c>
      <c r="L8" s="152">
        <f t="shared" ca="1" si="2"/>
        <v>882.66034821402832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2.3440000000000003</v>
      </c>
      <c r="C9" s="147">
        <f ca="1">IF(OR('Données projet'!B12="",'Données projet'!C12="",'Données projet'!C12=0%),0,Calculateur!CD3)</f>
        <v>215.23235148064941</v>
      </c>
      <c r="D9" s="147">
        <f>IF(OR('Données projet'!B12="",'Données projet'!C12="",'Données projet'!C12=0%),0,Calculateur!CE3)</f>
        <v>184.07239726900434</v>
      </c>
      <c r="E9" s="147">
        <f t="shared" ca="1" si="0"/>
        <v>184.07239726900434</v>
      </c>
      <c r="F9" s="147">
        <f t="shared" ca="1" si="1"/>
        <v>431.46569919854625</v>
      </c>
      <c r="G9" s="147">
        <f ca="1">F9*(100%-'Données projet'!$C$24)*(100%-'Données projet'!$C$25)*(100%-'Données projet'!$C$26)*(100%-'Données projet'!$C$27)</f>
        <v>388.31912927869161</v>
      </c>
      <c r="H9" s="155">
        <f>IF(OR('Données projet'!B12="",'Données projet'!C12="",'Données projet'!C12=0%),0,AVERAGE(Calculateur!$CN$3:$CN$33)*B9)</f>
        <v>3.8259553367210599</v>
      </c>
      <c r="I9" s="149">
        <f>H9*(100%-'Données projet'!$C$24)*(100%-'Données projet'!$C$25)*(100%-'Données projet'!$C$26)*(100%-'Données projet'!$C$27)</f>
        <v>3.4433598030489541</v>
      </c>
      <c r="J9" s="150">
        <f>IF(OR('Données projet'!B12="",'Données projet'!C12="",'Données projet'!C12=0%),0,SUM(Calculateur!$CG$3:$CG$33)*VLOOKUP('Données projet'!$B$12,Paramètres!$A$1:$I$89,9,0)*B9)</f>
        <v>58.862528000000005</v>
      </c>
      <c r="K9" s="151">
        <f>J9*(100%-'Données projet'!$C$24)*(100%-'Données projet'!$C$25)*(100%-'Données projet'!$C$26)*(100%-'Données projet'!$C$27)</f>
        <v>52.976275200000003</v>
      </c>
      <c r="L9" s="152">
        <f t="shared" ca="1" si="2"/>
        <v>444.7387642817406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pubescent</v>
      </c>
      <c r="B10" s="154">
        <f>'Données projet'!D13</f>
        <v>2.6626686017355841</v>
      </c>
      <c r="C10" s="147">
        <f ca="1">IF(OR('Données projet'!B13="",'Données projet'!C13="",'Données projet'!C13=0%),0,Calculateur!CY3)</f>
        <v>279.20364724206644</v>
      </c>
      <c r="D10" s="147">
        <f>IF(OR('Données projet'!B13="",'Données projet'!C13="",'Données projet'!C13=0%),0,Calculateur!CZ3)</f>
        <v>173.99850582760712</v>
      </c>
      <c r="E10" s="147">
        <f t="shared" ca="1" si="0"/>
        <v>173.99850582760712</v>
      </c>
      <c r="F10" s="147">
        <f t="shared" ca="1" si="1"/>
        <v>463.30035821607549</v>
      </c>
      <c r="G10" s="147">
        <f ca="1">F10*(100%-'Données projet'!$C$24)*(100%-'Données projet'!$C$25)*(100%-'Données projet'!$C$26)*(100%-'Données projet'!$C$27)</f>
        <v>416.97032239446793</v>
      </c>
      <c r="H10" s="155">
        <f>IF(OR('Données projet'!B13="",'Données projet'!C13="",'Données projet'!C13=0%),0,AVERAGE(Calculateur!$DI$3:$DI$33)*B10)</f>
        <v>0.89475378538473405</v>
      </c>
      <c r="I10" s="149">
        <f>H10*(100%-'Données projet'!$C$24)*(100%-'Données projet'!$C$25)*(100%-'Données projet'!$C$26)*(100%-'Données projet'!$C$27)</f>
        <v>0.80527840684626062</v>
      </c>
      <c r="J10" s="150">
        <f>IF(OR('Données projet'!B13="",'Données projet'!C13="",'Données projet'!C13=0%),0,SUM(Calculateur!$DB$3:$DB$33)*VLOOKUP('Données projet'!$B$13,Paramètres!$A$1:$I$89,9,0)*B10)</f>
        <v>19.304347362582984</v>
      </c>
      <c r="K10" s="151">
        <f>J10*(100%-'Données projet'!$C$24)*(100%-'Données projet'!$C$25)*(100%-'Données projet'!$C$26)*(100%-'Données projet'!$C$27)</f>
        <v>17.373912626324685</v>
      </c>
      <c r="L10" s="152">
        <f t="shared" ca="1" si="2"/>
        <v>435.14951342763885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chevelu</v>
      </c>
      <c r="B11" s="154">
        <f>'Données projet'!D14</f>
        <v>2.8128000000000002</v>
      </c>
      <c r="C11" s="147">
        <f ca="1">IF(OR('Données projet'!B14="",'Données projet'!C14="",'Données projet'!C14=0%),0,Calculateur!DT3)</f>
        <v>291.18074901939718</v>
      </c>
      <c r="D11" s="147">
        <f>IF(OR('Données projet'!B14="",'Données projet'!C14="",'Données projet'!C14=0%),0,Calculateur!DU3)</f>
        <v>181.05123751753774</v>
      </c>
      <c r="E11" s="147">
        <f t="shared" ca="1" si="0"/>
        <v>181.05123751753774</v>
      </c>
      <c r="F11" s="147">
        <f t="shared" ca="1" si="1"/>
        <v>509.26092088933018</v>
      </c>
      <c r="G11" s="147">
        <f ca="1">F11*(100%-'Données projet'!$C$24)*(100%-'Données projet'!$C$25)*(100%-'Données projet'!$C$26)*(100%-'Données projet'!$C$27)</f>
        <v>458.33482880039719</v>
      </c>
      <c r="H11" s="155">
        <f>IF(OR('Données projet'!B14="",'Données projet'!C14="",'Données projet'!C14=0%),0,AVERAGE(Calculateur!$ED$3:$ED$33)*B11)</f>
        <v>0.97428659396360673</v>
      </c>
      <c r="I11" s="149">
        <f>H11*(100%-'Données projet'!$C$24)*(100%-'Données projet'!$C$25)*(100%-'Données projet'!$C$26)*(100%-'Données projet'!$C$27)</f>
        <v>0.87685793456724603</v>
      </c>
      <c r="J11" s="150">
        <f>IF(OR('Données projet'!B14="",'Données projet'!C14="",'Données projet'!C14=0%),0,SUM(Calculateur!$DW$3:$DW$33)*VLOOKUP('Données projet'!$B$14,Paramètres!$A$1:$I$89,9,0)*B11)</f>
        <v>20.392800000000001</v>
      </c>
      <c r="K11" s="151">
        <f>J11*(100%-'Données projet'!$C$24)*(100%-'Données projet'!$C$25)*(100%-'Données projet'!$C$26)*(100%-'Données projet'!$C$27)</f>
        <v>18.353520000000003</v>
      </c>
      <c r="L11" s="152">
        <f t="shared" ca="1" si="2"/>
        <v>477.56520673496442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maritime</v>
      </c>
      <c r="B12" s="154">
        <f>'Données projet'!D15</f>
        <v>1.8752000000000002</v>
      </c>
      <c r="C12" s="147">
        <f ca="1">IF(OR('Données projet'!B15="",'Données projet'!C15="",'Données projet'!C15=0%),0,Calculateur!EO3)</f>
        <v>168.08890945052406</v>
      </c>
      <c r="D12" s="147">
        <f>IF(OR('Données projet'!B15="",'Données projet'!C15="",'Données projet'!C15=0%),0,Calculateur!EP3)</f>
        <v>182.52462557642343</v>
      </c>
      <c r="E12" s="147">
        <f t="shared" ca="1" si="0"/>
        <v>168.08890945052406</v>
      </c>
      <c r="F12" s="147">
        <f t="shared" ca="1" si="1"/>
        <v>315.20032300162273</v>
      </c>
      <c r="G12" s="147">
        <f ca="1">F12*(100%-'Données projet'!$C$24)*(100%-'Données projet'!$C$25)*(100%-'Données projet'!$C$26)*(100%-'Données projet'!$C$27)</f>
        <v>283.68029070146048</v>
      </c>
      <c r="H12" s="155">
        <f>IF(OR('Données projet'!B15="",'Données projet'!C15="",'Données projet'!C15=0%),0,AVERAGE(Calculateur!$EY$3:$EY$33)*B12)</f>
        <v>13.653499076063412</v>
      </c>
      <c r="I12" s="149">
        <f>H12*(100%-'Données projet'!$C$24)*(100%-'Données projet'!$C$25)*(100%-'Données projet'!$C$26)*(100%-'Données projet'!$C$27)</f>
        <v>12.288149168457071</v>
      </c>
      <c r="J12" s="150">
        <f>IF(OR('Données projet'!B15="",'Données projet'!C15="",'Données projet'!C15=0%),0,SUM(Calculateur!$ER$3:$ER$33)*VLOOKUP('Données projet'!$B$15,Paramètres!$A$1:$I$89,9,0)*B12)</f>
        <v>113.955904</v>
      </c>
      <c r="K12" s="151">
        <f>J12*(100%-'Données projet'!$C$24)*(100%-'Données projet'!$C$25)*(100%-'Données projet'!$C$26)*(100%-'Données projet'!$C$27)</f>
        <v>102.5603136</v>
      </c>
      <c r="L12" s="152">
        <f t="shared" ca="1" si="2"/>
        <v>398.52875346991755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Tilleul</v>
      </c>
      <c r="B13" s="154">
        <f>'Données projet'!D16</f>
        <v>1.0876159999999999</v>
      </c>
      <c r="C13" s="147">
        <f ca="1">IF(OR('Données projet'!B16="",'Données projet'!C16="",'Données projet'!C16=0%),0,Calculateur!FJ3)</f>
        <v>156.63226020379989</v>
      </c>
      <c r="D13" s="147">
        <f>IF(OR('Données projet'!B16="",'Données projet'!C16="",'Données projet'!C16=0%),0,Calculateur!FK3)</f>
        <v>196.0481096619543</v>
      </c>
      <c r="E13" s="147">
        <f t="shared" ca="1" si="0"/>
        <v>156.63226020379989</v>
      </c>
      <c r="F13" s="147">
        <f t="shared" ca="1" si="1"/>
        <v>170.355752313816</v>
      </c>
      <c r="G13" s="147">
        <f ca="1">F13*(100%-'Données projet'!$C$24)*(100%-'Données projet'!$C$25)*(100%-'Données projet'!$C$26)*(100%-'Données projet'!$C$27)</f>
        <v>153.32017708243441</v>
      </c>
      <c r="H13" s="155">
        <f>IF(OR('Données projet'!B16="",'Données projet'!C16="",'Données projet'!C16=0%),0,AVERAGE(Calculateur!$FT$3:$FT$33)*B13)</f>
        <v>2.7194760181332187</v>
      </c>
      <c r="I13" s="149">
        <f>H13*(100%-'Données projet'!$C$24)*(100%-'Données projet'!$C$25)*(100%-'Données projet'!$C$26)*(100%-'Données projet'!$C$27)</f>
        <v>2.4475284163198969</v>
      </c>
      <c r="J13" s="150">
        <f>IF(OR('Données projet'!C16="",'Données projet'!C16=0%),0,SUM(Calculateur!$FM$3:$FM$33)*VLOOKUP('Données projet'!$B$16,Paramètres!$A$1:$I$89,9,0)*B13)</f>
        <v>26.918495999999998</v>
      </c>
      <c r="K13" s="151">
        <f>J13*(100%-'Données projet'!$C$24)*(100%-'Données projet'!$C$25)*(100%-'Données projet'!$C$26)*(100%-'Données projet'!$C$27)</f>
        <v>24.2266464</v>
      </c>
      <c r="L13" s="152">
        <f t="shared" ca="1" si="2"/>
        <v>179.9943518987543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Pin noir d'Autriche</v>
      </c>
      <c r="B14" s="154">
        <f>'Données projet'!D17</f>
        <v>1.8752000000000002</v>
      </c>
      <c r="C14" s="147">
        <f ca="1">IF(OR('Données projet'!B17="",'Données projet'!C17="",'Données projet'!C17=0%),0,Calculateur!GE3)</f>
        <v>216.94426559495264</v>
      </c>
      <c r="D14" s="147">
        <f>IF(OR('Données projet'!B17="",'Données projet'!C17="",'Données projet'!C17=0%),0,Calculateur!GF3)</f>
        <v>225.33715877618704</v>
      </c>
      <c r="E14" s="147">
        <f t="shared" ca="1" si="0"/>
        <v>216.94426559495264</v>
      </c>
      <c r="F14" s="147">
        <f t="shared" ca="1" si="1"/>
        <v>406.81388684365521</v>
      </c>
      <c r="G14" s="147">
        <f ca="1">F14*(100%-'Données projet'!$C$24)*(100%-'Données projet'!$C$25)*(100%-'Données projet'!$C$26)*(100%-'Données projet'!$C$27)</f>
        <v>366.1324981592897</v>
      </c>
      <c r="H14" s="155">
        <f>IF(OR('Données projet'!B17="",'Données projet'!C17="",'Données projet'!C17=0%),0,AVERAGE(Calculateur!$GO$3:$GO$33)*B14)</f>
        <v>2.7015403569883039</v>
      </c>
      <c r="I14" s="149">
        <f>H14*(100%-'Données projet'!$C$24)*(100%-'Données projet'!$C$25)*(100%-'Données projet'!$C$26)*(100%-'Données projet'!$C$27)</f>
        <v>2.4313863212894735</v>
      </c>
      <c r="J14" s="150">
        <f>IF(OR('Données projet'!B17="",'Données projet'!C17="",'Données projet'!C17=0%),0,SUM(Calculateur!$GH$3:$GH$33)*VLOOKUP('Données projet'!$B$17,Paramètres!$A$1:$I$89,9,0)*B14)</f>
        <v>58.862528000000005</v>
      </c>
      <c r="K14" s="151">
        <f>J14*(100%-'Données projet'!$C$24)*(100%-'Données projet'!$C$25)*(100%-'Données projet'!$C$26)*(100%-'Données projet'!$C$27)</f>
        <v>52.976275200000003</v>
      </c>
      <c r="L14" s="152">
        <f t="shared" ca="1" si="2"/>
        <v>421.54015968057922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Alisier torminal</v>
      </c>
      <c r="B15" s="157">
        <f>'Données projet'!D18</f>
        <v>2.8128000000000002</v>
      </c>
      <c r="C15" s="158">
        <f ca="1">IF(OR('Données projet'!B18="",'Données projet'!C18="",'Données projet'!C18=0%),0,Calculateur!GZ3)</f>
        <v>261.22357949323879</v>
      </c>
      <c r="D15" s="158">
        <f>IF(OR('Données projet'!B18="",'Données projet'!C18="",'Données projet'!C18=0%),0,Calculateur!HA3)</f>
        <v>163.41029152029387</v>
      </c>
      <c r="E15" s="158">
        <f t="shared" ca="1" si="0"/>
        <v>163.41029152029387</v>
      </c>
      <c r="F15" s="159">
        <f t="shared" ca="1" si="1"/>
        <v>459.64046798828264</v>
      </c>
      <c r="G15" s="159">
        <f ca="1">F15*(100%-'Données projet'!$C$24)*(100%-'Données projet'!$C$25)*(100%-'Données projet'!$C$26)*(100%-'Données projet'!$C$27)</f>
        <v>413.6764211894544</v>
      </c>
      <c r="H15" s="160">
        <f>IF(OR('Données projet'!B18="",'Données projet'!C18="",'Données projet'!C18=0%),0,AVERAGE(Calculateur!$HJ$3:$HJ$33)*B15)</f>
        <v>0.90157863919020309</v>
      </c>
      <c r="I15" s="161">
        <f>H15*(100%-'Données projet'!$C$24)*(100%-'Données projet'!$C$25)*(100%-'Données projet'!$C$26)*(100%-'Données projet'!$C$27)</f>
        <v>0.81142077527118284</v>
      </c>
      <c r="J15" s="162">
        <f>IF(OR('Données projet'!B18="",'Données projet'!C18="",'Données projet'!C18=0%),0,SUM(Calculateur!$HC$3:$HC$33)*VLOOKUP('Données projet'!$B$18,Paramètres!$A$1:$I$89,9,0)*B15)</f>
        <v>20.392800000000001</v>
      </c>
      <c r="K15" s="163">
        <f>J15*(100%-'Données projet'!$C$24)*(100%-'Données projet'!$C$25)*(100%-'Données projet'!$C$26)*(100%-'Données projet'!$C$27)</f>
        <v>18.353520000000003</v>
      </c>
      <c r="L15" s="164">
        <f t="shared" ca="1" si="2"/>
        <v>432.84136196472559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8242.2961962110912</v>
      </c>
      <c r="G16" s="166">
        <f t="shared" ca="1" si="3"/>
        <v>7418.0665765899812</v>
      </c>
      <c r="H16" s="167">
        <f t="shared" si="3"/>
        <v>102.89191613554964</v>
      </c>
      <c r="I16" s="167">
        <f t="shared" si="3"/>
        <v>92.602724521994645</v>
      </c>
      <c r="J16" s="168">
        <f t="shared" si="3"/>
        <v>830.07050736258304</v>
      </c>
      <c r="K16" s="168">
        <f t="shared" si="3"/>
        <v>747.06345662632486</v>
      </c>
      <c r="L16" s="169">
        <f t="shared" ca="1" si="3"/>
        <v>8257.7327577383021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Tilleul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Pin noir d'Autriche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Alisier torminal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80" zoomScaleNormal="80" workbookViewId="0">
      <selection activeCell="C92" sqref="C9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-2299.5308020945936</v>
      </c>
      <c r="U10" s="178">
        <f>'Données projet'!D9</f>
        <v>18.283200000000001</v>
      </c>
      <c r="V10" s="177">
        <f>U10*T10</f>
        <v>-42042.781560855874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-1159.1892386658085</v>
      </c>
      <c r="U11" s="178">
        <f>'Données projet'!D10</f>
        <v>9.3760000000000012</v>
      </c>
      <c r="V11" s="177">
        <f t="shared" ref="V11" si="0">U11*T11</f>
        <v>-10868.558301730622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-417.08152696725494</v>
      </c>
      <c r="U12" s="178">
        <f>'Données projet'!D11</f>
        <v>3.7504000000000004</v>
      </c>
      <c r="V12" s="177">
        <f t="shared" ref="V12:V19" si="1">U12*T12</f>
        <v>-1564.222558737993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-1593.6660245170056</v>
      </c>
      <c r="U13" s="178">
        <f>'Données projet'!D12</f>
        <v>2.3440000000000003</v>
      </c>
      <c r="V13" s="177">
        <f t="shared" si="1"/>
        <v>-3735.5531614678616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pubescent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-2522.312427005792</v>
      </c>
      <c r="U14" s="178">
        <f>'Données projet'!D13</f>
        <v>2.6626686017355841</v>
      </c>
      <c r="V14" s="177">
        <f t="shared" si="1"/>
        <v>-6716.0821031557998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-2537.798427905198</v>
      </c>
      <c r="U15" s="178">
        <f>'Données projet'!D14</f>
        <v>2.8128000000000002</v>
      </c>
      <c r="V15" s="177">
        <f t="shared" si="1"/>
        <v>-7138.3194180117416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641.55895565307355</v>
      </c>
      <c r="U16" s="178">
        <f>'Données projet'!D15</f>
        <v>1.8752000000000002</v>
      </c>
      <c r="V16" s="177">
        <f t="shared" si="1"/>
        <v>1203.0513536406436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3360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Tilleul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-2247.6018821187831</v>
      </c>
      <c r="U17" s="178">
        <f>'Données projet'!D16</f>
        <v>1.0876159999999999</v>
      </c>
      <c r="V17" s="177">
        <f t="shared" si="1"/>
        <v>-2444.5277686225022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>Pin noir d'Autriche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-265.97189348690893</v>
      </c>
      <c r="U18" s="178">
        <f>'Données projet'!D17</f>
        <v>1.8752000000000002</v>
      </c>
      <c r="V18" s="177">
        <f t="shared" si="1"/>
        <v>-498.75049466665166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>Alisier torminal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-3139.3016208395702</v>
      </c>
      <c r="U19" s="178">
        <f>'Données projet'!D18</f>
        <v>2.8128000000000002</v>
      </c>
      <c r="V19" s="177">
        <f t="shared" si="1"/>
        <v>-8830.2275990975431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2150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1050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-364579.78525635076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29</v>
      </c>
      <c r="C24" s="193">
        <v>10</v>
      </c>
      <c r="D24" s="182">
        <f t="shared" ref="D24:D42" si="2">B24*C24</f>
        <v>290</v>
      </c>
      <c r="E24" s="193"/>
      <c r="F24" s="233"/>
      <c r="H24" s="190">
        <v>4</v>
      </c>
      <c r="I24" s="191">
        <v>650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1877.544109045245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42</v>
      </c>
      <c r="C25" s="193">
        <v>15</v>
      </c>
      <c r="D25" s="182">
        <f t="shared" si="2"/>
        <v>630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-366457.329365396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42</v>
      </c>
      <c r="C26" s="193">
        <v>25</v>
      </c>
      <c r="D26" s="182">
        <f t="shared" si="2"/>
        <v>1050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42</v>
      </c>
      <c r="C27" s="193">
        <v>40</v>
      </c>
      <c r="D27" s="182">
        <f t="shared" si="2"/>
        <v>1680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42</v>
      </c>
      <c r="C29" s="193">
        <v>70</v>
      </c>
      <c r="D29" s="182">
        <f t="shared" si="2"/>
        <v>2940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42</v>
      </c>
      <c r="C30" s="193">
        <v>90</v>
      </c>
      <c r="D30" s="182">
        <f t="shared" si="2"/>
        <v>3780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42</v>
      </c>
      <c r="C31" s="193">
        <v>110</v>
      </c>
      <c r="D31" s="182">
        <f t="shared" si="2"/>
        <v>4620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39</v>
      </c>
      <c r="C32" s="193">
        <v>130</v>
      </c>
      <c r="D32" s="182">
        <f t="shared" si="2"/>
        <v>5070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303</v>
      </c>
      <c r="C33" s="193">
        <v>180</v>
      </c>
      <c r="D33" s="182">
        <f t="shared" si="2"/>
        <v>54540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2480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15</v>
      </c>
      <c r="B55" s="181">
        <f>'Données projet'!D63</f>
        <v>0</v>
      </c>
      <c r="C55" s="191">
        <v>10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41</v>
      </c>
      <c r="C56" s="191">
        <v>15</v>
      </c>
      <c r="D56" s="179">
        <f t="shared" si="4"/>
        <v>615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47</v>
      </c>
      <c r="C57" s="191">
        <v>25</v>
      </c>
      <c r="D57" s="179">
        <f t="shared" si="4"/>
        <v>1175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47</v>
      </c>
      <c r="C58" s="191">
        <v>35</v>
      </c>
      <c r="D58" s="179">
        <f t="shared" si="4"/>
        <v>1645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43</v>
      </c>
      <c r="C59" s="191">
        <v>45</v>
      </c>
      <c r="D59" s="179">
        <f t="shared" si="4"/>
        <v>1935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60</v>
      </c>
      <c r="B60" s="181">
        <f>'Données projet'!D68</f>
        <v>38</v>
      </c>
      <c r="C60" s="191">
        <v>55</v>
      </c>
      <c r="D60" s="179">
        <f t="shared" si="4"/>
        <v>2090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70</v>
      </c>
      <c r="B61" s="181">
        <f>'Données projet'!D69</f>
        <v>33</v>
      </c>
      <c r="C61" s="191">
        <v>70</v>
      </c>
      <c r="D61" s="179">
        <f t="shared" si="4"/>
        <v>2310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80</v>
      </c>
      <c r="B62" s="181">
        <f>'Données projet'!D70</f>
        <v>27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90</v>
      </c>
      <c r="B63" s="181">
        <f>'Données projet'!D71</f>
        <v>23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100</v>
      </c>
      <c r="B64" s="181">
        <f>'Données projet'!D72</f>
        <v>23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2208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37</v>
      </c>
      <c r="C85" s="191">
        <v>7</v>
      </c>
      <c r="D85" s="179">
        <f>B85*C85</f>
        <v>259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70</v>
      </c>
      <c r="C86" s="191">
        <v>15</v>
      </c>
      <c r="D86" s="179">
        <f t="shared" ref="D86:D104" si="6">B86*C86</f>
        <v>1050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25</v>
      </c>
      <c r="D87" s="179">
        <f t="shared" si="6"/>
        <v>1750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60</v>
      </c>
      <c r="C88" s="191">
        <v>30</v>
      </c>
      <c r="D88" s="179">
        <f t="shared" si="6"/>
        <v>1800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47</v>
      </c>
      <c r="C89" s="191">
        <v>40</v>
      </c>
      <c r="D89" s="179">
        <f t="shared" si="6"/>
        <v>1880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36</v>
      </c>
      <c r="C90" s="191">
        <v>50</v>
      </c>
      <c r="D90" s="179">
        <f t="shared" si="6"/>
        <v>1800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387</v>
      </c>
      <c r="C91" s="191">
        <v>60</v>
      </c>
      <c r="D91" s="179">
        <f t="shared" si="6"/>
        <v>23220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3520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12.5</v>
      </c>
      <c r="C116" s="191">
        <v>10</v>
      </c>
      <c r="D116" s="179">
        <f t="shared" ref="D116:D126" si="8">B116*C116</f>
        <v>125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45.9</v>
      </c>
      <c r="C117" s="191">
        <v>15</v>
      </c>
      <c r="D117" s="179">
        <f t="shared" si="8"/>
        <v>688.5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83.4</v>
      </c>
      <c r="C118" s="191">
        <v>20</v>
      </c>
      <c r="D118" s="179">
        <f t="shared" si="8"/>
        <v>1668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83.4</v>
      </c>
      <c r="C119" s="191">
        <v>25</v>
      </c>
      <c r="D119" s="179">
        <f t="shared" si="8"/>
        <v>2085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83.4</v>
      </c>
      <c r="C120" s="191">
        <v>30</v>
      </c>
      <c r="D120" s="179">
        <f t="shared" si="8"/>
        <v>2502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83.4</v>
      </c>
      <c r="C121" s="191">
        <v>40</v>
      </c>
      <c r="D121" s="179">
        <f t="shared" si="8"/>
        <v>3336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83.4</v>
      </c>
      <c r="C122" s="191">
        <v>50</v>
      </c>
      <c r="D122" s="179">
        <f t="shared" si="8"/>
        <v>4170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83.4</v>
      </c>
      <c r="C123" s="191">
        <v>60</v>
      </c>
      <c r="D123" s="179">
        <f t="shared" si="8"/>
        <v>5004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726.2</v>
      </c>
      <c r="C124" s="191">
        <v>70</v>
      </c>
      <c r="D124" s="179">
        <f t="shared" si="8"/>
        <v>50834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ref="D127:D135" si="9">B127*C127</f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pubescent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3360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29</v>
      </c>
      <c r="C148" s="191">
        <v>12</v>
      </c>
      <c r="D148" s="182">
        <f t="shared" ref="D148:D166" si="11">B148*C148</f>
        <v>348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42</v>
      </c>
      <c r="C149" s="191">
        <v>15</v>
      </c>
      <c r="D149" s="182">
        <f t="shared" si="11"/>
        <v>630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42</v>
      </c>
      <c r="C150" s="191">
        <v>20</v>
      </c>
      <c r="D150" s="182">
        <f t="shared" si="11"/>
        <v>840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42</v>
      </c>
      <c r="C151" s="191">
        <v>25</v>
      </c>
      <c r="D151" s="182">
        <f t="shared" si="11"/>
        <v>1050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42</v>
      </c>
      <c r="C152" s="191">
        <v>35</v>
      </c>
      <c r="D152" s="182">
        <f t="shared" si="11"/>
        <v>1470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42</v>
      </c>
      <c r="C153" s="191">
        <v>45</v>
      </c>
      <c r="D153" s="182">
        <f t="shared" si="11"/>
        <v>1890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42</v>
      </c>
      <c r="C154" s="191">
        <v>60</v>
      </c>
      <c r="D154" s="182">
        <f t="shared" si="11"/>
        <v>2520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42</v>
      </c>
      <c r="C155" s="191">
        <v>75</v>
      </c>
      <c r="D155" s="182">
        <f t="shared" si="11"/>
        <v>3150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39</v>
      </c>
      <c r="C156" s="191">
        <v>90</v>
      </c>
      <c r="D156" s="182">
        <f t="shared" si="11"/>
        <v>3510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303</v>
      </c>
      <c r="C157" s="191">
        <v>150</v>
      </c>
      <c r="D157" s="182">
        <f t="shared" si="11"/>
        <v>45450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3360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29</v>
      </c>
      <c r="C179" s="193">
        <v>10</v>
      </c>
      <c r="D179" s="179">
        <f t="shared" ref="D179:D197" si="12">B179*C179</f>
        <v>290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42</v>
      </c>
      <c r="C180" s="193">
        <v>15</v>
      </c>
      <c r="D180" s="179">
        <f t="shared" si="12"/>
        <v>630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42</v>
      </c>
      <c r="C181" s="193">
        <v>20</v>
      </c>
      <c r="D181" s="179">
        <f t="shared" si="12"/>
        <v>840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42</v>
      </c>
      <c r="C182" s="193">
        <v>25</v>
      </c>
      <c r="D182" s="179">
        <f t="shared" si="12"/>
        <v>1050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42</v>
      </c>
      <c r="C183" s="193">
        <v>35</v>
      </c>
      <c r="D183" s="179">
        <f t="shared" si="12"/>
        <v>1470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42</v>
      </c>
      <c r="C184" s="193">
        <v>45</v>
      </c>
      <c r="D184" s="179">
        <f t="shared" si="12"/>
        <v>1890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42</v>
      </c>
      <c r="C185" s="193">
        <v>60</v>
      </c>
      <c r="D185" s="179">
        <f t="shared" si="12"/>
        <v>2520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100</v>
      </c>
      <c r="B186" s="181">
        <f>'Données projet'!D174</f>
        <v>42</v>
      </c>
      <c r="C186" s="193">
        <v>75</v>
      </c>
      <c r="D186" s="179">
        <f t="shared" si="12"/>
        <v>3150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110</v>
      </c>
      <c r="B187" s="181">
        <f>'Données projet'!D175</f>
        <v>39</v>
      </c>
      <c r="C187" s="193">
        <v>90</v>
      </c>
      <c r="D187" s="179">
        <f t="shared" si="12"/>
        <v>3510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120</v>
      </c>
      <c r="B188" s="181">
        <f>'Données projet'!D176</f>
        <v>303</v>
      </c>
      <c r="C188" s="193">
        <v>150</v>
      </c>
      <c r="D188" s="179">
        <f t="shared" si="12"/>
        <v>45450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1120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12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16</v>
      </c>
      <c r="B210" s="181">
        <f>'Données projet'!D193</f>
        <v>15</v>
      </c>
      <c r="C210" s="193">
        <v>6</v>
      </c>
      <c r="D210" s="179">
        <f t="shared" ref="D210:D228" si="13">B210*C210</f>
        <v>90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20</v>
      </c>
      <c r="B211" s="181">
        <f>'Données projet'!D194</f>
        <v>22</v>
      </c>
      <c r="C211" s="193">
        <v>8</v>
      </c>
      <c r="D211" s="179">
        <f t="shared" si="13"/>
        <v>176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24</v>
      </c>
      <c r="B212" s="181">
        <f>'Données projet'!D195</f>
        <v>31</v>
      </c>
      <c r="C212" s="193">
        <v>10</v>
      </c>
      <c r="D212" s="179">
        <f t="shared" si="13"/>
        <v>310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28</v>
      </c>
      <c r="B213" s="181">
        <f>'Données projet'!D196</f>
        <v>35</v>
      </c>
      <c r="C213" s="193">
        <v>12</v>
      </c>
      <c r="D213" s="179">
        <f t="shared" si="13"/>
        <v>420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34</v>
      </c>
      <c r="B214" s="181">
        <f>'Données projet'!D197</f>
        <v>46</v>
      </c>
      <c r="C214" s="193">
        <v>17</v>
      </c>
      <c r="D214" s="179">
        <f t="shared" si="13"/>
        <v>782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40</v>
      </c>
      <c r="B215" s="181">
        <f>'Données projet'!D198</f>
        <v>41</v>
      </c>
      <c r="C215" s="193">
        <v>22</v>
      </c>
      <c r="D215" s="179">
        <f t="shared" si="13"/>
        <v>902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46</v>
      </c>
      <c r="B216" s="181">
        <f>'Données projet'!D199</f>
        <v>29</v>
      </c>
      <c r="C216" s="193">
        <v>27</v>
      </c>
      <c r="D216" s="179">
        <f t="shared" si="13"/>
        <v>783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54</v>
      </c>
      <c r="B217" s="181">
        <f>'Données projet'!D200</f>
        <v>16</v>
      </c>
      <c r="C217" s="193">
        <v>35</v>
      </c>
      <c r="D217" s="179">
        <f t="shared" si="13"/>
        <v>560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62</v>
      </c>
      <c r="B218" s="181">
        <f>'Données projet'!D201</f>
        <v>316</v>
      </c>
      <c r="C218" s="193">
        <v>45</v>
      </c>
      <c r="D218" s="179">
        <f t="shared" si="13"/>
        <v>14220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Tilleul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3120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43</v>
      </c>
      <c r="C240" s="193">
        <v>7</v>
      </c>
      <c r="D240" s="179">
        <f>B240*C240</f>
        <v>301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56</v>
      </c>
      <c r="C241" s="193">
        <v>10</v>
      </c>
      <c r="D241" s="179">
        <f t="shared" ref="D241:D259" si="14">B241*C241</f>
        <v>560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56</v>
      </c>
      <c r="C242" s="193">
        <v>15</v>
      </c>
      <c r="D242" s="179">
        <f t="shared" si="14"/>
        <v>840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39</v>
      </c>
      <c r="C243" s="193">
        <v>20</v>
      </c>
      <c r="D243" s="179">
        <f t="shared" si="14"/>
        <v>780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25</v>
      </c>
      <c r="C244" s="193">
        <v>25</v>
      </c>
      <c r="D244" s="179">
        <f t="shared" si="14"/>
        <v>625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21</v>
      </c>
      <c r="C245" s="193">
        <v>30</v>
      </c>
      <c r="D245" s="179">
        <f t="shared" si="14"/>
        <v>630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284</v>
      </c>
      <c r="C246" s="193">
        <v>35</v>
      </c>
      <c r="D246" s="179">
        <f t="shared" si="14"/>
        <v>9940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Pin noir d'Autriche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1808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20</v>
      </c>
      <c r="B271" s="181">
        <f>'Données projet'!D244</f>
        <v>3</v>
      </c>
      <c r="C271" s="193">
        <v>7</v>
      </c>
      <c r="D271" s="179">
        <f>B271*C271</f>
        <v>21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30</v>
      </c>
      <c r="B272" s="181">
        <f>'Données projet'!D245</f>
        <v>70</v>
      </c>
      <c r="C272" s="193">
        <v>10</v>
      </c>
      <c r="D272" s="179">
        <f t="shared" ref="D272:D290" si="15">B272*C272</f>
        <v>700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40</v>
      </c>
      <c r="B273" s="181">
        <f>'Données projet'!D246</f>
        <v>70</v>
      </c>
      <c r="C273" s="193">
        <v>15</v>
      </c>
      <c r="D273" s="179">
        <f t="shared" si="15"/>
        <v>1050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50</v>
      </c>
      <c r="B274" s="181">
        <f>'Données projet'!D247</f>
        <v>70</v>
      </c>
      <c r="C274" s="193">
        <v>20</v>
      </c>
      <c r="D274" s="179">
        <f t="shared" si="15"/>
        <v>1400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60</v>
      </c>
      <c r="B275" s="181">
        <f>'Données projet'!D248</f>
        <v>57</v>
      </c>
      <c r="C275" s="193">
        <v>30</v>
      </c>
      <c r="D275" s="179">
        <f t="shared" si="15"/>
        <v>1710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70</v>
      </c>
      <c r="B276" s="181">
        <f>'Données projet'!D249</f>
        <v>44</v>
      </c>
      <c r="C276" s="193">
        <v>45</v>
      </c>
      <c r="D276" s="179">
        <f t="shared" si="15"/>
        <v>1980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80</v>
      </c>
      <c r="B277" s="181">
        <f>'Données projet'!D250</f>
        <v>450</v>
      </c>
      <c r="C277" s="193">
        <v>60</v>
      </c>
      <c r="D277" s="179">
        <f t="shared" si="15"/>
        <v>27000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Alisier torminal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4096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20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30</v>
      </c>
      <c r="B303" s="181">
        <f>'Données projet'!D271</f>
        <v>29</v>
      </c>
      <c r="C303" s="191">
        <v>8</v>
      </c>
      <c r="D303" s="182">
        <f t="shared" ref="D303:D321" si="16">B303*C303</f>
        <v>232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40</v>
      </c>
      <c r="B304" s="181">
        <f>'Données projet'!D272</f>
        <v>42</v>
      </c>
      <c r="C304" s="191">
        <v>10</v>
      </c>
      <c r="D304" s="182">
        <f t="shared" si="16"/>
        <v>420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50</v>
      </c>
      <c r="B305" s="181">
        <f>'Données projet'!D273</f>
        <v>42</v>
      </c>
      <c r="C305" s="191">
        <v>20</v>
      </c>
      <c r="D305" s="182">
        <f t="shared" si="16"/>
        <v>840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60</v>
      </c>
      <c r="B306" s="181">
        <f>'Données projet'!D274</f>
        <v>42</v>
      </c>
      <c r="C306" s="191">
        <v>30</v>
      </c>
      <c r="D306" s="182">
        <f t="shared" si="16"/>
        <v>1260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70</v>
      </c>
      <c r="B307" s="181">
        <f>'Données projet'!D275</f>
        <v>42</v>
      </c>
      <c r="C307" s="191">
        <v>45</v>
      </c>
      <c r="D307" s="182">
        <f t="shared" si="16"/>
        <v>1890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80</v>
      </c>
      <c r="B308" s="181">
        <f>'Données projet'!D276</f>
        <v>42</v>
      </c>
      <c r="C308" s="191">
        <v>60</v>
      </c>
      <c r="D308" s="182">
        <f t="shared" si="16"/>
        <v>2520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90</v>
      </c>
      <c r="B309" s="181">
        <f>'Données projet'!D277</f>
        <v>42</v>
      </c>
      <c r="C309" s="191">
        <v>80</v>
      </c>
      <c r="D309" s="182">
        <f t="shared" si="16"/>
        <v>3360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100</v>
      </c>
      <c r="B310" s="181">
        <f>'Données projet'!D278</f>
        <v>42</v>
      </c>
      <c r="C310" s="191">
        <v>100</v>
      </c>
      <c r="D310" s="182">
        <f t="shared" si="16"/>
        <v>4200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110</v>
      </c>
      <c r="B311" s="181">
        <f>'Données projet'!D279</f>
        <v>39</v>
      </c>
      <c r="C311" s="191">
        <v>130</v>
      </c>
      <c r="D311" s="182">
        <f t="shared" si="16"/>
        <v>5070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120</v>
      </c>
      <c r="B312" s="181">
        <f>'Données projet'!D280</f>
        <v>303</v>
      </c>
      <c r="C312" s="191">
        <v>250</v>
      </c>
      <c r="D312" s="182">
        <f t="shared" si="16"/>
        <v>75750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dcterms:created xsi:type="dcterms:W3CDTF">2021-02-01T08:22:39Z</dcterms:created>
  <dcterms:modified xsi:type="dcterms:W3CDTF">2024-04-10T08:11:59Z</dcterms:modified>
</cp:coreProperties>
</file>