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RAIMBOURG - 13489433 LE/"/>
    </mc:Choice>
  </mc:AlternateContent>
  <xr:revisionPtr revIDLastSave="52" documentId="8_{63846FFE-A08D-46BE-8B2F-CFF133C42BEC}" xr6:coauthVersionLast="47" xr6:coauthVersionMax="47" xr10:uidLastSave="{1130612E-455F-452A-ABB6-F6BA986AB266}"/>
  <bookViews>
    <workbookView xWindow="-83" yWindow="0" windowWidth="9766" windowHeight="11363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V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G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EX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HI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FZ6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42" i="2" a="1"/>
  <c r="EI142" i="2" s="1"/>
  <c r="CS66" i="2" a="1"/>
  <c r="CS66" i="2" s="1"/>
  <c r="CS52" i="2" a="1"/>
  <c r="CS52" i="2" s="1"/>
  <c r="CS129" i="2" a="1"/>
  <c r="CS129" i="2" s="1"/>
  <c r="DN186" i="2" a="1"/>
  <c r="DN186" i="2" s="1"/>
  <c r="DN43" i="2" a="1"/>
  <c r="DN43" i="2" s="1"/>
  <c r="DN50" i="2" a="1"/>
  <c r="DN50" i="2" s="1"/>
  <c r="DN129" i="2" a="1"/>
  <c r="DN129" i="2" s="1"/>
  <c r="DN66" i="2" a="1"/>
  <c r="DN66" i="2" s="1"/>
  <c r="DN192" i="2" a="1"/>
  <c r="DN192" i="2" s="1"/>
  <c r="CS116" i="2" a="1"/>
  <c r="CS116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113" i="2" a="1"/>
  <c r="EI113" i="2" s="1"/>
  <c r="DN168" i="2" a="1"/>
  <c r="DN168" i="2" s="1"/>
  <c r="CS185" i="2" a="1"/>
  <c r="CS185" i="2" s="1"/>
  <c r="CS56" i="2" a="1"/>
  <c r="CS56" i="2" s="1"/>
  <c r="CS114" i="2" a="1"/>
  <c r="CS114" i="2" s="1"/>
  <c r="DN49" i="2" a="1"/>
  <c r="DN49" i="2" s="1"/>
  <c r="DN162" i="2" a="1"/>
  <c r="DN162" i="2" s="1"/>
  <c r="DN65" i="2" a="1"/>
  <c r="DN65" i="2" s="1"/>
  <c r="DN133" i="2" a="1"/>
  <c r="DN133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EI38" i="2" l="1" a="1"/>
  <c r="EI38" i="2" s="1"/>
  <c r="DN176" i="2" a="1"/>
  <c r="DN176" i="2" s="1"/>
  <c r="DN167" i="2" a="1"/>
  <c r="DN167" i="2" s="1"/>
  <c r="EI170" i="2" a="1"/>
  <c r="EI170" i="2" s="1"/>
  <c r="EI57" i="2" a="1"/>
  <c r="EI57" i="2" s="1"/>
  <c r="DN153" i="2" a="1"/>
  <c r="DN153" i="2" s="1"/>
  <c r="DN29" i="2" a="1"/>
  <c r="DN29" i="2" s="1"/>
  <c r="EI106" i="2" a="1"/>
  <c r="EI106" i="2" s="1"/>
  <c r="EI178" i="2" a="1"/>
  <c r="EI178" i="2" s="1"/>
  <c r="EI20" i="2" a="1"/>
  <c r="EI20" i="2" s="1"/>
  <c r="DN45" i="2" a="1"/>
  <c r="DN45" i="2" s="1"/>
  <c r="DN190" i="2" a="1"/>
  <c r="DN190" i="2" s="1"/>
  <c r="DN16" i="2" a="1"/>
  <c r="DN16" i="2" s="1"/>
  <c r="DN80" i="2" a="1"/>
  <c r="DN80" i="2" s="1"/>
  <c r="EI16" i="2" a="1"/>
  <c r="EI16" i="2" s="1"/>
  <c r="EI36" i="2" a="1"/>
  <c r="EI36" i="2" s="1"/>
  <c r="DN150" i="2" a="1"/>
  <c r="DN150" i="2" s="1"/>
  <c r="DN170" i="2" a="1"/>
  <c r="DN170" i="2" s="1"/>
  <c r="DN41" i="2" a="1"/>
  <c r="DN41" i="2" s="1"/>
  <c r="DN155" i="2" a="1"/>
  <c r="DN155" i="2" s="1"/>
  <c r="EI153" i="2" a="1"/>
  <c r="EI153" i="2" s="1"/>
  <c r="DN56" i="2" a="1"/>
  <c r="DN56" i="2" s="1"/>
  <c r="HG203" i="2"/>
  <c r="DN132" i="2" a="1"/>
  <c r="DN132" i="2" s="1"/>
  <c r="DN63" i="2" a="1"/>
  <c r="DN63" i="2" s="1"/>
  <c r="DN188" i="2" a="1"/>
  <c r="DN188" i="2" s="1"/>
  <c r="DN113" i="2" a="1"/>
  <c r="DN113" i="2" s="1"/>
  <c r="DN137" i="2" a="1"/>
  <c r="DN137" i="2" s="1"/>
  <c r="EI145" i="2" a="1"/>
  <c r="EI145" i="2" s="1"/>
  <c r="FR203" i="2"/>
  <c r="EI109" i="2" a="1"/>
  <c r="EI109" i="2" s="1"/>
  <c r="EI37" i="2" a="1"/>
  <c r="EI37" i="2" s="1"/>
  <c r="DN187" i="2" a="1"/>
  <c r="DN187" i="2" s="1"/>
  <c r="DN30" i="2" a="1"/>
  <c r="DN30" i="2" s="1"/>
  <c r="DN55" i="2" a="1"/>
  <c r="DN55" i="2" s="1"/>
  <c r="DN135" i="2" a="1"/>
  <c r="DN135" i="2" s="1"/>
  <c r="EI35" i="2" a="1"/>
  <c r="EI35" i="2" s="1"/>
  <c r="EI34" i="2" a="1"/>
  <c r="EI34" i="2" s="1"/>
  <c r="DN86" i="2" a="1"/>
  <c r="DN86" i="2" s="1"/>
  <c r="DN25" i="2" a="1"/>
  <c r="DN25" i="2" s="1"/>
  <c r="EI162" i="2" a="1"/>
  <c r="EI162" i="2" s="1"/>
  <c r="EI198" i="2" a="1"/>
  <c r="EI198" i="2" s="1"/>
  <c r="DN70" i="2" a="1"/>
  <c r="DN70" i="2" s="1"/>
  <c r="DN46" i="2" a="1"/>
  <c r="DN46" i="2" s="1"/>
  <c r="DN110" i="2" a="1"/>
  <c r="DN110" i="2" s="1"/>
  <c r="DN38" i="2" a="1"/>
  <c r="DN38" i="2" s="1"/>
  <c r="EI139" i="2" a="1"/>
  <c r="EI139" i="2" s="1"/>
  <c r="EI165" i="2" a="1"/>
  <c r="EI165" i="2" s="1"/>
  <c r="DN123" i="2" a="1"/>
  <c r="DN123" i="2" s="1"/>
  <c r="DN177" i="2" a="1"/>
  <c r="DN177" i="2" s="1"/>
  <c r="DN184" i="2" a="1"/>
  <c r="DN184" i="2" s="1"/>
  <c r="EI150" i="2" a="1"/>
  <c r="EI150" i="2" s="1"/>
  <c r="EI128" i="2" a="1"/>
  <c r="EI128" i="2" s="1"/>
  <c r="DN164" i="2" a="1"/>
  <c r="DN164" i="2" s="1"/>
  <c r="DN31" i="2" a="1"/>
  <c r="DN31" i="2" s="1"/>
  <c r="EI67" i="2" a="1"/>
  <c r="EI67" i="2" s="1"/>
  <c r="EI71" i="2" a="1"/>
  <c r="EI71" i="2" s="1"/>
  <c r="EI195" i="2" a="1"/>
  <c r="EI195" i="2" s="1"/>
  <c r="DN115" i="2" a="1"/>
  <c r="DN115" i="2" s="1"/>
  <c r="DN152" i="2" a="1"/>
  <c r="DN152" i="2" s="1"/>
  <c r="DN124" i="2" a="1"/>
  <c r="DN124" i="2" s="1"/>
  <c r="EI29" i="2" a="1"/>
  <c r="EI29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<sst xmlns="http://schemas.openxmlformats.org/spreadsheetml/2006/main" count="1171" uniqueCount="325">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</sst>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2" sqref="B12:M16"/>
    </sheetView>
  </sheetViews>
  <sheetFormatPr baseColWidth="10" defaultRowHeight="14.25" x14ac:dyDescent="0.45"/>
  <cols>
    <col min="1" max="1" width="6.796875" customWidth="1"/>
    <col min="2" max="13" width="15.7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F32" zoomScale="102" zoomScaleNormal="80" workbookViewId="0">
      <selection activeCell="C6" sqref="C6"/>
    </sheetView>
  </sheetViews>
  <sheetFormatPr baseColWidth="10" defaultColWidth="11.46484375" defaultRowHeight="14.25" x14ac:dyDescent="0.45"/>
  <cols>
    <col min="1" max="1" width="13.796875" style="23" customWidth="1"/>
    <col min="2" max="2" width="36.19921875" style="23" customWidth="1"/>
    <col min="3" max="3" width="14.796875" style="23" bestFit="1" customWidth="1"/>
    <col min="4" max="4" width="16.46484375" style="23" customWidth="1"/>
    <col min="5" max="5" width="23.19921875" style="23" customWidth="1"/>
    <col min="6" max="6" width="28.796875" style="23" bestFit="1" customWidth="1"/>
    <col min="7" max="8" width="14.796875" style="23" customWidth="1"/>
    <col min="9" max="9" width="17" style="23" customWidth="1"/>
    <col min="10" max="10" width="13.79687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1.8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18</v>
      </c>
      <c r="C9" s="32">
        <v>1</v>
      </c>
      <c r="D9" s="33">
        <f t="shared" ref="D9:D18" si="0">C9*$C$5</f>
        <v>1.8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1.8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Douglas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21</v>
      </c>
      <c r="B36" s="60">
        <v>195.31</v>
      </c>
      <c r="C36" s="60">
        <v>1</v>
      </c>
      <c r="D36" s="60">
        <v>64.599999999999994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9.300476190476191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28</v>
      </c>
      <c r="B37" s="60">
        <v>282.01</v>
      </c>
      <c r="C37" s="60">
        <v>2</v>
      </c>
      <c r="D37" s="60">
        <v>67.639999999999986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21.61428571428571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35</v>
      </c>
      <c r="B38" s="60">
        <v>377.23</v>
      </c>
      <c r="C38" s="60">
        <v>3</v>
      </c>
      <c r="D38" s="60">
        <v>86.700000000000045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23.265714285714289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42</v>
      </c>
      <c r="B39" s="60">
        <v>450.49</v>
      </c>
      <c r="C39" s="60">
        <v>4</v>
      </c>
      <c r="D39" s="60">
        <v>100.04000000000002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22.851428571428578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49</v>
      </c>
      <c r="B40" s="60">
        <v>504.24</v>
      </c>
      <c r="C40" s="60">
        <v>5</v>
      </c>
      <c r="D40" s="60">
        <v>112.69999999999999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21.970000000000002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56</v>
      </c>
      <c r="B41" s="60">
        <v>534.03</v>
      </c>
      <c r="C41" s="60">
        <v>6</v>
      </c>
      <c r="D41" s="60">
        <v>94.669999999999959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20.355714285714278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63</v>
      </c>
      <c r="B42" s="60">
        <v>569.67999999999995</v>
      </c>
      <c r="C42" s="60">
        <v>7</v>
      </c>
      <c r="D42" s="60">
        <v>99.599999999999966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18.617142857142849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70</v>
      </c>
      <c r="B43" s="60">
        <v>586.86</v>
      </c>
      <c r="C43" s="60">
        <v>8</v>
      </c>
      <c r="D43" s="60">
        <v>586.86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16.682857142857149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F20" sqref="F20"/>
    </sheetView>
  </sheetViews>
  <sheetFormatPr baseColWidth="10" defaultColWidth="11.46484375" defaultRowHeight="14.25" x14ac:dyDescent="0.45"/>
  <cols>
    <col min="1" max="1" width="5.796875" style="1" customWidth="1"/>
    <col min="2" max="2" width="14.19921875" style="1" customWidth="1"/>
    <col min="3" max="3" width="62.19921875" style="1" customWidth="1"/>
    <col min="4" max="5" width="4.19921875" style="1" customWidth="1"/>
    <col min="6" max="6" width="14.19921875" style="1" customWidth="1"/>
    <col min="7" max="7" width="73.1992187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796875" style="4" bestFit="1" customWidth="1"/>
    <col min="2" max="4" width="11.46484375" style="4"/>
    <col min="5" max="5" width="9.53125" style="4" customWidth="1"/>
    <col min="6" max="7" width="11.46484375" style="4"/>
    <col min="8" max="8" width="10.79687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796875" style="4" bestFit="1" customWidth="1"/>
    <col min="25" max="25" width="14.53125" style="4" bestFit="1" customWidth="1"/>
    <col min="26" max="26" width="12.46484375" style="4" bestFit="1" customWidth="1"/>
    <col min="27" max="27" width="9.79687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19921875" style="4" bestFit="1" customWidth="1"/>
    <col min="45" max="45" width="11.796875" style="4" bestFit="1" customWidth="1"/>
    <col min="46" max="46" width="8.46484375" style="4" bestFit="1" customWidth="1"/>
    <col min="47" max="47" width="9.46484375" style="4" bestFit="1" customWidth="1"/>
    <col min="48" max="48" width="9.79687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1992187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19921875" style="4" bestFit="1" customWidth="1"/>
    <col min="66" max="66" width="11.796875" style="4" bestFit="1" customWidth="1"/>
    <col min="67" max="67" width="8.46484375" style="4" bestFit="1" customWidth="1"/>
    <col min="68" max="68" width="9.46484375" style="4" bestFit="1" customWidth="1"/>
    <col min="69" max="69" width="9.79687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7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19921875" style="4" bestFit="1" customWidth="1"/>
    <col min="87" max="87" width="11.796875" style="4" bestFit="1" customWidth="1"/>
    <col min="88" max="88" width="8.46484375" style="4" bestFit="1" customWidth="1"/>
    <col min="89" max="89" width="9.46484375" style="4" bestFit="1" customWidth="1"/>
    <col min="90" max="90" width="9.79687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19921875" style="4" bestFit="1" customWidth="1"/>
    <col min="108" max="108" width="11.796875" style="4" bestFit="1" customWidth="1"/>
    <col min="109" max="109" width="8.46484375" style="4" bestFit="1" customWidth="1"/>
    <col min="110" max="110" width="9.46484375" style="4" bestFit="1" customWidth="1"/>
    <col min="111" max="111" width="9.79687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1992187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19921875" style="4" bestFit="1" customWidth="1"/>
    <col min="129" max="129" width="11.796875" style="4" bestFit="1" customWidth="1"/>
    <col min="130" max="130" width="8.46484375" style="4" bestFit="1" customWidth="1"/>
    <col min="131" max="131" width="9.46484375" style="4" bestFit="1" customWidth="1"/>
    <col min="132" max="132" width="9.79687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19921875" style="4" bestFit="1" customWidth="1"/>
    <col min="150" max="150" width="11.796875" style="4" bestFit="1" customWidth="1"/>
    <col min="151" max="151" width="8.46484375" style="4" bestFit="1" customWidth="1"/>
    <col min="152" max="152" width="9.46484375" style="4" bestFit="1" customWidth="1"/>
    <col min="153" max="153" width="9.79687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19921875" style="4" bestFit="1" customWidth="1"/>
    <col min="171" max="171" width="11.796875" style="4" bestFit="1" customWidth="1"/>
    <col min="172" max="172" width="8.19921875" style="4" bestFit="1" customWidth="1"/>
    <col min="173" max="173" width="9.46484375" style="4" bestFit="1" customWidth="1"/>
    <col min="174" max="174" width="9.79687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1992187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79687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1992187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19921875" style="4" bestFit="1" customWidth="1"/>
    <col min="213" max="213" width="11.796875" style="4" bestFit="1" customWidth="1"/>
    <col min="214" max="214" width="8.46484375" style="4" bestFit="1" customWidth="1"/>
    <col min="215" max="215" width="9.46484375" style="4" bestFit="1" customWidth="1"/>
    <col min="216" max="216" width="9.79687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Douglas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314.07001555875894</v>
      </c>
      <c r="T3" s="59">
        <f>IF('Données projet'!E9&gt;30,$R$33-$H$33,LOOKUP('Données projet'!$E$9,$A$3:$A$203,R3:R203)-LOOKUP('Données projet'!$E$9,$A$3:$A$203,$H$3:$H$203))</f>
        <v>281.53154885904991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9.300476190476191</v>
      </c>
      <c r="N4" s="13">
        <f>IF('Données projet'!$A$36&gt;35,N3+M4-V3,IF(A4&lt;'Données projet'!$A$36,$K$205^A4,IF(A4='Données projet'!$A$36,'Données projet'!$B$36,N3+M4-V3)))</f>
        <v>1.2855297099408214</v>
      </c>
      <c r="O4" s="13">
        <f>N4*VLOOKUP('Données projet'!$B$9,Paramètres!$A$1:$I$89,3,0)*VLOOKUP('Données projet'!$B$9,Paramètres!$A$1:$I$89,5,0)</f>
        <v>0.71861110785691917</v>
      </c>
      <c r="P4" s="13">
        <f>EXP(-1.0587+0.8836*LN(O4)+0.284)</f>
        <v>0.34415184160564588</v>
      </c>
      <c r="Q4" s="20">
        <f t="shared" ref="Q4:Q34" si="2">(O4+P4)*0.475*44/12</f>
        <v>1.8509788036473005</v>
      </c>
      <c r="R4" s="59">
        <f t="shared" si="0"/>
        <v>295.18431213698062</v>
      </c>
      <c r="S4" s="59">
        <f ca="1">AVERAGE(OFFSET($R$3,0,0,'Données projet'!$E$9+1,1))-AVERAGE(OFFSET($H$3,0,0,'Données projet'!$E$9+1,1))</f>
        <v>314.07001555875894</v>
      </c>
      <c r="T4" s="59">
        <f>$T$3</f>
        <v>281.53154885904991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9.300476190476191</v>
      </c>
      <c r="N5" s="13">
        <f>IF('Données projet'!$A$36&gt;35,N4+M5-V4,IF(A5&lt;'Données projet'!$A$36,$K$205^A5,IF(A5='Données projet'!$A$36,'Données projet'!$B$36,N4+M5-V4)))</f>
        <v>1.6525866351405323</v>
      </c>
      <c r="O5" s="13">
        <f>N5*VLOOKUP('Données projet'!$B$9,Paramètres!$A$1:$I$89,3,0)*VLOOKUP('Données projet'!$B$9,Paramètres!$A$1:$I$89,5,0)</f>
        <v>0.92379592904355756</v>
      </c>
      <c r="P5" s="13">
        <f t="shared" ref="P5:P68" si="33">EXP(-1.0587+0.8836*LN(O5)+0.284)</f>
        <v>0.42967002528896309</v>
      </c>
      <c r="Q5" s="20">
        <f t="shared" si="2"/>
        <v>2.35728653712914</v>
      </c>
      <c r="R5" s="59">
        <f t="shared" si="0"/>
        <v>295.69061987046246</v>
      </c>
      <c r="S5" s="59">
        <f ca="1">AVERAGE(OFFSET($R$3,0,0,'Données projet'!$E$9+1,1))-AVERAGE(OFFSET($H$3,0,0,'Données projet'!$E$9+1,1))</f>
        <v>314.07001555875894</v>
      </c>
      <c r="T5" s="59">
        <f t="shared" ref="T5:T68" si="34">$T$3</f>
        <v>281.53154885904991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9.300476190476191</v>
      </c>
      <c r="N6" s="13">
        <f>IF('Données projet'!$A$36&gt;35,N5+M6-V5,IF(A6&lt;'Données projet'!$A$36,$K$205^A6,IF(A6='Données projet'!$A$36,'Données projet'!$B$36,N5+M6-V5)))</f>
        <v>2.1244492177242864</v>
      </c>
      <c r="O6" s="13">
        <f>N6*VLOOKUP('Données projet'!$B$9,Paramètres!$A$1:$I$89,3,0)*VLOOKUP('Données projet'!$B$9,Paramètres!$A$1:$I$89,5,0)</f>
        <v>1.1875671127078762</v>
      </c>
      <c r="P6" s="13">
        <f t="shared" si="33"/>
        <v>0.53643859573869412</v>
      </c>
      <c r="Q6" s="20">
        <f t="shared" si="2"/>
        <v>3.0026432755444432</v>
      </c>
      <c r="R6" s="59">
        <f t="shared" si="0"/>
        <v>296.33597660887779</v>
      </c>
      <c r="S6" s="59">
        <f ca="1">AVERAGE(OFFSET($R$3,0,0,'Données projet'!$E$9+1,1))-AVERAGE(OFFSET($H$3,0,0,'Données projet'!$E$9+1,1))</f>
        <v>314.07001555875894</v>
      </c>
      <c r="T6" s="59">
        <f t="shared" si="34"/>
        <v>281.53154885904991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9.300476190476191</v>
      </c>
      <c r="N7" s="13">
        <f>IF('Données projet'!$A$36&gt;35,N6+M7-V6,IF(A7&lt;'Données projet'!$A$36,$K$205^A7,IF(A7='Données projet'!$A$36,'Données projet'!$B$36,N6+M7-V6)))</f>
        <v>2.7310425866451067</v>
      </c>
      <c r="O7" s="13">
        <f>N7*VLOOKUP('Données projet'!$B$9,Paramètres!$A$1:$I$89,3,0)*VLOOKUP('Données projet'!$B$9,Paramètres!$A$1:$I$89,5,0)</f>
        <v>1.5266528059346147</v>
      </c>
      <c r="P7" s="13">
        <f t="shared" si="33"/>
        <v>0.66973805492848271</v>
      </c>
      <c r="Q7" s="20">
        <f t="shared" si="2"/>
        <v>3.8253807493365612</v>
      </c>
      <c r="R7" s="59">
        <f t="shared" si="0"/>
        <v>297.15871408266986</v>
      </c>
      <c r="S7" s="59">
        <f ca="1">AVERAGE(OFFSET($R$3,0,0,'Données projet'!$E$9+1,1))-AVERAGE(OFFSET($H$3,0,0,'Données projet'!$E$9+1,1))</f>
        <v>314.07001555875894</v>
      </c>
      <c r="T7" s="59">
        <f t="shared" si="34"/>
        <v>281.53154885904991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9.300476190476191</v>
      </c>
      <c r="N8" s="13">
        <f>IF('Données projet'!$A$36&gt;35,N7+M8-V7,IF(A8&lt;'Données projet'!$A$36,$K$205^A8,IF(A8='Données projet'!$A$36,'Données projet'!$B$36,N7+M8-V7)))</f>
        <v>3.5108363842459145</v>
      </c>
      <c r="O8" s="13">
        <f>N8*VLOOKUP('Données projet'!$B$9,Paramètres!$A$1:$I$89,3,0)*VLOOKUP('Données projet'!$B$9,Paramètres!$A$1:$I$89,5,0)</f>
        <v>1.9625575387934662</v>
      </c>
      <c r="P8" s="13">
        <f t="shared" si="33"/>
        <v>0.83616105511893679</v>
      </c>
      <c r="Q8" s="20">
        <f t="shared" si="2"/>
        <v>4.8744348843974343</v>
      </c>
      <c r="R8" s="59">
        <f t="shared" si="0"/>
        <v>298.20776821773075</v>
      </c>
      <c r="S8" s="59">
        <f ca="1">AVERAGE(OFFSET($R$3,0,0,'Données projet'!$E$9+1,1))-AVERAGE(OFFSET($H$3,0,0,'Données projet'!$E$9+1,1))</f>
        <v>314.07001555875894</v>
      </c>
      <c r="T8" s="59">
        <f t="shared" si="34"/>
        <v>281.53154885904991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9.300476190476191</v>
      </c>
      <c r="N9" s="13">
        <f>IF('Données projet'!$A$36&gt;35,N8+M9-V8,IF(A9&lt;'Données projet'!$A$36,$K$205^A9,IF(A9='Données projet'!$A$36,'Données projet'!$B$36,N8+M9-V8)))</f>
        <v>4.5132844786893322</v>
      </c>
      <c r="O9" s="13">
        <f>N9*VLOOKUP('Données projet'!$B$9,Paramètres!$A$1:$I$89,3,0)*VLOOKUP('Données projet'!$B$9,Paramètres!$A$1:$I$89,5,0)</f>
        <v>2.5229260235873365</v>
      </c>
      <c r="P9" s="13">
        <f t="shared" si="33"/>
        <v>1.0439384546728099</v>
      </c>
      <c r="Q9" s="20">
        <f t="shared" si="2"/>
        <v>6.2122889663030882</v>
      </c>
      <c r="R9" s="59">
        <f t="shared" si="0"/>
        <v>299.54562229963642</v>
      </c>
      <c r="S9" s="59">
        <f ca="1">AVERAGE(OFFSET($R$3,0,0,'Données projet'!$E$9+1,1))-AVERAGE(OFFSET($H$3,0,0,'Données projet'!$E$9+1,1))</f>
        <v>314.07001555875894</v>
      </c>
      <c r="T9" s="59">
        <f t="shared" si="34"/>
        <v>281.53154885904991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9.300476190476191</v>
      </c>
      <c r="N10" s="13">
        <f>IF('Données projet'!$A$36&gt;35,N9+M10-V9,IF(A10&lt;'Données projet'!$A$36,$K$205^A10,IF(A10='Données projet'!$A$36,'Données projet'!$B$36,N9+M10-V9)))</f>
        <v>5.8019612867699086</v>
      </c>
      <c r="O10" s="13">
        <f>N10*VLOOKUP('Données projet'!$B$9,Paramètres!$A$1:$I$89,3,0)*VLOOKUP('Données projet'!$B$9,Paramètres!$A$1:$I$89,5,0)</f>
        <v>3.2432963593043791</v>
      </c>
      <c r="P10" s="13">
        <f t="shared" si="33"/>
        <v>1.3033463953779079</v>
      </c>
      <c r="Q10" s="20">
        <f t="shared" si="2"/>
        <v>7.9187361310716495</v>
      </c>
      <c r="R10" s="59">
        <f t="shared" si="0"/>
        <v>301.25206946440494</v>
      </c>
      <c r="S10" s="59">
        <f ca="1">AVERAGE(OFFSET($R$3,0,0,'Données projet'!$E$9+1,1))-AVERAGE(OFFSET($H$3,0,0,'Données projet'!$E$9+1,1))</f>
        <v>314.07001555875894</v>
      </c>
      <c r="T10" s="59">
        <f t="shared" si="34"/>
        <v>281.53154885904991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9.300476190476191</v>
      </c>
      <c r="N11" s="13">
        <f>IF('Données projet'!$A$36&gt;35,N10+M11-V10,IF(A11&lt;'Données projet'!$A$36,$K$205^A11,IF(A11='Données projet'!$A$36,'Données projet'!$B$36,N10+M11-V10)))</f>
        <v>7.4585936100691947</v>
      </c>
      <c r="O11" s="13">
        <f>N11*VLOOKUP('Données projet'!$B$9,Paramètres!$A$1:$I$89,3,0)*VLOOKUP('Données projet'!$B$9,Paramètres!$A$1:$I$89,5,0)</f>
        <v>4.1693538280286795</v>
      </c>
      <c r="P11" s="13">
        <f t="shared" si="33"/>
        <v>1.6272145342868833</v>
      </c>
      <c r="Q11" s="20">
        <f t="shared" si="2"/>
        <v>10.095689897699605</v>
      </c>
      <c r="R11" s="59">
        <f t="shared" si="0"/>
        <v>303.42902323103294</v>
      </c>
      <c r="S11" s="59">
        <f ca="1">AVERAGE(OFFSET($R$3,0,0,'Données projet'!$E$9+1,1))-AVERAGE(OFFSET($H$3,0,0,'Données projet'!$E$9+1,1))</f>
        <v>314.07001555875894</v>
      </c>
      <c r="T11" s="59">
        <f t="shared" si="34"/>
        <v>281.53154885904991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9.300476190476191</v>
      </c>
      <c r="N12" s="13">
        <f>IF('Données projet'!$A$36&gt;35,N11+M12-V11,IF(A12&lt;'Données projet'!$A$36,$K$205^A12,IF(A12='Données projet'!$A$36,'Données projet'!$B$36,N11+M12-V11)))</f>
        <v>9.5882436801187154</v>
      </c>
      <c r="O12" s="13">
        <f>N12*VLOOKUP('Données projet'!$B$9,Paramètres!$A$1:$I$89,3,0)*VLOOKUP('Données projet'!$B$9,Paramètres!$A$1:$I$89,5,0)</f>
        <v>5.3598282171863616</v>
      </c>
      <c r="P12" s="13">
        <f t="shared" si="33"/>
        <v>2.0315605659282445</v>
      </c>
      <c r="Q12" s="20">
        <f t="shared" si="2"/>
        <v>12.873335463924604</v>
      </c>
      <c r="R12" s="59">
        <f t="shared" si="0"/>
        <v>306.20666879725792</v>
      </c>
      <c r="S12" s="59">
        <f ca="1">AVERAGE(OFFSET($R$3,0,0,'Données projet'!$E$9+1,1))-AVERAGE(OFFSET($H$3,0,0,'Données projet'!$E$9+1,1))</f>
        <v>314.07001555875894</v>
      </c>
      <c r="T12" s="59">
        <f t="shared" si="34"/>
        <v>281.53154885904991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9.300476190476191</v>
      </c>
      <c r="N13" s="13">
        <f>IF('Données projet'!$A$36&gt;35,N12+M13-V12,IF(A13&lt;'Données projet'!$A$36,$K$205^A13,IF(A13='Données projet'!$A$36,'Données projet'!$B$36,N12+M13-V12)))</f>
        <v>12.325972116944925</v>
      </c>
      <c r="O13" s="13">
        <f>N13*VLOOKUP('Données projet'!$B$9,Paramètres!$A$1:$I$89,3,0)*VLOOKUP('Données projet'!$B$9,Paramètres!$A$1:$I$89,5,0)</f>
        <v>6.8902184133722137</v>
      </c>
      <c r="P13" s="13">
        <f t="shared" si="33"/>
        <v>2.5363824167434852</v>
      </c>
      <c r="Q13" s="20">
        <f t="shared" si="2"/>
        <v>16.417996445784841</v>
      </c>
      <c r="R13" s="59">
        <f t="shared" si="0"/>
        <v>309.75132977911818</v>
      </c>
      <c r="S13" s="59">
        <f ca="1">AVERAGE(OFFSET($R$3,0,0,'Données projet'!$E$9+1,1))-AVERAGE(OFFSET($H$3,0,0,'Données projet'!$E$9+1,1))</f>
        <v>314.07001555875894</v>
      </c>
      <c r="T13" s="59">
        <f t="shared" si="34"/>
        <v>281.53154885904991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9.300476190476191</v>
      </c>
      <c r="N14" s="13">
        <f>IF('Données projet'!$A$36&gt;35,N13+M14-V13,IF(A14&lt;'Données projet'!$A$36,$K$205^A14,IF(A14='Données projet'!$A$36,'Données projet'!$B$36,N13+M14-V13)))</f>
        <v>15.845403360234862</v>
      </c>
      <c r="O14" s="13">
        <f>N14*VLOOKUP('Données projet'!$B$9,Paramètres!$A$1:$I$89,3,0)*VLOOKUP('Données projet'!$B$9,Paramètres!$A$1:$I$89,5,0)</f>
        <v>8.8575804783712879</v>
      </c>
      <c r="P14" s="13">
        <f t="shared" si="33"/>
        <v>3.1666472916725947</v>
      </c>
      <c r="Q14" s="20">
        <f t="shared" si="2"/>
        <v>20.942196699493092</v>
      </c>
      <c r="R14" s="59">
        <f t="shared" si="0"/>
        <v>314.2755300328264</v>
      </c>
      <c r="S14" s="59">
        <f ca="1">AVERAGE(OFFSET($R$3,0,0,'Données projet'!$E$9+1,1))-AVERAGE(OFFSET($H$3,0,0,'Données projet'!$E$9+1,1))</f>
        <v>314.07001555875894</v>
      </c>
      <c r="T14" s="59">
        <f t="shared" si="34"/>
        <v>281.53154885904991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9.300476190476191</v>
      </c>
      <c r="N15" s="13">
        <f>IF('Données projet'!$A$36&gt;35,N14+M15-V14,IF(A15&lt;'Données projet'!$A$36,$K$205^A15,IF(A15='Données projet'!$A$36,'Données projet'!$B$36,N14+M15-V14)))</f>
        <v>20.369736785578038</v>
      </c>
      <c r="O15" s="13">
        <f>N15*VLOOKUP('Données projet'!$B$9,Paramètres!$A$1:$I$89,3,0)*VLOOKUP('Données projet'!$B$9,Paramètres!$A$1:$I$89,5,0)</f>
        <v>11.386682863138123</v>
      </c>
      <c r="P15" s="13">
        <f t="shared" si="33"/>
        <v>3.9535264886168462</v>
      </c>
      <c r="Q15" s="20">
        <f t="shared" si="2"/>
        <v>26.717531287639904</v>
      </c>
      <c r="R15" s="59">
        <f t="shared" si="0"/>
        <v>320.05086462097324</v>
      </c>
      <c r="S15" s="59">
        <f ca="1">AVERAGE(OFFSET($R$3,0,0,'Données projet'!$E$9+1,1))-AVERAGE(OFFSET($H$3,0,0,'Données projet'!$E$9+1,1))</f>
        <v>314.07001555875894</v>
      </c>
      <c r="T15" s="59">
        <f t="shared" si="34"/>
        <v>281.53154885904991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9.300476190476191</v>
      </c>
      <c r="N16" s="13">
        <f>IF('Données projet'!$A$36&gt;35,N15+M16-V15,IF(A16&lt;'Données projet'!$A$36,$K$205^A16,IF(A16='Données projet'!$A$36,'Données projet'!$B$36,N15+M16-V15)))</f>
        <v>26.185901821535015</v>
      </c>
      <c r="O16" s="13">
        <f>N16*VLOOKUP('Données projet'!$B$9,Paramètres!$A$1:$I$89,3,0)*VLOOKUP('Données projet'!$B$9,Paramètres!$A$1:$I$89,5,0)</f>
        <v>14.637919118238074</v>
      </c>
      <c r="P16" s="13">
        <f t="shared" si="33"/>
        <v>4.935937051561945</v>
      </c>
      <c r="Q16" s="20">
        <f t="shared" si="2"/>
        <v>34.091132829068357</v>
      </c>
      <c r="R16" s="59">
        <f t="shared" si="0"/>
        <v>327.4244661624017</v>
      </c>
      <c r="S16" s="59">
        <f ca="1">AVERAGE(OFFSET($R$3,0,0,'Données projet'!$E$9+1,1))-AVERAGE(OFFSET($H$3,0,0,'Données projet'!$E$9+1,1))</f>
        <v>314.07001555875894</v>
      </c>
      <c r="T16" s="59">
        <f t="shared" si="34"/>
        <v>281.53154885904991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9.300476190476191</v>
      </c>
      <c r="N17" s="13">
        <f>IF('Données projet'!$A$36&gt;35,N16+M17-V16,IF(A17&lt;'Données projet'!$A$36,$K$205^A17,IF(A17='Données projet'!$A$36,'Données projet'!$B$36,N16+M17-V16)))</f>
        <v>33.662754773176729</v>
      </c>
      <c r="O17" s="13">
        <f>N17*VLOOKUP('Données projet'!$B$9,Paramètres!$A$1:$I$89,3,0)*VLOOKUP('Données projet'!$B$9,Paramètres!$A$1:$I$89,5,0)</f>
        <v>18.817479918205791</v>
      </c>
      <c r="P17" s="13">
        <f t="shared" si="33"/>
        <v>6.1624665086044912</v>
      </c>
      <c r="Q17" s="20">
        <f t="shared" si="2"/>
        <v>43.50674002669458</v>
      </c>
      <c r="R17" s="59">
        <f t="shared" si="0"/>
        <v>336.84007336002787</v>
      </c>
      <c r="S17" s="59">
        <f ca="1">AVERAGE(OFFSET($R$3,0,0,'Données projet'!$E$9+1,1))-AVERAGE(OFFSET($H$3,0,0,'Données projet'!$E$9+1,1))</f>
        <v>314.07001555875894</v>
      </c>
      <c r="T17" s="59">
        <f t="shared" si="34"/>
        <v>281.53154885904991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9.300476190476191</v>
      </c>
      <c r="N18" s="13">
        <f>IF('Données projet'!$A$36&gt;35,N17+M18-V17,IF(A18&lt;'Données projet'!$A$36,$K$205^A18,IF(A18='Données projet'!$A$36,'Données projet'!$B$36,N17+M18-V17)))</f>
        <v>43.274471379370887</v>
      </c>
      <c r="O18" s="13">
        <f>N18*VLOOKUP('Données projet'!$B$9,Paramètres!$A$1:$I$89,3,0)*VLOOKUP('Données projet'!$B$9,Paramètres!$A$1:$I$89,5,0)</f>
        <v>24.190429501068326</v>
      </c>
      <c r="P18" s="13">
        <f t="shared" si="33"/>
        <v>7.6937758875297604</v>
      </c>
      <c r="Q18" s="20">
        <f t="shared" si="2"/>
        <v>55.531657718475003</v>
      </c>
      <c r="R18" s="59">
        <f t="shared" si="0"/>
        <v>348.86499105180832</v>
      </c>
      <c r="S18" s="59">
        <f ca="1">AVERAGE(OFFSET($R$3,0,0,'Données projet'!$E$9+1,1))-AVERAGE(OFFSET($H$3,0,0,'Données projet'!$E$9+1,1))</f>
        <v>314.07001555875894</v>
      </c>
      <c r="T18" s="59">
        <f t="shared" si="34"/>
        <v>281.53154885904991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9.300476190476191</v>
      </c>
      <c r="N19" s="13">
        <f>IF('Données projet'!$A$36&gt;35,N18+M19-V18,IF(A19&lt;'Données projet'!$A$36,$K$205^A19,IF(A19='Données projet'!$A$36,'Données projet'!$B$36,N18+M19-V18)))</f>
        <v>55.630618640165025</v>
      </c>
      <c r="O19" s="13">
        <f>N19*VLOOKUP('Données projet'!$B$9,Paramètres!$A$1:$I$89,3,0)*VLOOKUP('Données projet'!$B$9,Paramètres!$A$1:$I$89,5,0)</f>
        <v>31.097515819852248</v>
      </c>
      <c r="P19" s="13">
        <f t="shared" si="33"/>
        <v>9.6055998559802376</v>
      </c>
      <c r="Q19" s="20">
        <f t="shared" si="2"/>
        <v>70.891259802074913</v>
      </c>
      <c r="R19" s="59">
        <f t="shared" si="0"/>
        <v>364.22459313540821</v>
      </c>
      <c r="S19" s="59">
        <f ca="1">AVERAGE(OFFSET($R$3,0,0,'Données projet'!$E$9+1,1))-AVERAGE(OFFSET($H$3,0,0,'Données projet'!$E$9+1,1))</f>
        <v>314.07001555875894</v>
      </c>
      <c r="T19" s="59">
        <f t="shared" si="34"/>
        <v>281.53154885904991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9.300476190476191</v>
      </c>
      <c r="N20" s="13">
        <f>IF('Données projet'!$A$36&gt;35,N19+M20-V19,IF(A20&lt;'Données projet'!$A$36,$K$205^A20,IF(A20='Données projet'!$A$36,'Données projet'!$B$36,N19+M20-V19)))</f>
        <v>71.514813044319794</v>
      </c>
      <c r="O20" s="13">
        <f>N20*VLOOKUP('Données projet'!$B$9,Paramètres!$A$1:$I$89,3,0)*VLOOKUP('Données projet'!$B$9,Paramètres!$A$1:$I$89,5,0)</f>
        <v>39.976780491774768</v>
      </c>
      <c r="P20" s="13">
        <f t="shared" si="33"/>
        <v>11.992492365518064</v>
      </c>
      <c r="Q20" s="20">
        <f t="shared" si="2"/>
        <v>90.513150226451685</v>
      </c>
      <c r="R20" s="59">
        <f t="shared" si="0"/>
        <v>383.84648355978499</v>
      </c>
      <c r="S20" s="59">
        <f ca="1">AVERAGE(OFFSET($R$3,0,0,'Données projet'!$E$9+1,1))-AVERAGE(OFFSET($H$3,0,0,'Données projet'!$E$9+1,1))</f>
        <v>314.07001555875894</v>
      </c>
      <c r="T20" s="59">
        <f t="shared" si="34"/>
        <v>281.53154885904991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9.300476190476191</v>
      </c>
      <c r="N21" s="13">
        <f>IF('Données projet'!$A$36&gt;35,N20+M21-V20,IF(A21&lt;'Données projet'!$A$36,$K$205^A21,IF(A21='Données projet'!$A$36,'Données projet'!$B$36,N20+M21-V20)))</f>
        <v>91.934416869336488</v>
      </c>
      <c r="O21" s="13">
        <f>N21*VLOOKUP('Données projet'!$B$9,Paramètres!$A$1:$I$89,3,0)*VLOOKUP('Données projet'!$B$9,Paramètres!$A$1:$I$89,5,0)</f>
        <v>51.391339029959099</v>
      </c>
      <c r="P21" s="13">
        <f t="shared" si="33"/>
        <v>14.972503049611195</v>
      </c>
      <c r="Q21" s="20">
        <f t="shared" si="2"/>
        <v>115.58369162191825</v>
      </c>
      <c r="R21" s="59">
        <f t="shared" si="0"/>
        <v>408.91702495525158</v>
      </c>
      <c r="S21" s="59">
        <f ca="1">AVERAGE(OFFSET($R$3,0,0,'Données projet'!$E$9+1,1))-AVERAGE(OFFSET($H$3,0,0,'Données projet'!$E$9+1,1))</f>
        <v>314.07001555875894</v>
      </c>
      <c r="T21" s="59">
        <f t="shared" si="34"/>
        <v>281.53154885904991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9.300476190476191</v>
      </c>
      <c r="N22" s="13">
        <f>IF('Données projet'!$A$36&gt;35,N21+M22-V21,IF(A22&lt;'Données projet'!$A$36,$K$205^A22,IF(A22='Données projet'!$A$36,'Données projet'!$B$36,N21+M22-V21)))</f>
        <v>118.18442425161669</v>
      </c>
      <c r="O22" s="13">
        <f>N22*VLOOKUP('Données projet'!$B$9,Paramètres!$A$1:$I$89,3,0)*VLOOKUP('Données projet'!$B$9,Paramètres!$A$1:$I$89,5,0)</f>
        <v>66.065093156653731</v>
      </c>
      <c r="P22" s="13">
        <f t="shared" si="33"/>
        <v>18.693015658295351</v>
      </c>
      <c r="Q22" s="20">
        <f t="shared" si="2"/>
        <v>147.62037285270299</v>
      </c>
      <c r="R22" s="59">
        <f t="shared" si="0"/>
        <v>440.9537061860363</v>
      </c>
      <c r="S22" s="59">
        <f ca="1">AVERAGE(OFFSET($R$3,0,0,'Données projet'!$E$9+1,1))-AVERAGE(OFFSET($H$3,0,0,'Données projet'!$E$9+1,1))</f>
        <v>314.07001555875894</v>
      </c>
      <c r="T22" s="59">
        <f t="shared" si="34"/>
        <v>281.53154885904991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9.300476190476191</v>
      </c>
      <c r="N23" s="13">
        <f>IF('Données projet'!$A$36&gt;35,N22+M23-V22,IF(A23&lt;'Données projet'!$A$36,$K$205^A23,IF(A23='Données projet'!$A$36,'Données projet'!$B$36,N22+M23-V22)))</f>
        <v>151.92958862770377</v>
      </c>
      <c r="O23" s="13">
        <f>N23*VLOOKUP('Données projet'!$B$9,Paramètres!$A$1:$I$89,3,0)*VLOOKUP('Données projet'!$B$9,Paramètres!$A$1:$I$89,5,0)</f>
        <v>84.928640042886414</v>
      </c>
      <c r="P23" s="13">
        <f t="shared" si="33"/>
        <v>23.338037283642365</v>
      </c>
      <c r="Q23" s="20">
        <f t="shared" si="2"/>
        <v>188.56446301037093</v>
      </c>
      <c r="R23" s="59">
        <f t="shared" si="0"/>
        <v>481.89779634370427</v>
      </c>
      <c r="S23" s="59">
        <f ca="1">AVERAGE(OFFSET($R$3,0,0,'Données projet'!$E$9+1,1))-AVERAGE(OFFSET($H$3,0,0,'Données projet'!$E$9+1,1))</f>
        <v>314.07001555875894</v>
      </c>
      <c r="T23" s="59">
        <f t="shared" si="34"/>
        <v>281.53154885904991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195.31</v>
      </c>
      <c r="L24" s="12">
        <f>VLOOKUP(A24,'Données projet'!$A$35:$I$55,9,0)</f>
        <v>9.300476190476191</v>
      </c>
      <c r="M24" s="12">
        <f t="array" ref="M24">INDEX(L:L,MIN(IF(ISNUMBER(L24:L220),ROW(L24:L220),"")))</f>
        <v>9.300476190476191</v>
      </c>
      <c r="N24" s="13">
        <f>IF('Données projet'!$A$36&gt;35,N23+M24-V23,IF(A24&lt;'Données projet'!$A$36,$K$205^A24,IF(A24='Données projet'!$A$36,'Données projet'!$B$36,N23+M24-V23)))</f>
        <v>195.31</v>
      </c>
      <c r="O24" s="13">
        <f>N24*VLOOKUP('Données projet'!$B$9,Paramètres!$A$1:$I$89,3,0)*VLOOKUP('Données projet'!$B$9,Paramètres!$A$1:$I$89,5,0)</f>
        <v>109.17829</v>
      </c>
      <c r="P24" s="13">
        <f t="shared" si="33"/>
        <v>29.137298882589644</v>
      </c>
      <c r="Q24" s="20">
        <f t="shared" si="2"/>
        <v>240.89965063717693</v>
      </c>
      <c r="R24" s="59">
        <f t="shared" si="0"/>
        <v>534.2329839705103</v>
      </c>
      <c r="S24" s="59">
        <f ca="1">AVERAGE(OFFSET($R$3,0,0,'Données projet'!$E$9+1,1))-AVERAGE(OFFSET($H$3,0,0,'Données projet'!$E$9+1,1))</f>
        <v>314.07001555875894</v>
      </c>
      <c r="T24" s="59">
        <f t="shared" si="34"/>
        <v>281.53154885904991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64.599999999999994</v>
      </c>
      <c r="W24" s="16">
        <f>IF(ISNA(VLOOKUP(A24,'Données projet'!$A$35:$I$55,5,0)),0%,VLOOKUP(A24,'Données projet'!$A$35:$I$55,5,0)*VLOOKUP('Données projet'!$B$9,Paramètres!$A$1:$I$89,7,0))</f>
        <v>0.13750000000000001</v>
      </c>
      <c r="X24" s="16">
        <f>IF(ISNA(VLOOKUP(A24,'Données projet'!$A$35:$I$55,6,0)),0%,VLOOKUP(A24,'Données projet'!$A$35:$I$55,6,0)*VLOOKUP('Données projet'!$B$9,Paramètres!$A$1:$I$89,7,0))</f>
        <v>0.20350000000000001</v>
      </c>
      <c r="Y24" s="16">
        <f>IF(ISNA(VLOOKUP(A24,'Données projet'!$A$35:$I$55,7,0)),0%,VLOOKUP(A24,'Données projet'!$A$35:$I$55,7,0))</f>
        <v>0.38</v>
      </c>
      <c r="Z24" s="21">
        <f>EXP(-LN(2)/35)*Z23+(1-EXP(-LN(2)/35))/(LN(2)/35)*V24*W24*VLOOKUP('Données projet'!$B$9,Paramètres!$A$1:$I$89,3,0)*0.475*44/12</f>
        <v>6.5868137054719185</v>
      </c>
      <c r="AA24" s="21">
        <f>EXP(-LN(2)/25)*AA23+(1-EXP(-LN(2)/25))/(LN(2)/25)*Calculateur!V24*Calculateur!X24*VLOOKUP('Données projet'!$B$9,Paramètres!$A$1:$I$89,3,0)*0.475*44/12</f>
        <v>9.7101007870082245</v>
      </c>
      <c r="AB24" s="21">
        <f>EXP(-LN(2)/2)*AB23+(1-EXP(-LN(2)/2))/(LN(2)/2)*V24*Y24*VLOOKUP('Données projet'!$B$9,Paramètres!$A$1:$I$89,3,0)*0.475*44/12</f>
        <v>15.536867487780944</v>
      </c>
      <c r="AC24" s="22">
        <f t="shared" si="3"/>
        <v>31.833781980261087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21.61428571428571</v>
      </c>
      <c r="N25" s="13">
        <f>IF('Données projet'!$A$36&gt;35,N24+M25-V24,IF(A25&lt;'Données projet'!$A$36,$K$205^A25,IF(A25='Données projet'!$A$36,'Données projet'!$B$36,N24+M25-V24)))</f>
        <v>152.32428571428571</v>
      </c>
      <c r="O25" s="13">
        <f>N25*VLOOKUP('Données projet'!$B$9,Paramètres!$A$1:$I$89,3,0)*VLOOKUP('Données projet'!$B$9,Paramètres!$A$1:$I$89,5,0)</f>
        <v>85.149275714285707</v>
      </c>
      <c r="P25" s="13">
        <f t="shared" si="33"/>
        <v>23.391601652187223</v>
      </c>
      <c r="Q25" s="20">
        <f t="shared" si="2"/>
        <v>189.04202807994034</v>
      </c>
      <c r="R25" s="59">
        <f t="shared" si="0"/>
        <v>482.37536141327365</v>
      </c>
      <c r="S25" s="59">
        <f ca="1">AVERAGE(OFFSET($R$3,0,0,'Données projet'!$E$9+1,1))-AVERAGE(OFFSET($H$3,0,0,'Données projet'!$E$9+1,1))</f>
        <v>314.07001555875894</v>
      </c>
      <c r="T25" s="59">
        <f t="shared" si="34"/>
        <v>281.53154885904991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6.457650306267273</v>
      </c>
      <c r="AA25" s="21">
        <f>EXP(-LN(2)/25)*AA24+(1-EXP(-LN(2)/25))/(LN(2)/25)*Calculateur!V25*Calculateur!X25*VLOOKUP('Données projet'!$B$9,Paramètres!$A$1:$I$89,3,0)*0.475*44/12</f>
        <v>9.4445775703554773</v>
      </c>
      <c r="AB25" s="21">
        <f>EXP(-LN(2)/2)*AB24+(1-EXP(-LN(2)/2))/(LN(2)/2)*V25*Y25*VLOOKUP('Données projet'!$B$9,Paramètres!$A$1:$I$89,3,0)*0.475*44/12</f>
        <v>10.986224359006705</v>
      </c>
      <c r="AC25" s="22">
        <f t="shared" si="3"/>
        <v>26.888452235629455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21.61428571428571</v>
      </c>
      <c r="N26" s="13">
        <f>IF('Données projet'!$A$36&gt;35,N25+M26-V25,IF(A26&lt;'Données projet'!$A$36,$K$205^A26,IF(A26='Données projet'!$A$36,'Données projet'!$B$36,N25+M26-V25)))</f>
        <v>173.93857142857141</v>
      </c>
      <c r="O26" s="13">
        <f>N26*VLOOKUP('Données projet'!$B$9,Paramètres!$A$1:$I$89,3,0)*VLOOKUP('Données projet'!$B$9,Paramètres!$A$1:$I$89,5,0)</f>
        <v>97.231661428571414</v>
      </c>
      <c r="P26" s="13">
        <f t="shared" si="33"/>
        <v>26.301405349792162</v>
      </c>
      <c r="Q26" s="20">
        <f t="shared" si="2"/>
        <v>215.15342463898321</v>
      </c>
      <c r="R26" s="59">
        <f t="shared" si="0"/>
        <v>508.48675797231652</v>
      </c>
      <c r="S26" s="59">
        <f ca="1">AVERAGE(OFFSET($R$3,0,0,'Données projet'!$E$9+1,1))-AVERAGE(OFFSET($H$3,0,0,'Données projet'!$E$9+1,1))</f>
        <v>314.07001555875894</v>
      </c>
      <c r="T26" s="59">
        <f t="shared" si="34"/>
        <v>281.53154885904991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6.3310197225391365</v>
      </c>
      <c r="AA26" s="21">
        <f>EXP(-LN(2)/25)*AA25+(1-EXP(-LN(2)/25))/(LN(2)/25)*Calculateur!V26*Calculateur!X26*VLOOKUP('Données projet'!$B$9,Paramètres!$A$1:$I$89,3,0)*0.475*44/12</f>
        <v>9.1863151000253573</v>
      </c>
      <c r="AB26" s="21">
        <f>EXP(-LN(2)/2)*AB25+(1-EXP(-LN(2)/2))/(LN(2)/2)*V26*Y26*VLOOKUP('Données projet'!$B$9,Paramètres!$A$1:$I$89,3,0)*0.475*44/12</f>
        <v>7.7684337438904736</v>
      </c>
      <c r="AC26" s="22">
        <f t="shared" si="3"/>
        <v>23.285768566454966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21.61428571428571</v>
      </c>
      <c r="N27" s="13">
        <f>IF('Données projet'!$A$36&gt;35,N26+M27-V26,IF(A27&lt;'Données projet'!$A$36,$K$205^A27,IF(A27='Données projet'!$A$36,'Données projet'!$B$36,N26+M27-V26)))</f>
        <v>195.55285714285711</v>
      </c>
      <c r="O27" s="13">
        <f>N27*VLOOKUP('Données projet'!$B$9,Paramètres!$A$1:$I$89,3,0)*VLOOKUP('Données projet'!$B$9,Paramètres!$A$1:$I$89,5,0)</f>
        <v>109.31404714285712</v>
      </c>
      <c r="P27" s="13">
        <f t="shared" si="33"/>
        <v>29.169309937147133</v>
      </c>
      <c r="Q27" s="20">
        <f t="shared" si="2"/>
        <v>241.19184691434074</v>
      </c>
      <c r="R27" s="59">
        <f t="shared" si="0"/>
        <v>534.52518024767403</v>
      </c>
      <c r="S27" s="59">
        <f ca="1">AVERAGE(OFFSET($R$3,0,0,'Données projet'!$E$9+1,1))-AVERAGE(OFFSET($H$3,0,0,'Données projet'!$E$9+1,1))</f>
        <v>314.07001555875894</v>
      </c>
      <c r="T27" s="59">
        <f t="shared" si="34"/>
        <v>281.53154885904991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6.2068722873208797</v>
      </c>
      <c r="AA27" s="21">
        <f>EXP(-LN(2)/25)*AA26+(1-EXP(-LN(2)/25))/(LN(2)/25)*Calculateur!V27*Calculateur!X27*VLOOKUP('Données projet'!$B$9,Paramètres!$A$1:$I$89,3,0)*0.475*44/12</f>
        <v>8.9351148305278478</v>
      </c>
      <c r="AB27" s="21">
        <f>EXP(-LN(2)/2)*AB26+(1-EXP(-LN(2)/2))/(LN(2)/2)*V27*Y27*VLOOKUP('Données projet'!$B$9,Paramètres!$A$1:$I$89,3,0)*0.475*44/12</f>
        <v>5.4931121795033535</v>
      </c>
      <c r="AC27" s="22">
        <f t="shared" si="3"/>
        <v>20.635099297352081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21.61428571428571</v>
      </c>
      <c r="N28" s="13">
        <f>IF('Données projet'!$A$36&gt;35,N27+M28-V27,IF(A28&lt;'Données projet'!$A$36,$K$205^A28,IF(A28='Données projet'!$A$36,'Données projet'!$B$36,N27+M28-V27)))</f>
        <v>217.16714285714281</v>
      </c>
      <c r="O28" s="13">
        <f>N28*VLOOKUP('Données projet'!$B$9,Paramètres!$A$1:$I$89,3,0)*VLOOKUP('Données projet'!$B$9,Paramètres!$A$1:$I$89,5,0)</f>
        <v>121.39643285714283</v>
      </c>
      <c r="P28" s="13">
        <f t="shared" si="33"/>
        <v>32.00047469196349</v>
      </c>
      <c r="Q28" s="20">
        <f t="shared" si="2"/>
        <v>267.16628064802683</v>
      </c>
      <c r="R28" s="59">
        <f t="shared" si="0"/>
        <v>560.4996139813602</v>
      </c>
      <c r="S28" s="59">
        <f ca="1">AVERAGE(OFFSET($R$3,0,0,'Données projet'!$E$9+1,1))-AVERAGE(OFFSET($H$3,0,0,'Données projet'!$E$9+1,1))</f>
        <v>314.07001555875894</v>
      </c>
      <c r="T28" s="59">
        <f t="shared" si="34"/>
        <v>281.53154885904991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6.0851593075847941</v>
      </c>
      <c r="AA28" s="21">
        <f>EXP(-LN(2)/25)*AA27+(1-EXP(-LN(2)/25))/(LN(2)/25)*Calculateur!V28*Calculateur!X28*VLOOKUP('Données projet'!$B$9,Paramètres!$A$1:$I$89,3,0)*0.475*44/12</f>
        <v>8.6907836456097964</v>
      </c>
      <c r="AB28" s="21">
        <f>EXP(-LN(2)/2)*AB27+(1-EXP(-LN(2)/2))/(LN(2)/2)*V28*Y28*VLOOKUP('Données projet'!$B$9,Paramètres!$A$1:$I$89,3,0)*0.475*44/12</f>
        <v>3.8842168719452372</v>
      </c>
      <c r="AC28" s="22">
        <f t="shared" si="3"/>
        <v>18.660159825139829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21.61428571428571</v>
      </c>
      <c r="N29" s="13">
        <f>IF('Données projet'!$A$36&gt;35,N28+M29-V28,IF(A29&lt;'Données projet'!$A$36,$K$205^A29,IF(A29='Données projet'!$A$36,'Données projet'!$B$36,N28+M29-V28)))</f>
        <v>238.78142857142851</v>
      </c>
      <c r="O29" s="13">
        <f>N29*VLOOKUP('Données projet'!$B$9,Paramètres!$A$1:$I$89,3,0)*VLOOKUP('Données projet'!$B$9,Paramètres!$A$1:$I$89,5,0)</f>
        <v>133.47881857142855</v>
      </c>
      <c r="P29" s="13">
        <f t="shared" si="33"/>
        <v>34.798972504515248</v>
      </c>
      <c r="Q29" s="20">
        <f t="shared" si="2"/>
        <v>293.08381945726882</v>
      </c>
      <c r="R29" s="59">
        <f t="shared" si="0"/>
        <v>586.41715279060213</v>
      </c>
      <c r="S29" s="59">
        <f ca="1">AVERAGE(OFFSET($R$3,0,0,'Données projet'!$E$9+1,1))-AVERAGE(OFFSET($H$3,0,0,'Données projet'!$E$9+1,1))</f>
        <v>314.07001555875894</v>
      </c>
      <c r="T29" s="59">
        <f t="shared" si="34"/>
        <v>281.53154885904991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5.9658330451437456</v>
      </c>
      <c r="AA29" s="21">
        <f>EXP(-LN(2)/25)*AA28+(1-EXP(-LN(2)/25))/(LN(2)/25)*Calculateur!V29*Calculateur!X29*VLOOKUP('Données projet'!$B$9,Paramètres!$A$1:$I$89,3,0)*0.475*44/12</f>
        <v>8.453133709792148</v>
      </c>
      <c r="AB29" s="21">
        <f>EXP(-LN(2)/2)*AB28+(1-EXP(-LN(2)/2))/(LN(2)/2)*V29*Y29*VLOOKUP('Données projet'!$B$9,Paramètres!$A$1:$I$89,3,0)*0.475*44/12</f>
        <v>2.7465560897516772</v>
      </c>
      <c r="AC29" s="22">
        <f t="shared" si="3"/>
        <v>17.165522844687573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21.61428571428571</v>
      </c>
      <c r="N30" s="13">
        <f>IF('Données projet'!$A$36&gt;35,N29+M30-V29,IF(A30&lt;'Données projet'!$A$36,$K$205^A30,IF(A30='Données projet'!$A$36,'Données projet'!$B$36,N29+M30-V29)))</f>
        <v>260.39571428571423</v>
      </c>
      <c r="O30" s="13">
        <f>N30*VLOOKUP('Données projet'!$B$9,Paramètres!$A$1:$I$89,3,0)*VLOOKUP('Données projet'!$B$9,Paramètres!$A$1:$I$89,5,0)</f>
        <v>145.56120428571427</v>
      </c>
      <c r="P30" s="13">
        <f t="shared" si="33"/>
        <v>37.568096638366988</v>
      </c>
      <c r="Q30" s="20">
        <f t="shared" si="2"/>
        <v>318.95019910944154</v>
      </c>
      <c r="R30" s="59">
        <f t="shared" si="0"/>
        <v>612.28353244277491</v>
      </c>
      <c r="S30" s="59">
        <f ca="1">AVERAGE(OFFSET($R$3,0,0,'Données projet'!$E$9+1,1))-AVERAGE(OFFSET($H$3,0,0,'Données projet'!$E$9+1,1))</f>
        <v>314.07001555875894</v>
      </c>
      <c r="T30" s="59">
        <f t="shared" si="34"/>
        <v>281.53154885904991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5.8488466979273328</v>
      </c>
      <c r="AA30" s="21">
        <f>EXP(-LN(2)/25)*AA29+(1-EXP(-LN(2)/25))/(LN(2)/25)*Calculateur!V30*Calculateur!X30*VLOOKUP('Données projet'!$B$9,Paramètres!$A$1:$I$89,3,0)*0.475*44/12</f>
        <v>8.2219823239669001</v>
      </c>
      <c r="AB30" s="21">
        <f>EXP(-LN(2)/2)*AB29+(1-EXP(-LN(2)/2))/(LN(2)/2)*V30*Y30*VLOOKUP('Données projet'!$B$9,Paramètres!$A$1:$I$89,3,0)*0.475*44/12</f>
        <v>1.9421084359726188</v>
      </c>
      <c r="AC30" s="22">
        <f t="shared" si="3"/>
        <v>16.012937457866851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282.01</v>
      </c>
      <c r="L31" s="12">
        <f>VLOOKUP(A31,'Données projet'!$A$35:$I$55,9,0)</f>
        <v>21.61428571428571</v>
      </c>
      <c r="M31" s="12">
        <f t="array" ref="M31">INDEX(L:L,MIN(IF(ISNUMBER(L31:L227),ROW(L31:L227),"")))</f>
        <v>21.61428571428571</v>
      </c>
      <c r="N31" s="13">
        <f>IF('Données projet'!$A$36&gt;35,N30+M31-V30,IF(A31&lt;'Données projet'!$A$36,$K$205^A31,IF(A31='Données projet'!$A$36,'Données projet'!$B$36,N30+M31-V30)))</f>
        <v>282.00999999999993</v>
      </c>
      <c r="O31" s="13">
        <f>N31*VLOOKUP('Données projet'!$B$9,Paramètres!$A$1:$I$89,3,0)*VLOOKUP('Données projet'!$B$9,Paramètres!$A$1:$I$89,5,0)</f>
        <v>157.64358999999996</v>
      </c>
      <c r="P31" s="13">
        <f t="shared" si="33"/>
        <v>40.310562469543989</v>
      </c>
      <c r="Q31" s="20">
        <f t="shared" si="2"/>
        <v>344.77014888445569</v>
      </c>
      <c r="R31" s="59">
        <f t="shared" si="0"/>
        <v>638.10348221778895</v>
      </c>
      <c r="S31" s="59">
        <f ca="1">AVERAGE(OFFSET($R$3,0,0,'Données projet'!$E$9+1,1))-AVERAGE(OFFSET($H$3,0,0,'Données projet'!$E$9+1,1))</f>
        <v>314.07001555875894</v>
      </c>
      <c r="T31" s="59">
        <f t="shared" si="34"/>
        <v>281.53154885904991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67.639999999999986</v>
      </c>
      <c r="W31" s="16">
        <f>IF(ISNA(VLOOKUP(A31,'Données projet'!$A$35:$I$55,5,0)),0%,VLOOKUP(A31,'Données projet'!$A$35:$I$55,5,0)*VLOOKUP('Données projet'!$B$9,Paramètres!$A$1:$I$89,7,0))</f>
        <v>0.13750000000000001</v>
      </c>
      <c r="X31" s="16">
        <f>IF(ISNA(VLOOKUP(A31,'Données projet'!$A$35:$I$55,6,0)),0%,VLOOKUP(A31,'Données projet'!$A$35:$I$55,6,0)*VLOOKUP('Données projet'!$B$9,Paramètres!$A$1:$I$89,7,0))</f>
        <v>0.20350000000000001</v>
      </c>
      <c r="Y31" s="16">
        <f>IF(ISNA(VLOOKUP(A31,'Données projet'!$A$35:$I$55,7,0)),0%,VLOOKUP(A31,'Données projet'!$A$35:$I$55,7,0))</f>
        <v>0.38</v>
      </c>
      <c r="Z31" s="21">
        <f>EXP(-LN(2)/35)*Z30+(1-EXP(-LN(2)/35))/(LN(2)/35)*V31*W31*VLOOKUP('Données projet'!$B$9,Paramètres!$A$1:$I$89,3,0)*0.475*44/12</f>
        <v>12.630935790884042</v>
      </c>
      <c r="AA31" s="21">
        <f>EXP(-LN(2)/25)*AA30+(1-EXP(-LN(2)/25))/(LN(2)/25)*Calculateur!V31*Calculateur!X31*VLOOKUP('Données projet'!$B$9,Paramètres!$A$1:$I$89,3,0)*0.475*44/12</f>
        <v>18.164198491339612</v>
      </c>
      <c r="AB31" s="21">
        <f>EXP(-LN(2)/2)*AB30+(1-EXP(-LN(2)/2))/(LN(2)/2)*V31*Y31*VLOOKUP('Données projet'!$B$9,Paramètres!$A$1:$I$89,3,0)*0.475*44/12</f>
        <v>17.641292237964119</v>
      </c>
      <c r="AC31" s="22">
        <f t="shared" si="3"/>
        <v>48.436426520187773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23.265714285714289</v>
      </c>
      <c r="N32" s="13">
        <f>IF('Données projet'!$A$36&gt;35,N31+M32-V31,IF(A32&lt;'Données projet'!$A$36,$K$205^A32,IF(A32='Données projet'!$A$36,'Données projet'!$B$36,N31+M32-V31)))</f>
        <v>237.63571428571424</v>
      </c>
      <c r="O32" s="13">
        <f>N32*VLOOKUP('Données projet'!$B$9,Paramètres!$A$1:$I$89,3,0)*VLOOKUP('Données projet'!$B$9,Paramètres!$A$1:$I$89,5,0)</f>
        <v>132.83836428571425</v>
      </c>
      <c r="P32" s="13">
        <f t="shared" si="33"/>
        <v>34.651395262904387</v>
      </c>
      <c r="Q32" s="20">
        <f t="shared" si="2"/>
        <v>291.71133121384406</v>
      </c>
      <c r="R32" s="59">
        <f t="shared" si="0"/>
        <v>585.04466454717738</v>
      </c>
      <c r="S32" s="59">
        <f ca="1">AVERAGE(OFFSET($R$3,0,0,'Données projet'!$E$9+1,1))-AVERAGE(OFFSET($H$3,0,0,'Données projet'!$E$9+1,1))</f>
        <v>314.07001555875894</v>
      </c>
      <c r="T32" s="59">
        <f t="shared" si="34"/>
        <v>281.53154885904991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12.38325084413492</v>
      </c>
      <c r="AA32" s="21">
        <f>EXP(-LN(2)/25)*AA31+(1-EXP(-LN(2)/25))/(LN(2)/25)*Calculateur!V32*Calculateur!X32*VLOOKUP('Données projet'!$B$9,Paramètres!$A$1:$I$89,3,0)*0.475*44/12</f>
        <v>17.667497528380245</v>
      </c>
      <c r="AB32" s="21">
        <f>EXP(-LN(2)/2)*AB31+(1-EXP(-LN(2)/2))/(LN(2)/2)*V32*Y32*VLOOKUP('Données projet'!$B$9,Paramètres!$A$1:$I$89,3,0)*0.475*44/12</f>
        <v>12.474277370358035</v>
      </c>
      <c r="AC32" s="22">
        <f t="shared" si="3"/>
        <v>42.525025742873197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23.265714285714289</v>
      </c>
      <c r="N33" s="13">
        <f>IF('Données projet'!$A$36&gt;35,N32+M33-V32,IF(A33&lt;'Données projet'!$A$36,$K$205^A33,IF(A33='Données projet'!$A$36,'Données projet'!$B$36,N32+M33-V32)))</f>
        <v>260.90142857142854</v>
      </c>
      <c r="O33" s="13">
        <f>N33*VLOOKUP('Données projet'!$B$9,Paramètres!$A$1:$I$89,3,0)*VLOOKUP('Données projet'!$B$9,Paramètres!$A$1:$I$89,5,0)</f>
        <v>145.84389857142855</v>
      </c>
      <c r="P33" s="13">
        <f t="shared" si="33"/>
        <v>37.632557667341459</v>
      </c>
      <c r="Q33" s="20">
        <f t="shared" si="2"/>
        <v>319.55482794919106</v>
      </c>
      <c r="R33" s="59">
        <f t="shared" si="0"/>
        <v>612.88816128252438</v>
      </c>
      <c r="S33" s="59">
        <f ca="1">AVERAGE(OFFSET($R$3,0,0,'Données projet'!$E$9+1,1))-AVERAGE(OFFSET($H$3,0,0,'Données projet'!$E$9+1,1))</f>
        <v>314.07001555875894</v>
      </c>
      <c r="T33" s="59">
        <f t="shared" si="34"/>
        <v>281.53154885904991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12.14042284811865</v>
      </c>
      <c r="AA33" s="21">
        <f>EXP(-LN(2)/25)*AA32+(1-EXP(-LN(2)/25))/(LN(2)/25)*Calculateur!V33*Calculateur!X33*VLOOKUP('Données projet'!$B$9,Paramètres!$A$1:$I$89,3,0)*0.475*44/12</f>
        <v>17.184378879373373</v>
      </c>
      <c r="AB33" s="21">
        <f>EXP(-LN(2)/2)*AB32+(1-EXP(-LN(2)/2))/(LN(2)/2)*V33*Y33*VLOOKUP('Données projet'!$B$9,Paramètres!$A$1:$I$89,3,0)*0.475*44/12</f>
        <v>8.8206461189820615</v>
      </c>
      <c r="AC33" s="22">
        <f t="shared" si="3"/>
        <v>38.145447846474084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23.265714285714289</v>
      </c>
      <c r="N34" s="13">
        <f>IF('Données projet'!$A$36&gt;35,N33+M34-V33,IF(A34&lt;'Données projet'!$A$36,$K$205^A34,IF(A34='Données projet'!$A$36,'Données projet'!$B$36,N33+M34-V33)))</f>
        <v>284.16714285714284</v>
      </c>
      <c r="O34" s="13">
        <f>N34*VLOOKUP('Données projet'!$B$9,Paramètres!$A$1:$I$89,3,0)*VLOOKUP('Données projet'!$B$9,Paramètres!$A$1:$I$89,5,0)</f>
        <v>158.84943285714286</v>
      </c>
      <c r="P34" s="13">
        <f t="shared" si="33"/>
        <v>40.582892872917235</v>
      </c>
      <c r="Q34" s="20">
        <f t="shared" si="2"/>
        <v>347.34463397985468</v>
      </c>
      <c r="R34" s="59">
        <f t="shared" si="0"/>
        <v>640.67796731318799</v>
      </c>
      <c r="S34" s="59">
        <f ca="1">AVERAGE(OFFSET($R$3,0,0,'Données projet'!$E$9+1,1))-AVERAGE(OFFSET($H$3,0,0,'Données projet'!$E$9+1,1))</f>
        <v>314.07001555875894</v>
      </c>
      <c r="T34" s="59">
        <f t="shared" si="34"/>
        <v>281.53154885904991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11.902356560993805</v>
      </c>
      <c r="AA34" s="21">
        <f>EXP(-LN(2)/25)*AA33+(1-EXP(-LN(2)/25))/(LN(2)/25)*Calculateur!V34*Calculateur!X34*VLOOKUP('Données projet'!$B$9,Paramètres!$A$1:$I$89,3,0)*0.475*44/12</f>
        <v>16.714471135229697</v>
      </c>
      <c r="AB34" s="21">
        <f>EXP(-LN(2)/2)*AB33+(1-EXP(-LN(2)/2))/(LN(2)/2)*V34*Y34*VLOOKUP('Données projet'!$B$9,Paramètres!$A$1:$I$89,3,0)*0.475*44/12</f>
        <v>6.2371386851790183</v>
      </c>
      <c r="AC34" s="22">
        <f t="shared" si="3"/>
        <v>34.853966381402522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23.265714285714289</v>
      </c>
      <c r="N35" s="13">
        <f>IF('Données projet'!$A$36&gt;35,N34+M35-V34,IF(A35&lt;'Données projet'!$A$36,$K$205^A35,IF(A35='Données projet'!$A$36,'Données projet'!$B$36,N34+M35-V34)))</f>
        <v>307.43285714285713</v>
      </c>
      <c r="O35" s="13">
        <f>N35*VLOOKUP('Données projet'!$B$9,Paramètres!$A$1:$I$89,3,0)*VLOOKUP('Données projet'!$B$9,Paramètres!$A$1:$I$89,5,0)</f>
        <v>171.85496714285716</v>
      </c>
      <c r="P35" s="13">
        <f t="shared" si="33"/>
        <v>43.505211750246715</v>
      </c>
      <c r="Q35" s="20">
        <f t="shared" ref="Q35:Q66" si="53">(O35+P35)*0.475*44/12</f>
        <v>375.08564490548923</v>
      </c>
      <c r="R35" s="59">
        <f t="shared" si="0"/>
        <v>668.41897823882255</v>
      </c>
      <c r="S35" s="59">
        <f ca="1">AVERAGE(OFFSET($R$3,0,0,'Données projet'!$E$9+1,1))-AVERAGE(OFFSET($H$3,0,0,'Données projet'!$E$9+1,1))</f>
        <v>314.07001555875894</v>
      </c>
      <c r="T35" s="59">
        <f t="shared" si="34"/>
        <v>281.53154885904991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11.668958608553382</v>
      </c>
      <c r="AA35" s="21">
        <f>EXP(-LN(2)/25)*AA34+(1-EXP(-LN(2)/25))/(LN(2)/25)*Calculateur!V35*Calculateur!X35*VLOOKUP('Données projet'!$B$9,Paramètres!$A$1:$I$89,3,0)*0.475*44/12</f>
        <v>16.257413043061007</v>
      </c>
      <c r="AB35" s="21">
        <f>EXP(-LN(2)/2)*AB34+(1-EXP(-LN(2)/2))/(LN(2)/2)*V35*Y35*VLOOKUP('Données projet'!$B$9,Paramètres!$A$1:$I$89,3,0)*0.475*44/12</f>
        <v>4.4103230594910308</v>
      </c>
      <c r="AC35" s="22">
        <f t="shared" si="3"/>
        <v>32.336694711105423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23.265714285714289</v>
      </c>
      <c r="N36" s="13">
        <f>IF('Données projet'!$A$36&gt;35,N35+M36-V35,IF(A36&lt;'Données projet'!$A$36,$K$205^A36,IF(A36='Données projet'!$A$36,'Données projet'!$B$36,N35+M36-V35)))</f>
        <v>330.69857142857143</v>
      </c>
      <c r="O36" s="13">
        <f>N36*VLOOKUP('Données projet'!$B$9,Paramètres!$A$1:$I$89,3,0)*VLOOKUP('Données projet'!$B$9,Paramètres!$A$1:$I$89,5,0)</f>
        <v>184.86050142857144</v>
      </c>
      <c r="P36" s="13">
        <f t="shared" si="33"/>
        <v>46.401875578821517</v>
      </c>
      <c r="Q36" s="20">
        <f t="shared" si="53"/>
        <v>402.7819732878761</v>
      </c>
      <c r="R36" s="59">
        <f t="shared" si="0"/>
        <v>696.11530662120936</v>
      </c>
      <c r="S36" s="59">
        <f ca="1">AVERAGE(OFFSET($R$3,0,0,'Données projet'!$E$9+1,1))-AVERAGE(OFFSET($H$3,0,0,'Données projet'!$E$9+1,1))</f>
        <v>314.07001555875894</v>
      </c>
      <c r="T36" s="59">
        <f t="shared" si="34"/>
        <v>281.53154885904991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11.44013744760162</v>
      </c>
      <c r="AA36" s="21">
        <f>EXP(-LN(2)/25)*AA35+(1-EXP(-LN(2)/25))/(LN(2)/25)*Calculateur!V36*Calculateur!X36*VLOOKUP('Données projet'!$B$9,Paramètres!$A$1:$I$89,3,0)*0.475*44/12</f>
        <v>15.812853228458309</v>
      </c>
      <c r="AB36" s="21">
        <f>EXP(-LN(2)/2)*AB35+(1-EXP(-LN(2)/2))/(LN(2)/2)*V36*Y36*VLOOKUP('Données projet'!$B$9,Paramètres!$A$1:$I$89,3,0)*0.475*44/12</f>
        <v>3.1185693425895091</v>
      </c>
      <c r="AC36" s="22">
        <f t="shared" si="3"/>
        <v>30.37156001864944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23.265714285714289</v>
      </c>
      <c r="N37" s="13">
        <f>IF('Données projet'!$A$36&gt;35,N36+M37-V36,IF(A37&lt;'Données projet'!$A$36,$K$205^A37,IF(A37='Données projet'!$A$36,'Données projet'!$B$36,N36+M37-V36)))</f>
        <v>353.96428571428572</v>
      </c>
      <c r="O37" s="13">
        <f>N37*VLOOKUP('Données projet'!$B$9,Paramètres!$A$1:$I$89,3,0)*VLOOKUP('Données projet'!$B$9,Paramètres!$A$1:$I$89,5,0)</f>
        <v>197.86603571428572</v>
      </c>
      <c r="P37" s="13">
        <f t="shared" si="33"/>
        <v>49.274894571766396</v>
      </c>
      <c r="Q37" s="20">
        <f t="shared" si="53"/>
        <v>430.43712024820735</v>
      </c>
      <c r="R37" s="59">
        <f t="shared" si="0"/>
        <v>723.77045358154066</v>
      </c>
      <c r="S37" s="59">
        <f ca="1">AVERAGE(OFFSET($R$3,0,0,'Données projet'!$E$9+1,1))-AVERAGE(OFFSET($H$3,0,0,'Données projet'!$E$9+1,1))</f>
        <v>314.07001555875894</v>
      </c>
      <c r="T37" s="59">
        <f t="shared" si="34"/>
        <v>281.53154885904991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11.215803330048995</v>
      </c>
      <c r="AA37" s="21">
        <f>EXP(-LN(2)/25)*AA36+(1-EXP(-LN(2)/25))/(LN(2)/25)*Calculateur!V37*Calculateur!X37*VLOOKUP('Données projet'!$B$9,Paramètres!$A$1:$I$89,3,0)*0.475*44/12</f>
        <v>15.380449925364307</v>
      </c>
      <c r="AB37" s="21">
        <f>EXP(-LN(2)/2)*AB36+(1-EXP(-LN(2)/2))/(LN(2)/2)*V37*Y37*VLOOKUP('Données projet'!$B$9,Paramètres!$A$1:$I$89,3,0)*0.475*44/12</f>
        <v>2.2051615297455154</v>
      </c>
      <c r="AC37" s="22">
        <f t="shared" si="3"/>
        <v>28.801414785158819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377.23</v>
      </c>
      <c r="L38" s="12">
        <f>VLOOKUP(A38,'Données projet'!$A$35:$I$55,9,0)</f>
        <v>23.265714285714289</v>
      </c>
      <c r="M38" s="12">
        <f t="array" ref="M38">INDEX(L:L,MIN(IF(ISNUMBER(L38:L234),ROW(L38:L234),"")))</f>
        <v>23.265714285714289</v>
      </c>
      <c r="N38" s="13">
        <f>IF('Données projet'!$A$36&gt;35,N37+M38-V37,IF(A38&lt;'Données projet'!$A$36,$K$205^A38,IF(A38='Données projet'!$A$36,'Données projet'!$B$36,N37+M38-V37)))</f>
        <v>377.23</v>
      </c>
      <c r="O38" s="13">
        <f>N38*VLOOKUP('Données projet'!$B$9,Paramètres!$A$1:$I$89,3,0)*VLOOKUP('Données projet'!$B$9,Paramètres!$A$1:$I$89,5,0)</f>
        <v>210.87157000000002</v>
      </c>
      <c r="P38" s="13">
        <f t="shared" si="33"/>
        <v>52.125999737089174</v>
      </c>
      <c r="Q38" s="20">
        <f t="shared" si="53"/>
        <v>458.05410062543029</v>
      </c>
      <c r="R38" s="59">
        <f t="shared" si="0"/>
        <v>751.38743395876361</v>
      </c>
      <c r="S38" s="59">
        <f ca="1">AVERAGE(OFFSET($R$3,0,0,'Données projet'!$E$9+1,1))-AVERAGE(OFFSET($H$3,0,0,'Données projet'!$E$9+1,1))</f>
        <v>314.07001555875894</v>
      </c>
      <c r="T38" s="59">
        <f t="shared" si="34"/>
        <v>281.53154885904991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86.700000000000045</v>
      </c>
      <c r="W38" s="16">
        <f>IF(ISNA(VLOOKUP(A38,'Données projet'!$A$35:$I$55,5,0)),0%,VLOOKUP(A38,'Données projet'!$A$35:$I$55,5,0)*VLOOKUP('Données projet'!$B$9,Paramètres!$A$1:$I$89,7,0))</f>
        <v>0.33</v>
      </c>
      <c r="X38" s="16">
        <f>IF(ISNA(VLOOKUP(A38,'Données projet'!$A$35:$I$55,6,0)),0%,VLOOKUP(A38,'Données projet'!$A$35:$I$55,6,0)*VLOOKUP('Données projet'!$B$9,Paramètres!$A$1:$I$89,7,0))</f>
        <v>0.11000000000000001</v>
      </c>
      <c r="Y38" s="16">
        <f>IF(ISNA(VLOOKUP(A38,'Données projet'!$A$35:$I$55,7,0)),0%,VLOOKUP(A38,'Données projet'!$A$35:$I$55,7,0))</f>
        <v>0.2</v>
      </c>
      <c r="Z38" s="21">
        <f>EXP(-LN(2)/35)*Z37+(1-EXP(-LN(2)/35))/(LN(2)/35)*V38*W38*VLOOKUP('Données projet'!$B$9,Paramètres!$A$1:$I$89,3,0)*0.475*44/12</f>
        <v>32.212341887441895</v>
      </c>
      <c r="AA38" s="21">
        <f>EXP(-LN(2)/25)*AA37+(1-EXP(-LN(2)/25))/(LN(2)/25)*Calculateur!V38*Calculateur!X38*VLOOKUP('Données projet'!$B$9,Paramètres!$A$1:$I$89,3,0)*0.475*44/12</f>
        <v>22.004182806325677</v>
      </c>
      <c r="AB38" s="21">
        <f>EXP(-LN(2)/2)*AB37+(1-EXP(-LN(2)/2))/(LN(2)/2)*V38*Y38*VLOOKUP('Données projet'!$B$9,Paramètres!$A$1:$I$89,3,0)*0.475*44/12</f>
        <v>12.534080265156646</v>
      </c>
      <c r="AC38" s="22">
        <f t="shared" si="3"/>
        <v>66.750604958924214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22.851428571428578</v>
      </c>
      <c r="N39" s="13">
        <f>IF('Données projet'!$A$36&gt;35,N38+M39-V38,IF(A39&lt;'Données projet'!$A$36,$K$205^A39,IF(A39='Données projet'!$A$36,'Données projet'!$B$36,N38+M39-V38)))</f>
        <v>313.38142857142856</v>
      </c>
      <c r="O39" s="13">
        <f>N39*VLOOKUP('Données projet'!$B$9,Paramètres!$A$1:$I$89,3,0)*VLOOKUP('Données projet'!$B$9,Paramètres!$A$1:$I$89,5,0)</f>
        <v>175.18021857142855</v>
      </c>
      <c r="P39" s="13">
        <f t="shared" si="33"/>
        <v>44.248185618905715</v>
      </c>
      <c r="Q39" s="20">
        <f t="shared" si="53"/>
        <v>382.17113729816555</v>
      </c>
      <c r="R39" s="59">
        <f t="shared" si="0"/>
        <v>675.50447063149886</v>
      </c>
      <c r="S39" s="59">
        <f ca="1">AVERAGE(OFFSET($R$3,0,0,'Données projet'!$E$9+1,1))-AVERAGE(OFFSET($H$3,0,0,'Données projet'!$E$9+1,1))</f>
        <v>314.07001555875894</v>
      </c>
      <c r="T39" s="59">
        <f t="shared" si="34"/>
        <v>281.53154885904991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31.580677510617672</v>
      </c>
      <c r="AA39" s="21">
        <f>EXP(-LN(2)/25)*AA38+(1-EXP(-LN(2)/25))/(LN(2)/25)*Calculateur!V39*Calculateur!X39*VLOOKUP('Données projet'!$B$9,Paramètres!$A$1:$I$89,3,0)*0.475*44/12</f>
        <v>21.40247727033702</v>
      </c>
      <c r="AB39" s="21">
        <f>EXP(-LN(2)/2)*AB38+(1-EXP(-LN(2)/2))/(LN(2)/2)*V39*Y39*VLOOKUP('Données projet'!$B$9,Paramètres!$A$1:$I$89,3,0)*0.475*44/12</f>
        <v>8.862933151428745</v>
      </c>
      <c r="AC39" s="22">
        <f t="shared" si="3"/>
        <v>61.84608793238344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22.851428571428578</v>
      </c>
      <c r="N40" s="13">
        <f>IF('Données projet'!$A$36&gt;35,N39+M40-V39,IF(A40&lt;'Données projet'!$A$36,$K$205^A40,IF(A40='Données projet'!$A$36,'Données projet'!$B$36,N39+M40-V39)))</f>
        <v>336.23285714285714</v>
      </c>
      <c r="O40" s="13">
        <f>N40*VLOOKUP('Données projet'!$B$9,Paramètres!$A$1:$I$89,3,0)*VLOOKUP('Données projet'!$B$9,Paramètres!$A$1:$I$89,5,0)</f>
        <v>187.95416714285713</v>
      </c>
      <c r="P40" s="13">
        <f t="shared" si="33"/>
        <v>47.087363665282226</v>
      </c>
      <c r="Q40" s="20">
        <f t="shared" si="53"/>
        <v>409.36399949084267</v>
      </c>
      <c r="R40" s="59">
        <f t="shared" si="0"/>
        <v>702.69733282417599</v>
      </c>
      <c r="S40" s="59">
        <f ca="1">AVERAGE(OFFSET($R$3,0,0,'Données projet'!$E$9+1,1))-AVERAGE(OFFSET($H$3,0,0,'Données projet'!$E$9+1,1))</f>
        <v>314.07001555875894</v>
      </c>
      <c r="T40" s="59">
        <f t="shared" si="34"/>
        <v>281.53154885904991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30.961399686945747</v>
      </c>
      <c r="AA40" s="21">
        <f>EXP(-LN(2)/25)*AA39+(1-EXP(-LN(2)/25))/(LN(2)/25)*Calculateur!V40*Calculateur!X40*VLOOKUP('Données projet'!$B$9,Paramètres!$A$1:$I$89,3,0)*0.475*44/12</f>
        <v>20.817225403872289</v>
      </c>
      <c r="AB40" s="21">
        <f>EXP(-LN(2)/2)*AB39+(1-EXP(-LN(2)/2))/(LN(2)/2)*V40*Y40*VLOOKUP('Données projet'!$B$9,Paramètres!$A$1:$I$89,3,0)*0.475*44/12</f>
        <v>6.267040132578324</v>
      </c>
      <c r="AC40" s="22">
        <f t="shared" si="3"/>
        <v>58.045665223396362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22.851428571428578</v>
      </c>
      <c r="N41" s="13">
        <f>IF('Données projet'!$A$36&gt;35,N40+M41-V40,IF(A41&lt;'Données projet'!$A$36,$K$205^A41,IF(A41='Données projet'!$A$36,'Données projet'!$B$36,N40+M41-V40)))</f>
        <v>359.08428571428573</v>
      </c>
      <c r="O41" s="13">
        <f>N41*VLOOKUP('Données projet'!$B$9,Paramètres!$A$1:$I$89,3,0)*VLOOKUP('Données projet'!$B$9,Paramètres!$A$1:$I$89,5,0)</f>
        <v>200.72811571428574</v>
      </c>
      <c r="P41" s="13">
        <f t="shared" si="33"/>
        <v>49.904151662519681</v>
      </c>
      <c r="Q41" s="20">
        <f t="shared" si="53"/>
        <v>436.51786568126948</v>
      </c>
      <c r="R41" s="59">
        <f t="shared" si="0"/>
        <v>729.8511990146028</v>
      </c>
      <c r="S41" s="59">
        <f ca="1">AVERAGE(OFFSET($R$3,0,0,'Données projet'!$E$9+1,1))-AVERAGE(OFFSET($H$3,0,0,'Données projet'!$E$9+1,1))</f>
        <v>314.07001555875894</v>
      </c>
      <c r="T41" s="59">
        <f t="shared" si="34"/>
        <v>281.53154885904991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30.354265523673853</v>
      </c>
      <c r="AA41" s="21">
        <f>EXP(-LN(2)/25)*AA40+(1-EXP(-LN(2)/25))/(LN(2)/25)*Calculateur!V41*Calculateur!X41*VLOOKUP('Données projet'!$B$9,Paramètres!$A$1:$I$89,3,0)*0.475*44/12</f>
        <v>20.247977280473094</v>
      </c>
      <c r="AB41" s="21">
        <f>EXP(-LN(2)/2)*AB40+(1-EXP(-LN(2)/2))/(LN(2)/2)*V41*Y41*VLOOKUP('Données projet'!$B$9,Paramètres!$A$1:$I$89,3,0)*0.475*44/12</f>
        <v>4.4314665757143734</v>
      </c>
      <c r="AC41" s="22">
        <f t="shared" si="3"/>
        <v>55.033709379861321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22.851428571428578</v>
      </c>
      <c r="N42" s="13">
        <f>IF('Données projet'!$A$36&gt;35,N41+M42-V41,IF(A42&lt;'Données projet'!$A$36,$K$205^A42,IF(A42='Données projet'!$A$36,'Données projet'!$B$36,N41+M42-V41)))</f>
        <v>381.93571428571431</v>
      </c>
      <c r="O42" s="13">
        <f>N42*VLOOKUP('Données projet'!$B$9,Paramètres!$A$1:$I$89,3,0)*VLOOKUP('Données projet'!$B$9,Paramètres!$A$1:$I$89,5,0)</f>
        <v>213.50206428571431</v>
      </c>
      <c r="P42" s="13">
        <f t="shared" si="33"/>
        <v>52.700136656354076</v>
      </c>
      <c r="Q42" s="20">
        <f t="shared" si="53"/>
        <v>463.6354999741024</v>
      </c>
      <c r="R42" s="59">
        <f t="shared" si="0"/>
        <v>756.96883330743572</v>
      </c>
      <c r="S42" s="59">
        <f ca="1">AVERAGE(OFFSET($R$3,0,0,'Données projet'!$E$9+1,1))-AVERAGE(OFFSET($H$3,0,0,'Données projet'!$E$9+1,1))</f>
        <v>314.07001555875894</v>
      </c>
      <c r="T42" s="59">
        <f t="shared" si="34"/>
        <v>281.53154885904991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29.759036891028444</v>
      </c>
      <c r="AA42" s="21">
        <f>EXP(-LN(2)/25)*AA41+(1-EXP(-LN(2)/25))/(LN(2)/25)*Calculateur!V42*Calculateur!X42*VLOOKUP('Données projet'!$B$9,Paramètres!$A$1:$I$89,3,0)*0.475*44/12</f>
        <v>19.694295276943709</v>
      </c>
      <c r="AB42" s="21">
        <f>EXP(-LN(2)/2)*AB41+(1-EXP(-LN(2)/2))/(LN(2)/2)*V42*Y42*VLOOKUP('Données projet'!$B$9,Paramètres!$A$1:$I$89,3,0)*0.475*44/12</f>
        <v>3.1335200662891629</v>
      </c>
      <c r="AC42" s="22">
        <f t="shared" si="3"/>
        <v>52.586852234261315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22.851428571428578</v>
      </c>
      <c r="N43" s="13">
        <f>IF('Données projet'!$A$36&gt;35,N42+M43-V42,IF(A43&lt;'Données projet'!$A$36,$K$205^A43,IF(A43='Données projet'!$A$36,'Données projet'!$B$36,N42+M43-V42)))</f>
        <v>404.7871428571429</v>
      </c>
      <c r="O43" s="13">
        <f>N43*VLOOKUP('Données projet'!$B$9,Paramètres!$A$1:$I$89,3,0)*VLOOKUP('Données projet'!$B$9,Paramètres!$A$1:$I$89,5,0)</f>
        <v>226.27601285714289</v>
      </c>
      <c r="P43" s="13">
        <f t="shared" si="33"/>
        <v>55.476705055614268</v>
      </c>
      <c r="Q43" s="20">
        <f t="shared" si="53"/>
        <v>490.71931703138534</v>
      </c>
      <c r="R43" s="59">
        <f t="shared" si="0"/>
        <v>784.0526503647186</v>
      </c>
      <c r="S43" s="59">
        <f ca="1">AVERAGE(OFFSET($R$3,0,0,'Données projet'!$E$9+1,1))-AVERAGE(OFFSET($H$3,0,0,'Données projet'!$E$9+1,1))</f>
        <v>314.07001555875894</v>
      </c>
      <c r="T43" s="59">
        <f t="shared" si="34"/>
        <v>281.53154885904991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29.175480328815595</v>
      </c>
      <c r="AA43" s="21">
        <f>EXP(-LN(2)/25)*AA42+(1-EXP(-LN(2)/25))/(LN(2)/25)*Calculateur!V43*Calculateur!X43*VLOOKUP('Données projet'!$B$9,Paramètres!$A$1:$I$89,3,0)*0.475*44/12</f>
        <v>19.155753736917706</v>
      </c>
      <c r="AB43" s="21">
        <f>EXP(-LN(2)/2)*AB42+(1-EXP(-LN(2)/2))/(LN(2)/2)*V43*Y43*VLOOKUP('Données projet'!$B$9,Paramètres!$A$1:$I$89,3,0)*0.475*44/12</f>
        <v>2.2157332878571872</v>
      </c>
      <c r="AC43" s="22">
        <f t="shared" si="3"/>
        <v>50.546967353590489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22.851428571428578</v>
      </c>
      <c r="N44" s="13">
        <f>IF('Données projet'!$A$36&gt;35,N43+M44-V43,IF(A44&lt;'Données projet'!$A$36,$K$205^A44,IF(A44='Données projet'!$A$36,'Données projet'!$B$36,N43+M44-V43)))</f>
        <v>427.63857142857148</v>
      </c>
      <c r="O44" s="13">
        <f>N44*VLOOKUP('Données projet'!$B$9,Paramètres!$A$1:$I$89,3,0)*VLOOKUP('Données projet'!$B$9,Paramètres!$A$1:$I$89,5,0)</f>
        <v>239.04996142857144</v>
      </c>
      <c r="P44" s="13">
        <f t="shared" si="33"/>
        <v>58.235077894233235</v>
      </c>
      <c r="Q44" s="20">
        <f t="shared" si="53"/>
        <v>517.77144348721811</v>
      </c>
      <c r="R44" s="59">
        <f t="shared" si="0"/>
        <v>811.10477682055148</v>
      </c>
      <c r="S44" s="59">
        <f ca="1">AVERAGE(OFFSET($R$3,0,0,'Données projet'!$E$9+1,1))-AVERAGE(OFFSET($H$3,0,0,'Données projet'!$E$9+1,1))</f>
        <v>314.07001555875894</v>
      </c>
      <c r="T44" s="59">
        <f t="shared" si="34"/>
        <v>281.53154885904991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28.603366954853385</v>
      </c>
      <c r="AA44" s="21">
        <f>EXP(-LN(2)/25)*AA43+(1-EXP(-LN(2)/25))/(LN(2)/25)*Calculateur!V44*Calculateur!X44*VLOOKUP('Données projet'!$B$9,Paramètres!$A$1:$I$89,3,0)*0.475*44/12</f>
        <v>18.631938643624384</v>
      </c>
      <c r="AB44" s="21">
        <f>EXP(-LN(2)/2)*AB43+(1-EXP(-LN(2)/2))/(LN(2)/2)*V44*Y44*VLOOKUP('Données projet'!$B$9,Paramètres!$A$1:$I$89,3,0)*0.475*44/12</f>
        <v>1.5667600331445817</v>
      </c>
      <c r="AC44" s="22">
        <f t="shared" si="3"/>
        <v>48.802065631622348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450.49</v>
      </c>
      <c r="L45" s="12">
        <f>VLOOKUP(A45,'Données projet'!$A$35:$I$55,9,0)</f>
        <v>22.851428571428578</v>
      </c>
      <c r="M45" s="12">
        <f t="array" ref="M45">INDEX(L:L,MIN(IF(ISNUMBER(L45:L241),ROW(L45:L241),"")))</f>
        <v>22.851428571428578</v>
      </c>
      <c r="N45" s="13">
        <f>IF('Données projet'!$A$36&gt;35,N44+M45-V44,IF(A45&lt;'Données projet'!$A$36,$K$205^A45,IF(A45='Données projet'!$A$36,'Données projet'!$B$36,N44+M45-V44)))</f>
        <v>450.49000000000007</v>
      </c>
      <c r="O45" s="13">
        <f>N45*VLOOKUP('Données projet'!$B$9,Paramètres!$A$1:$I$89,3,0)*VLOOKUP('Données projet'!$B$9,Paramètres!$A$1:$I$89,5,0)</f>
        <v>251.82391000000004</v>
      </c>
      <c r="P45" s="13">
        <f t="shared" si="33"/>
        <v>60.976338340878812</v>
      </c>
      <c r="Q45" s="20">
        <f t="shared" si="53"/>
        <v>544.79376586036392</v>
      </c>
      <c r="R45" s="59">
        <f t="shared" si="0"/>
        <v>838.12709919369718</v>
      </c>
      <c r="S45" s="59">
        <f ca="1">AVERAGE(OFFSET($R$3,0,0,'Données projet'!$E$9+1,1))-AVERAGE(OFFSET($H$3,0,0,'Données projet'!$E$9+1,1))</f>
        <v>314.07001555875894</v>
      </c>
      <c r="T45" s="59">
        <f t="shared" si="34"/>
        <v>281.53154885904991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100.04000000000002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52.523395338496876</v>
      </c>
      <c r="AA45" s="21">
        <f>EXP(-LN(2)/25)*AA44+(1-EXP(-LN(2)/25))/(LN(2)/25)*Calculateur!V45*Calculateur!X45*VLOOKUP('Données projet'!$B$9,Paramètres!$A$1:$I$89,3,0)*0.475*44/12</f>
        <v>26.250624715479255</v>
      </c>
      <c r="AB45" s="21">
        <f>EXP(-LN(2)/2)*AB44+(1-EXP(-LN(2)/2))/(LN(2)/2)*V45*Y45*VLOOKUP('Données projet'!$B$9,Paramètres!$A$1:$I$89,3,0)*0.475*44/12</f>
        <v>13.771287073109026</v>
      </c>
      <c r="AC45" s="22">
        <f t="shared" si="3"/>
        <v>92.545307127085152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21.970000000000002</v>
      </c>
      <c r="N46" s="13">
        <f>IF('Données projet'!$A$36&gt;35,N45+M46-V45,IF(A46&lt;'Données projet'!$A$36,$K$205^A46,IF(A46='Données projet'!$A$36,'Données projet'!$B$36,N45+M46-V45)))</f>
        <v>372.42000000000007</v>
      </c>
      <c r="O46" s="13">
        <f>N46*VLOOKUP('Données projet'!$B$9,Paramètres!$A$1:$I$89,3,0)*VLOOKUP('Données projet'!$B$9,Paramètres!$A$1:$I$89,5,0)</f>
        <v>208.18278000000007</v>
      </c>
      <c r="P46" s="13">
        <f t="shared" si="33"/>
        <v>51.538276765249073</v>
      </c>
      <c r="Q46" s="20">
        <f t="shared" si="53"/>
        <v>452.34750719947556</v>
      </c>
      <c r="R46" s="59">
        <f t="shared" si="0"/>
        <v>745.68084053280882</v>
      </c>
      <c r="S46" s="59">
        <f ca="1">AVERAGE(OFFSET($R$3,0,0,'Données projet'!$E$9+1,1))-AVERAGE(OFFSET($H$3,0,0,'Données projet'!$E$9+1,1))</f>
        <v>314.07001555875894</v>
      </c>
      <c r="T46" s="59">
        <f t="shared" si="34"/>
        <v>281.53154885904991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51.493443592016803</v>
      </c>
      <c r="AA46" s="21">
        <f>EXP(-LN(2)/25)*AA45+(1-EXP(-LN(2)/25))/(LN(2)/25)*Calculateur!V46*Calculateur!X46*VLOOKUP('Données projet'!$B$9,Paramètres!$A$1:$I$89,3,0)*0.475*44/12</f>
        <v>25.532800002174117</v>
      </c>
      <c r="AB46" s="21">
        <f>EXP(-LN(2)/2)*AB45+(1-EXP(-LN(2)/2))/(LN(2)/2)*V46*Y46*VLOOKUP('Données projet'!$B$9,Paramètres!$A$1:$I$89,3,0)*0.475*44/12</f>
        <v>9.7377704750620353</v>
      </c>
      <c r="AC46" s="22">
        <f t="shared" si="3"/>
        <v>86.764014069252951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21.970000000000002</v>
      </c>
      <c r="N47" s="13">
        <f>IF('Données projet'!$A$36&gt;35,N46+M47-V46,IF(A47&lt;'Données projet'!$A$36,$K$205^A47,IF(A47='Données projet'!$A$36,'Données projet'!$B$36,N46+M47-V46)))</f>
        <v>394.3900000000001</v>
      </c>
      <c r="O47" s="13">
        <f>N47*VLOOKUP('Données projet'!$B$9,Paramètres!$A$1:$I$89,3,0)*VLOOKUP('Données projet'!$B$9,Paramètres!$A$1:$I$89,5,0)</f>
        <v>220.46401000000006</v>
      </c>
      <c r="P47" s="13">
        <f t="shared" si="33"/>
        <v>54.215723631671224</v>
      </c>
      <c r="Q47" s="20">
        <f t="shared" si="53"/>
        <v>478.4005360751608</v>
      </c>
      <c r="R47" s="59">
        <f t="shared" si="0"/>
        <v>771.73386940849412</v>
      </c>
      <c r="S47" s="59">
        <f ca="1">AVERAGE(OFFSET($R$3,0,0,'Données projet'!$E$9+1,1))-AVERAGE(OFFSET($H$3,0,0,'Données projet'!$E$9+1,1))</f>
        <v>314.07001555875894</v>
      </c>
      <c r="T47" s="59">
        <f t="shared" si="34"/>
        <v>281.53154885904991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50.483688571076669</v>
      </c>
      <c r="AA47" s="21">
        <f>EXP(-LN(2)/25)*AA46+(1-EXP(-LN(2)/25))/(LN(2)/25)*Calculateur!V47*Calculateur!X47*VLOOKUP('Données projet'!$B$9,Paramètres!$A$1:$I$89,3,0)*0.475*44/12</f>
        <v>24.834604243403071</v>
      </c>
      <c r="AB47" s="21">
        <f>EXP(-LN(2)/2)*AB46+(1-EXP(-LN(2)/2))/(LN(2)/2)*V47*Y47*VLOOKUP('Données projet'!$B$9,Paramètres!$A$1:$I$89,3,0)*0.475*44/12</f>
        <v>6.8856435365545137</v>
      </c>
      <c r="AC47" s="22">
        <f t="shared" si="3"/>
        <v>82.203936351034258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21.970000000000002</v>
      </c>
      <c r="N48" s="13">
        <f>IF('Données projet'!$A$36&gt;35,N47+M48-V47,IF(A48&lt;'Données projet'!$A$36,$K$205^A48,IF(A48='Données projet'!$A$36,'Données projet'!$B$36,N47+M48-V47)))</f>
        <v>416.36000000000013</v>
      </c>
      <c r="O48" s="13">
        <f>N48*VLOOKUP('Données projet'!$B$9,Paramètres!$A$1:$I$89,3,0)*VLOOKUP('Données projet'!$B$9,Paramètres!$A$1:$I$89,5,0)</f>
        <v>232.74524000000008</v>
      </c>
      <c r="P48" s="13">
        <f t="shared" si="33"/>
        <v>56.875856080072602</v>
      </c>
      <c r="Q48" s="20">
        <f t="shared" si="53"/>
        <v>504.42340900612658</v>
      </c>
      <c r="R48" s="59">
        <f t="shared" si="0"/>
        <v>797.75674233945983</v>
      </c>
      <c r="S48" s="59">
        <f ca="1">AVERAGE(OFFSET($R$3,0,0,'Données projet'!$E$9+1,1))-AVERAGE(OFFSET($H$3,0,0,'Données projet'!$E$9+1,1))</f>
        <v>314.07001555875894</v>
      </c>
      <c r="T48" s="59">
        <f t="shared" si="34"/>
        <v>281.53154885904991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49.493734230207423</v>
      </c>
      <c r="AA48" s="21">
        <f>EXP(-LN(2)/25)*AA47+(1-EXP(-LN(2)/25))/(LN(2)/25)*Calculateur!V48*Calculateur!X48*VLOOKUP('Données projet'!$B$9,Paramètres!$A$1:$I$89,3,0)*0.475*44/12</f>
        <v>24.155500684372136</v>
      </c>
      <c r="AB48" s="21">
        <f>EXP(-LN(2)/2)*AB47+(1-EXP(-LN(2)/2))/(LN(2)/2)*V48*Y48*VLOOKUP('Données projet'!$B$9,Paramètres!$A$1:$I$89,3,0)*0.475*44/12</f>
        <v>4.8688852375310177</v>
      </c>
      <c r="AC48" s="22">
        <f t="shared" si="3"/>
        <v>78.518120152110569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21.970000000000002</v>
      </c>
      <c r="N49" s="13">
        <f>IF('Données projet'!$A$36&gt;35,N48+M49-V48,IF(A49&lt;'Données projet'!$A$36,$K$205^A49,IF(A49='Données projet'!$A$36,'Données projet'!$B$36,N48+M49-V48)))</f>
        <v>438.33000000000015</v>
      </c>
      <c r="O49" s="13">
        <f>N49*VLOOKUP('Données projet'!$B$9,Paramètres!$A$1:$I$89,3,0)*VLOOKUP('Données projet'!$B$9,Paramètres!$A$1:$I$89,5,0)</f>
        <v>245.02647000000007</v>
      </c>
      <c r="P49" s="13">
        <f t="shared" si="33"/>
        <v>59.519691926533838</v>
      </c>
      <c r="Q49" s="20">
        <f t="shared" si="53"/>
        <v>530.41789868871319</v>
      </c>
      <c r="R49" s="59">
        <f t="shared" si="0"/>
        <v>823.75123202204645</v>
      </c>
      <c r="S49" s="59">
        <f ca="1">AVERAGE(OFFSET($R$3,0,0,'Données projet'!$E$9+1,1))-AVERAGE(OFFSET($H$3,0,0,'Données projet'!$E$9+1,1))</f>
        <v>314.07001555875894</v>
      </c>
      <c r="T49" s="59">
        <f t="shared" si="34"/>
        <v>281.53154885904991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48.523192290150099</v>
      </c>
      <c r="AA49" s="21">
        <f>EXP(-LN(2)/25)*AA48+(1-EXP(-LN(2)/25))/(LN(2)/25)*Calculateur!V49*Calculateur!X49*VLOOKUP('Données projet'!$B$9,Paramètres!$A$1:$I$89,3,0)*0.475*44/12</f>
        <v>23.494967247875408</v>
      </c>
      <c r="AB49" s="21">
        <f>EXP(-LN(2)/2)*AB48+(1-EXP(-LN(2)/2))/(LN(2)/2)*V49*Y49*VLOOKUP('Données projet'!$B$9,Paramètres!$A$1:$I$89,3,0)*0.475*44/12</f>
        <v>3.4428217682772568</v>
      </c>
      <c r="AC49" s="22">
        <f t="shared" si="3"/>
        <v>75.46098130630277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21.970000000000002</v>
      </c>
      <c r="N50" s="13">
        <f>IF('Données projet'!$A$36&gt;35,N49+M50-V49,IF(A50&lt;'Données projet'!$A$36,$K$205^A50,IF(A50='Données projet'!$A$36,'Données projet'!$B$36,N49+M50-V49)))</f>
        <v>460.30000000000018</v>
      </c>
      <c r="O50" s="13">
        <f>N50*VLOOKUP('Données projet'!$B$9,Paramètres!$A$1:$I$89,3,0)*VLOOKUP('Données projet'!$B$9,Paramètres!$A$1:$I$89,5,0)</f>
        <v>257.30770000000012</v>
      </c>
      <c r="P50" s="13">
        <f t="shared" si="33"/>
        <v>62.148141193508692</v>
      </c>
      <c r="Q50" s="20">
        <f t="shared" si="53"/>
        <v>556.38559007869458</v>
      </c>
      <c r="R50" s="59">
        <f t="shared" si="0"/>
        <v>849.71892341202783</v>
      </c>
      <c r="S50" s="59">
        <f ca="1">AVERAGE(OFFSET($R$3,0,0,'Données projet'!$E$9+1,1))-AVERAGE(OFFSET($H$3,0,0,'Données projet'!$E$9+1,1))</f>
        <v>314.07001555875894</v>
      </c>
      <c r="T50" s="59">
        <f t="shared" si="34"/>
        <v>281.53154885904991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47.571682085565172</v>
      </c>
      <c r="AA50" s="21">
        <f>EXP(-LN(2)/25)*AA49+(1-EXP(-LN(2)/25))/(LN(2)/25)*Calculateur!V50*Calculateur!X50*VLOOKUP('Données projet'!$B$9,Paramètres!$A$1:$I$89,3,0)*0.475*44/12</f>
        <v>22.852496132935627</v>
      </c>
      <c r="AB50" s="21">
        <f>EXP(-LN(2)/2)*AB49+(1-EXP(-LN(2)/2))/(LN(2)/2)*V50*Y50*VLOOKUP('Données projet'!$B$9,Paramètres!$A$1:$I$89,3,0)*0.475*44/12</f>
        <v>2.4344426187655088</v>
      </c>
      <c r="AC50" s="22">
        <f t="shared" si="3"/>
        <v>72.858620837266301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21.970000000000002</v>
      </c>
      <c r="N51" s="13">
        <f>IF('Données projet'!$A$36&gt;35,N50+M51-V50,IF(A51&lt;'Données projet'!$A$36,$K$205^A51,IF(A51='Données projet'!$A$36,'Données projet'!$B$36,N50+M51-V50)))</f>
        <v>482.27000000000021</v>
      </c>
      <c r="O51" s="13">
        <f>N51*VLOOKUP('Données projet'!$B$9,Paramètres!$A$1:$I$89,3,0)*VLOOKUP('Données projet'!$B$9,Paramètres!$A$1:$I$89,5,0)</f>
        <v>269.58893000000012</v>
      </c>
      <c r="P51" s="13">
        <f t="shared" si="33"/>
        <v>64.762022124596854</v>
      </c>
      <c r="Q51" s="20">
        <f t="shared" si="53"/>
        <v>582.32790828367308</v>
      </c>
      <c r="R51" s="59">
        <f t="shared" si="0"/>
        <v>875.66124161700645</v>
      </c>
      <c r="S51" s="59">
        <f ca="1">AVERAGE(OFFSET($R$3,0,0,'Données projet'!$E$9+1,1))-AVERAGE(OFFSET($H$3,0,0,'Données projet'!$E$9+1,1))</f>
        <v>314.07001555875894</v>
      </c>
      <c r="T51" s="59">
        <f t="shared" si="34"/>
        <v>281.53154885904991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46.638830415728229</v>
      </c>
      <c r="AA51" s="21">
        <f>EXP(-LN(2)/25)*AA50+(1-EXP(-LN(2)/25))/(LN(2)/25)*Calculateur!V51*Calculateur!X51*VLOOKUP('Données projet'!$B$9,Paramètres!$A$1:$I$89,3,0)*0.475*44/12</f>
        <v>22.227593424419961</v>
      </c>
      <c r="AB51" s="21">
        <f>EXP(-LN(2)/2)*AB50+(1-EXP(-LN(2)/2))/(LN(2)/2)*V51*Y51*VLOOKUP('Données projet'!$B$9,Paramètres!$A$1:$I$89,3,0)*0.475*44/12</f>
        <v>1.7214108841386284</v>
      </c>
      <c r="AC51" s="22">
        <f t="shared" si="3"/>
        <v>70.587834724286822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504.24</v>
      </c>
      <c r="L52" s="12">
        <f>VLOOKUP(A52,'Données projet'!$A$35:$I$55,9,0)</f>
        <v>21.970000000000002</v>
      </c>
      <c r="M52" s="12">
        <f t="array" ref="M52">INDEX(L:L,MIN(IF(ISNUMBER(L52:L248),ROW(L52:L248),"")))</f>
        <v>21.970000000000002</v>
      </c>
      <c r="N52" s="13">
        <f>IF('Données projet'!$A$36&gt;35,N51+M52-V51,IF(A52&lt;'Données projet'!$A$36,$K$205^A52,IF(A52='Données projet'!$A$36,'Données projet'!$B$36,N51+M52-V51)))</f>
        <v>504.24000000000024</v>
      </c>
      <c r="O52" s="13">
        <f>N52*VLOOKUP('Données projet'!$B$9,Paramètres!$A$1:$I$89,3,0)*VLOOKUP('Données projet'!$B$9,Paramètres!$A$1:$I$89,5,0)</f>
        <v>281.87016000000011</v>
      </c>
      <c r="P52" s="13">
        <f t="shared" si="33"/>
        <v>67.362074198579379</v>
      </c>
      <c r="Q52" s="20">
        <f t="shared" si="53"/>
        <v>608.24614122919252</v>
      </c>
      <c r="R52" s="59">
        <f t="shared" si="0"/>
        <v>901.57947456252577</v>
      </c>
      <c r="S52" s="59">
        <f ca="1">AVERAGE(OFFSET($R$3,0,0,'Données projet'!$E$9+1,1))-AVERAGE(OFFSET($H$3,0,0,'Données projet'!$E$9+1,1))</f>
        <v>314.07001555875894</v>
      </c>
      <c r="T52" s="59">
        <f t="shared" si="34"/>
        <v>281.53154885904991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112.69999999999999</v>
      </c>
      <c r="W52" s="16">
        <f>IF(ISNA(VLOOKUP(A52,'Données projet'!$A$35:$I$55,5,0)),0%,VLOOKUP(A52,'Données projet'!$A$35:$I$55,5,0)*VLOOKUP('Données projet'!$B$9,Paramètres!$A$1:$I$89,7,0))</f>
        <v>0.33</v>
      </c>
      <c r="X52" s="16">
        <f>IF(ISNA(VLOOKUP(A52,'Données projet'!$A$35:$I$55,6,0)),0%,VLOOKUP(A52,'Données projet'!$A$35:$I$55,6,0)*VLOOKUP('Données projet'!$B$9,Paramètres!$A$1:$I$89,7,0))</f>
        <v>0.11000000000000001</v>
      </c>
      <c r="Y52" s="16">
        <f>IF(ISNA(VLOOKUP(A52,'Données projet'!$A$35:$I$55,7,0)),0%,VLOOKUP(A52,'Données projet'!$A$35:$I$55,7,0))</f>
        <v>0.2</v>
      </c>
      <c r="Z52" s="21">
        <f>EXP(-LN(2)/35)*Z51+(1-EXP(-LN(2)/35))/(LN(2)/35)*V52*W52*VLOOKUP('Données projet'!$B$9,Paramètres!$A$1:$I$89,3,0)*0.475*44/12</f>
        <v>73.303239990352296</v>
      </c>
      <c r="AA52" s="21">
        <f>EXP(-LN(2)/25)*AA51+(1-EXP(-LN(2)/25))/(LN(2)/25)*Calculateur!V52*Calculateur!X52*VLOOKUP('Données projet'!$B$9,Paramètres!$A$1:$I$89,3,0)*0.475*44/12</f>
        <v>30.776571941477684</v>
      </c>
      <c r="AB52" s="21">
        <f>EXP(-LN(2)/2)*AB51+(1-EXP(-LN(2)/2))/(LN(2)/2)*V52*Y52*VLOOKUP('Données projet'!$B$9,Paramètres!$A$1:$I$89,3,0)*0.475*44/12</f>
        <v>15.483189745694569</v>
      </c>
      <c r="AC52" s="22">
        <f t="shared" si="3"/>
        <v>119.56300167752455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20.355714285714278</v>
      </c>
      <c r="N53" s="13">
        <f>IF('Données projet'!$A$36&gt;35,N52+M53-V52,IF(A53&lt;'Données projet'!$A$36,$K$205^A53,IF(A53='Données projet'!$A$36,'Données projet'!$B$36,N52+M53-V52)))</f>
        <v>411.89571428571452</v>
      </c>
      <c r="O53" s="13">
        <f>N53*VLOOKUP('Données projet'!$B$9,Paramètres!$A$1:$I$89,3,0)*VLOOKUP('Données projet'!$B$9,Paramètres!$A$1:$I$89,5,0)</f>
        <v>230.24970428571442</v>
      </c>
      <c r="P53" s="13">
        <f t="shared" si="33"/>
        <v>56.336670025642462</v>
      </c>
      <c r="Q53" s="20">
        <f t="shared" si="53"/>
        <v>499.13793525894647</v>
      </c>
      <c r="R53" s="59">
        <f t="shared" si="0"/>
        <v>792.47126859227978</v>
      </c>
      <c r="S53" s="59">
        <f ca="1">AVERAGE(OFFSET($R$3,0,0,'Données projet'!$E$9+1,1))-AVERAGE(OFFSET($H$3,0,0,'Données projet'!$E$9+1,1))</f>
        <v>314.07001555875894</v>
      </c>
      <c r="T53" s="59">
        <f t="shared" si="34"/>
        <v>281.53154885904991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71.865808164703083</v>
      </c>
      <c r="AA53" s="21">
        <f>EXP(-LN(2)/25)*AA52+(1-EXP(-LN(2)/25))/(LN(2)/25)*Calculateur!V53*Calculateur!X53*VLOOKUP('Données projet'!$B$9,Paramètres!$A$1:$I$89,3,0)*0.475*44/12</f>
        <v>29.934984963268398</v>
      </c>
      <c r="AB53" s="21">
        <f>EXP(-LN(2)/2)*AB52+(1-EXP(-LN(2)/2))/(LN(2)/2)*V53*Y53*VLOOKUP('Données projet'!$B$9,Paramètres!$A$1:$I$89,3,0)*0.475*44/12</f>
        <v>10.948268463578646</v>
      </c>
      <c r="AC53" s="22">
        <f t="shared" si="3"/>
        <v>112.74906159155012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20.355714285714278</v>
      </c>
      <c r="N54" s="13">
        <f>IF('Données projet'!$A$36&gt;35,N53+M54-V53,IF(A54&lt;'Données projet'!$A$36,$K$205^A54,IF(A54='Données projet'!$A$36,'Données projet'!$B$36,N53+M54-V53)))</f>
        <v>432.25142857142879</v>
      </c>
      <c r="O54" s="13">
        <f>N54*VLOOKUP('Données projet'!$B$9,Paramètres!$A$1:$I$89,3,0)*VLOOKUP('Données projet'!$B$9,Paramètres!$A$1:$I$89,5,0)</f>
        <v>241.62854857142869</v>
      </c>
      <c r="P54" s="13">
        <f t="shared" si="33"/>
        <v>58.789782611687855</v>
      </c>
      <c r="Q54" s="20">
        <f t="shared" si="53"/>
        <v>523.22859347726126</v>
      </c>
      <c r="R54" s="59">
        <f t="shared" si="0"/>
        <v>816.56192681059451</v>
      </c>
      <c r="S54" s="59">
        <f ca="1">AVERAGE(OFFSET($R$3,0,0,'Données projet'!$E$9+1,1))-AVERAGE(OFFSET($H$3,0,0,'Données projet'!$E$9+1,1))</f>
        <v>314.07001555875894</v>
      </c>
      <c r="T54" s="59">
        <f t="shared" si="34"/>
        <v>281.53154885904991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70.456563500408009</v>
      </c>
      <c r="AA54" s="21">
        <f>EXP(-LN(2)/25)*AA53+(1-EXP(-LN(2)/25))/(LN(2)/25)*Calculateur!V54*Calculateur!X54*VLOOKUP('Données projet'!$B$9,Paramètres!$A$1:$I$89,3,0)*0.475*44/12</f>
        <v>29.116411225235382</v>
      </c>
      <c r="AB54" s="21">
        <f>EXP(-LN(2)/2)*AB53+(1-EXP(-LN(2)/2))/(LN(2)/2)*V54*Y54*VLOOKUP('Données projet'!$B$9,Paramètres!$A$1:$I$89,3,0)*0.475*44/12</f>
        <v>7.7415948728472852</v>
      </c>
      <c r="AC54" s="22">
        <f t="shared" si="3"/>
        <v>107.31456959849068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20.355714285714278</v>
      </c>
      <c r="N55" s="13">
        <f>IF('Données projet'!$A$36&gt;35,N54+M55-V54,IF(A55&lt;'Données projet'!$A$36,$K$205^A55,IF(A55='Données projet'!$A$36,'Données projet'!$B$36,N54+M55-V54)))</f>
        <v>452.60714285714306</v>
      </c>
      <c r="O55" s="13">
        <f>N55*VLOOKUP('Données projet'!$B$9,Paramètres!$A$1:$I$89,3,0)*VLOOKUP('Données projet'!$B$9,Paramètres!$A$1:$I$89,5,0)</f>
        <v>253.007392857143</v>
      </c>
      <c r="P55" s="13">
        <f t="shared" si="33"/>
        <v>61.229479905592257</v>
      </c>
      <c r="Q55" s="20">
        <f t="shared" si="53"/>
        <v>547.29588672843067</v>
      </c>
      <c r="R55" s="59">
        <f t="shared" si="0"/>
        <v>840.62922006176404</v>
      </c>
      <c r="S55" s="59">
        <f ca="1">AVERAGE(OFFSET($R$3,0,0,'Données projet'!$E$9+1,1))-AVERAGE(OFFSET($H$3,0,0,'Données projet'!$E$9+1,1))</f>
        <v>314.07001555875894</v>
      </c>
      <c r="T55" s="59">
        <f t="shared" si="34"/>
        <v>281.53154885904991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69.074953264425389</v>
      </c>
      <c r="AA55" s="21">
        <f>EXP(-LN(2)/25)*AA54+(1-EXP(-LN(2)/25))/(LN(2)/25)*Calculateur!V55*Calculateur!X55*VLOOKUP('Données projet'!$B$9,Paramètres!$A$1:$I$89,3,0)*0.475*44/12</f>
        <v>28.320221429115801</v>
      </c>
      <c r="AB55" s="21">
        <f>EXP(-LN(2)/2)*AB54+(1-EXP(-LN(2)/2))/(LN(2)/2)*V55*Y55*VLOOKUP('Données projet'!$B$9,Paramètres!$A$1:$I$89,3,0)*0.475*44/12</f>
        <v>5.474134231789324</v>
      </c>
      <c r="AC55" s="22">
        <f t="shared" si="3"/>
        <v>102.86930892533051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20.355714285714278</v>
      </c>
      <c r="N56" s="13">
        <f>IF('Données projet'!$A$36&gt;35,N55+M56-V55,IF(A56&lt;'Données projet'!$A$36,$K$205^A56,IF(A56='Données projet'!$A$36,'Données projet'!$B$36,N55+M56-V55)))</f>
        <v>472.96285714285733</v>
      </c>
      <c r="O56" s="13">
        <f>N56*VLOOKUP('Données projet'!$B$9,Paramètres!$A$1:$I$89,3,0)*VLOOKUP('Données projet'!$B$9,Paramètres!$A$1:$I$89,5,0)</f>
        <v>264.38623714285728</v>
      </c>
      <c r="P56" s="13">
        <f t="shared" si="33"/>
        <v>63.656434183712321</v>
      </c>
      <c r="Q56" s="20">
        <f t="shared" si="53"/>
        <v>571.34098589377538</v>
      </c>
      <c r="R56" s="59">
        <f t="shared" si="0"/>
        <v>864.67431922710875</v>
      </c>
      <c r="S56" s="59">
        <f ca="1">AVERAGE(OFFSET($R$3,0,0,'Données projet'!$E$9+1,1))-AVERAGE(OFFSET($H$3,0,0,'Données projet'!$E$9+1,1))</f>
        <v>314.07001555875894</v>
      </c>
      <c r="T56" s="59">
        <f t="shared" si="34"/>
        <v>281.53154885904991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67.720435562471351</v>
      </c>
      <c r="AA56" s="21">
        <f>EXP(-LN(2)/25)*AA55+(1-EXP(-LN(2)/25))/(LN(2)/25)*Calculateur!V56*Calculateur!X56*VLOOKUP('Données projet'!$B$9,Paramètres!$A$1:$I$89,3,0)*0.475*44/12</f>
        <v>27.54580348484091</v>
      </c>
      <c r="AB56" s="21">
        <f>EXP(-LN(2)/2)*AB55+(1-EXP(-LN(2)/2))/(LN(2)/2)*V56*Y56*VLOOKUP('Données projet'!$B$9,Paramètres!$A$1:$I$89,3,0)*0.475*44/12</f>
        <v>3.870797436423643</v>
      </c>
      <c r="AC56" s="22">
        <f t="shared" si="3"/>
        <v>99.137036483735912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20.355714285714278</v>
      </c>
      <c r="N57" s="13">
        <f>IF('Données projet'!$A$36&gt;35,N56+M57-V56,IF(A57&lt;'Données projet'!$A$36,$K$205^A57,IF(A57='Données projet'!$A$36,'Données projet'!$B$36,N56+M57-V56)))</f>
        <v>493.3185714285716</v>
      </c>
      <c r="O57" s="13">
        <f>N57*VLOOKUP('Données projet'!$B$9,Paramètres!$A$1:$I$89,3,0)*VLOOKUP('Données projet'!$B$9,Paramètres!$A$1:$I$89,5,0)</f>
        <v>275.76508142857153</v>
      </c>
      <c r="P57" s="13">
        <f t="shared" si="33"/>
        <v>66.071256581811042</v>
      </c>
      <c r="Q57" s="20">
        <f t="shared" si="53"/>
        <v>595.36495536808297</v>
      </c>
      <c r="R57" s="59">
        <f t="shared" si="0"/>
        <v>888.69828870141623</v>
      </c>
      <c r="S57" s="59">
        <f ca="1">AVERAGE(OFFSET($R$3,0,0,'Données projet'!$E$9+1,1))-AVERAGE(OFFSET($H$3,0,0,'Données projet'!$E$9+1,1))</f>
        <v>314.07001555875894</v>
      </c>
      <c r="T57" s="59">
        <f t="shared" si="34"/>
        <v>281.53154885904991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66.392479126478406</v>
      </c>
      <c r="AA57" s="21">
        <f>EXP(-LN(2)/25)*AA56+(1-EXP(-LN(2)/25))/(LN(2)/25)*Calculateur!V57*Calculateur!X57*VLOOKUP('Données projet'!$B$9,Paramètres!$A$1:$I$89,3,0)*0.475*44/12</f>
        <v>26.792562039977085</v>
      </c>
      <c r="AB57" s="21">
        <f>EXP(-LN(2)/2)*AB56+(1-EXP(-LN(2)/2))/(LN(2)/2)*V57*Y57*VLOOKUP('Données projet'!$B$9,Paramètres!$A$1:$I$89,3,0)*0.475*44/12</f>
        <v>2.7370671158946625</v>
      </c>
      <c r="AC57" s="22">
        <f t="shared" si="3"/>
        <v>95.922108282350152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20.355714285714278</v>
      </c>
      <c r="N58" s="13">
        <f>IF('Données projet'!$A$36&gt;35,N57+M58-V57,IF(A58&lt;'Données projet'!$A$36,$K$205^A58,IF(A58='Données projet'!$A$36,'Données projet'!$B$36,N57+M58-V57)))</f>
        <v>513.67428571428593</v>
      </c>
      <c r="O58" s="13">
        <f>N58*VLOOKUP('Données projet'!$B$9,Paramètres!$A$1:$I$89,3,0)*VLOOKUP('Données projet'!$B$9,Paramètres!$A$1:$I$89,5,0)</f>
        <v>287.14392571428584</v>
      </c>
      <c r="P58" s="13">
        <f t="shared" si="33"/>
        <v>68.474504947595136</v>
      </c>
      <c r="Q58" s="20">
        <f t="shared" si="53"/>
        <v>619.36876673610948</v>
      </c>
      <c r="R58" s="59">
        <f t="shared" si="0"/>
        <v>912.70210006944285</v>
      </c>
      <c r="S58" s="59">
        <f ca="1">AVERAGE(OFFSET($R$3,0,0,'Données projet'!$E$9+1,1))-AVERAGE(OFFSET($H$3,0,0,'Données projet'!$E$9+1,1))</f>
        <v>314.07001555875894</v>
      </c>
      <c r="T58" s="59">
        <f t="shared" si="34"/>
        <v>281.53154885904991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65.090563106221836</v>
      </c>
      <c r="AA58" s="21">
        <f>EXP(-LN(2)/25)*AA57+(1-EXP(-LN(2)/25))/(LN(2)/25)*Calculateur!V58*Calculateur!X58*VLOOKUP('Données projet'!$B$9,Paramètres!$A$1:$I$89,3,0)*0.475*44/12</f>
        <v>26.05991802203431</v>
      </c>
      <c r="AB58" s="21">
        <f>EXP(-LN(2)/2)*AB57+(1-EXP(-LN(2)/2))/(LN(2)/2)*V58*Y58*VLOOKUP('Données projet'!$B$9,Paramètres!$A$1:$I$89,3,0)*0.475*44/12</f>
        <v>1.935398718211822</v>
      </c>
      <c r="AC58" s="22">
        <f t="shared" si="3"/>
        <v>93.085879846467975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534.03</v>
      </c>
      <c r="L59" s="12">
        <f>VLOOKUP(A59,'Données projet'!$A$35:$I$55,9,0)</f>
        <v>20.355714285714278</v>
      </c>
      <c r="M59" s="12">
        <f t="array" ref="M59">INDEX(L:L,MIN(IF(ISNUMBER(L59:L255),ROW(L59:L255),"")))</f>
        <v>20.355714285714278</v>
      </c>
      <c r="N59" s="13">
        <f>IF('Données projet'!$A$36&gt;35,N58+M59-V58,IF(A59&lt;'Données projet'!$A$36,$K$205^A59,IF(A59='Données projet'!$A$36,'Données projet'!$B$36,N58+M59-V58)))</f>
        <v>534.0300000000002</v>
      </c>
      <c r="O59" s="13">
        <f>N59*VLOOKUP('Données projet'!$B$9,Paramètres!$A$1:$I$89,3,0)*VLOOKUP('Données projet'!$B$9,Paramètres!$A$1:$I$89,5,0)</f>
        <v>298.52277000000015</v>
      </c>
      <c r="P59" s="13">
        <f t="shared" si="33"/>
        <v>70.866690413510668</v>
      </c>
      <c r="Q59" s="20">
        <f t="shared" si="53"/>
        <v>643.35331022019807</v>
      </c>
      <c r="R59" s="59">
        <f t="shared" si="0"/>
        <v>936.68664355353144</v>
      </c>
      <c r="S59" s="59">
        <f ca="1">AVERAGE(OFFSET($R$3,0,0,'Données projet'!$E$9+1,1))-AVERAGE(OFFSET($H$3,0,0,'Données projet'!$E$9+1,1))</f>
        <v>314.07001555875894</v>
      </c>
      <c r="T59" s="59">
        <f t="shared" si="34"/>
        <v>281.53154885904991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94.669999999999959</v>
      </c>
      <c r="W59" s="16">
        <f>IF(ISNA(VLOOKUP(A59,'Données projet'!$A$35:$I$55,5,0)),0%,VLOOKUP(A59,'Données projet'!$A$35:$I$55,5,0)*VLOOKUP('Données projet'!$B$9,Paramètres!$A$1:$I$89,7,0))</f>
        <v>0.33</v>
      </c>
      <c r="X59" s="16">
        <f>IF(ISNA(VLOOKUP(A59,'Données projet'!$A$35:$I$55,6,0)),0%,VLOOKUP(A59,'Données projet'!$A$35:$I$55,6,0)*VLOOKUP('Données projet'!$B$9,Paramètres!$A$1:$I$89,7,0))</f>
        <v>0.11000000000000001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86.980999905169341</v>
      </c>
      <c r="AA59" s="21">
        <f>EXP(-LN(2)/25)*AA58+(1-EXP(-LN(2)/25))/(LN(2)/25)*Calculateur!V59*Calculateur!X59*VLOOKUP('Données projet'!$B$9,Paramètres!$A$1:$I$89,3,0)*0.475*44/12</f>
        <v>33.039177003482436</v>
      </c>
      <c r="AB59" s="21">
        <f>EXP(-LN(2)/2)*AB58+(1-EXP(-LN(2)/2))/(LN(2)/2)*V59*Y59*VLOOKUP('Données projet'!$B$9,Paramètres!$A$1:$I$89,3,0)*0.475*44/12</f>
        <v>13.352200211590977</v>
      </c>
      <c r="AC59" s="22">
        <f t="shared" si="3"/>
        <v>133.37237712024276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18.617142857142849</v>
      </c>
      <c r="N60" s="13">
        <f>IF('Données projet'!$A$36&gt;35,N59+M60-V59,IF(A60&lt;'Données projet'!$A$36,$K$205^A60,IF(A60='Données projet'!$A$36,'Données projet'!$B$36,N59+M60-V59)))</f>
        <v>457.97714285714312</v>
      </c>
      <c r="O60" s="13">
        <f>N60*VLOOKUP('Données projet'!$B$9,Paramètres!$A$1:$I$89,3,0)*VLOOKUP('Données projet'!$B$9,Paramètres!$A$1:$I$89,5,0)</f>
        <v>256.00922285714302</v>
      </c>
      <c r="P60" s="13">
        <f t="shared" si="33"/>
        <v>61.870941241266237</v>
      </c>
      <c r="Q60" s="20">
        <f t="shared" si="53"/>
        <v>553.64128580472936</v>
      </c>
      <c r="R60" s="59">
        <f t="shared" si="0"/>
        <v>846.97461913806274</v>
      </c>
      <c r="S60" s="59">
        <f ca="1">AVERAGE(OFFSET($R$3,0,0,'Données projet'!$E$9+1,1))-AVERAGE(OFFSET($H$3,0,0,'Données projet'!$E$9+1,1))</f>
        <v>314.07001555875894</v>
      </c>
      <c r="T60" s="59">
        <f t="shared" si="34"/>
        <v>281.53154885904991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85.275355550200345</v>
      </c>
      <c r="AA60" s="21">
        <f>EXP(-LN(2)/25)*AA59+(1-EXP(-LN(2)/25))/(LN(2)/25)*Calculateur!V60*Calculateur!X60*VLOOKUP('Données projet'!$B$9,Paramètres!$A$1:$I$89,3,0)*0.475*44/12</f>
        <v>32.135718970867401</v>
      </c>
      <c r="AB60" s="21">
        <f>EXP(-LN(2)/2)*AB59+(1-EXP(-LN(2)/2))/(LN(2)/2)*V60*Y60*VLOOKUP('Données projet'!$B$9,Paramètres!$A$1:$I$89,3,0)*0.475*44/12</f>
        <v>9.4414313133764356</v>
      </c>
      <c r="AC60" s="22">
        <f t="shared" si="3"/>
        <v>126.85250583444419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18.617142857142849</v>
      </c>
      <c r="N61" s="13">
        <f>IF('Données projet'!$A$36&gt;35,N60+M61-V60,IF(A61&lt;'Données projet'!$A$36,$K$205^A61,IF(A61='Données projet'!$A$36,'Données projet'!$B$36,N60+M61-V60)))</f>
        <v>476.59428571428595</v>
      </c>
      <c r="O61" s="13">
        <f>N61*VLOOKUP('Données projet'!$B$9,Paramètres!$A$1:$I$89,3,0)*VLOOKUP('Données projet'!$B$9,Paramètres!$A$1:$I$89,5,0)</f>
        <v>266.41620571428587</v>
      </c>
      <c r="P61" s="13">
        <f t="shared" si="33"/>
        <v>64.088107222101385</v>
      </c>
      <c r="Q61" s="20">
        <f t="shared" si="53"/>
        <v>575.62834503087436</v>
      </c>
      <c r="R61" s="59">
        <f t="shared" si="0"/>
        <v>868.96167836420773</v>
      </c>
      <c r="S61" s="59">
        <f ca="1">AVERAGE(OFFSET($R$3,0,0,'Données projet'!$E$9+1,1))-AVERAGE(OFFSET($H$3,0,0,'Données projet'!$E$9+1,1))</f>
        <v>314.07001555875894</v>
      </c>
      <c r="T61" s="59">
        <f t="shared" si="34"/>
        <v>281.53154885904991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83.603157840691964</v>
      </c>
      <c r="AA61" s="21">
        <f>EXP(-LN(2)/25)*AA60+(1-EXP(-LN(2)/25))/(LN(2)/25)*Calculateur!V61*Calculateur!X61*VLOOKUP('Données projet'!$B$9,Paramètres!$A$1:$I$89,3,0)*0.475*44/12</f>
        <v>31.25696604566502</v>
      </c>
      <c r="AB61" s="21">
        <f>EXP(-LN(2)/2)*AB60+(1-EXP(-LN(2)/2))/(LN(2)/2)*V61*Y61*VLOOKUP('Données projet'!$B$9,Paramètres!$A$1:$I$89,3,0)*0.475*44/12</f>
        <v>6.6761001057954896</v>
      </c>
      <c r="AC61" s="22">
        <f t="shared" si="3"/>
        <v>121.53622399215247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18.617142857142849</v>
      </c>
      <c r="N62" s="13">
        <f>IF('Données projet'!$A$36&gt;35,N61+M62-V61,IF(A62&lt;'Données projet'!$A$36,$K$205^A62,IF(A62='Données projet'!$A$36,'Données projet'!$B$36,N61+M62-V61)))</f>
        <v>495.21142857142877</v>
      </c>
      <c r="O62" s="13">
        <f>N62*VLOOKUP('Données projet'!$B$9,Paramètres!$A$1:$I$89,3,0)*VLOOKUP('Données projet'!$B$9,Paramètres!$A$1:$I$89,5,0)</f>
        <v>276.82318857142872</v>
      </c>
      <c r="P62" s="13">
        <f t="shared" si="33"/>
        <v>66.295212111853616</v>
      </c>
      <c r="Q62" s="20">
        <f t="shared" si="53"/>
        <v>597.59788119005009</v>
      </c>
      <c r="R62" s="59">
        <f t="shared" si="0"/>
        <v>890.93121452338346</v>
      </c>
      <c r="S62" s="59">
        <f ca="1">AVERAGE(OFFSET($R$3,0,0,'Données projet'!$E$9+1,1))-AVERAGE(OFFSET($H$3,0,0,'Données projet'!$E$9+1,1))</f>
        <v>314.07001555875894</v>
      </c>
      <c r="T62" s="59">
        <f t="shared" si="34"/>
        <v>281.53154885904991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81.963750908327142</v>
      </c>
      <c r="AA62" s="21">
        <f>EXP(-LN(2)/25)*AA61+(1-EXP(-LN(2)/25))/(LN(2)/25)*Calculateur!V62*Calculateur!X62*VLOOKUP('Données projet'!$B$9,Paramètres!$A$1:$I$89,3,0)*0.475*44/12</f>
        <v>30.402242665413905</v>
      </c>
      <c r="AB62" s="21">
        <f>EXP(-LN(2)/2)*AB61+(1-EXP(-LN(2)/2))/(LN(2)/2)*V62*Y62*VLOOKUP('Données projet'!$B$9,Paramètres!$A$1:$I$89,3,0)*0.475*44/12</f>
        <v>4.7207156566882187</v>
      </c>
      <c r="AC62" s="22">
        <f t="shared" si="3"/>
        <v>117.08670923042926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18.617142857142849</v>
      </c>
      <c r="N63" s="13">
        <f>IF('Données projet'!$A$36&gt;35,N62+M63-V62,IF(A63&lt;'Données projet'!$A$36,$K$205^A63,IF(A63='Données projet'!$A$36,'Données projet'!$B$36,N62+M63-V62)))</f>
        <v>513.82857142857165</v>
      </c>
      <c r="O63" s="13">
        <f>N63*VLOOKUP('Données projet'!$B$9,Paramètres!$A$1:$I$89,3,0)*VLOOKUP('Données projet'!$B$9,Paramètres!$A$1:$I$89,5,0)</f>
        <v>287.23017142857157</v>
      </c>
      <c r="P63" s="13">
        <f t="shared" si="33"/>
        <v>68.492677457199264</v>
      </c>
      <c r="Q63" s="20">
        <f t="shared" si="53"/>
        <v>619.55062847605086</v>
      </c>
      <c r="R63" s="59">
        <f t="shared" si="0"/>
        <v>912.88396180938412</v>
      </c>
      <c r="S63" s="59">
        <f ca="1">AVERAGE(OFFSET($R$3,0,0,'Données projet'!$E$9+1,1))-AVERAGE(OFFSET($H$3,0,0,'Données projet'!$E$9+1,1))</f>
        <v>314.07001555875894</v>
      </c>
      <c r="T63" s="59">
        <f t="shared" si="34"/>
        <v>281.53154885904991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80.356491745966508</v>
      </c>
      <c r="AA63" s="21">
        <f>EXP(-LN(2)/25)*AA62+(1-EXP(-LN(2)/25))/(LN(2)/25)*Calculateur!V63*Calculateur!X63*VLOOKUP('Données projet'!$B$9,Paramètres!$A$1:$I$89,3,0)*0.475*44/12</f>
        <v>29.570891740943704</v>
      </c>
      <c r="AB63" s="21">
        <f>EXP(-LN(2)/2)*AB62+(1-EXP(-LN(2)/2))/(LN(2)/2)*V63*Y63*VLOOKUP('Données projet'!$B$9,Paramètres!$A$1:$I$89,3,0)*0.475*44/12</f>
        <v>3.3380500528977457</v>
      </c>
      <c r="AC63" s="22">
        <f t="shared" si="3"/>
        <v>113.26543353980796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18.617142857142849</v>
      </c>
      <c r="N64" s="13">
        <f>IF('Données projet'!$A$36&gt;35,N63+M64-V63,IF(A64&lt;'Données projet'!$A$36,$K$205^A64,IF(A64='Données projet'!$A$36,'Données projet'!$B$36,N63+M64-V63)))</f>
        <v>532.44571428571453</v>
      </c>
      <c r="O64" s="13">
        <f>N64*VLOOKUP('Données projet'!$B$9,Paramètres!$A$1:$I$89,3,0)*VLOOKUP('Données projet'!$B$9,Paramètres!$A$1:$I$89,5,0)</f>
        <v>297.63715428571442</v>
      </c>
      <c r="P64" s="13">
        <f t="shared" si="33"/>
        <v>70.680892526366577</v>
      </c>
      <c r="Q64" s="20">
        <f t="shared" si="53"/>
        <v>641.48726486437431</v>
      </c>
      <c r="R64" s="59">
        <f t="shared" si="0"/>
        <v>934.82059819770757</v>
      </c>
      <c r="S64" s="59">
        <f ca="1">AVERAGE(OFFSET($R$3,0,0,'Données projet'!$E$9+1,1))-AVERAGE(OFFSET($H$3,0,0,'Données projet'!$E$9+1,1))</f>
        <v>314.07001555875894</v>
      </c>
      <c r="T64" s="59">
        <f t="shared" si="34"/>
        <v>281.53154885904991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78.780749955448471</v>
      </c>
      <c r="AA64" s="21">
        <f>EXP(-LN(2)/25)*AA63+(1-EXP(-LN(2)/25))/(LN(2)/25)*Calculateur!V64*Calculateur!X64*VLOOKUP('Données projet'!$B$9,Paramètres!$A$1:$I$89,3,0)*0.475*44/12</f>
        <v>28.762274151221987</v>
      </c>
      <c r="AB64" s="21">
        <f>EXP(-LN(2)/2)*AB63+(1-EXP(-LN(2)/2))/(LN(2)/2)*V64*Y64*VLOOKUP('Données projet'!$B$9,Paramètres!$A$1:$I$89,3,0)*0.475*44/12</f>
        <v>2.3603578283441098</v>
      </c>
      <c r="AC64" s="22">
        <f t="shared" si="3"/>
        <v>109.90338193501456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18.617142857142849</v>
      </c>
      <c r="N65" s="13">
        <f>IF('Données projet'!$A$36&gt;35,N64+M65-V64,IF(A65&lt;'Données projet'!$A$36,$K$205^A65,IF(A65='Données projet'!$A$36,'Données projet'!$B$36,N64+M65-V64)))</f>
        <v>551.06285714285741</v>
      </c>
      <c r="O65" s="13">
        <f>N65*VLOOKUP('Données projet'!$B$9,Paramètres!$A$1:$I$89,3,0)*VLOOKUP('Données projet'!$B$9,Paramètres!$A$1:$I$89,5,0)</f>
        <v>308.04413714285727</v>
      </c>
      <c r="P65" s="13">
        <f t="shared" si="33"/>
        <v>72.860217822174434</v>
      </c>
      <c r="Q65" s="20">
        <f t="shared" si="53"/>
        <v>663.40841823076346</v>
      </c>
      <c r="R65" s="59">
        <f t="shared" si="0"/>
        <v>956.74175156409683</v>
      </c>
      <c r="S65" s="59">
        <f ca="1">AVERAGE(OFFSET($R$3,0,0,'Données projet'!$E$9+1,1))-AVERAGE(OFFSET($H$3,0,0,'Données projet'!$E$9+1,1))</f>
        <v>314.07001555875894</v>
      </c>
      <c r="T65" s="59">
        <f t="shared" si="34"/>
        <v>281.53154885904991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77.235907500334903</v>
      </c>
      <c r="AA65" s="21">
        <f>EXP(-LN(2)/25)*AA64+(1-EXP(-LN(2)/25))/(LN(2)/25)*Calculateur!V65*Calculateur!X65*VLOOKUP('Données projet'!$B$9,Paramètres!$A$1:$I$89,3,0)*0.475*44/12</f>
        <v>27.975768252014561</v>
      </c>
      <c r="AB65" s="21">
        <f>EXP(-LN(2)/2)*AB64+(1-EXP(-LN(2)/2))/(LN(2)/2)*V65*Y65*VLOOKUP('Données projet'!$B$9,Paramètres!$A$1:$I$89,3,0)*0.475*44/12</f>
        <v>1.6690250264488731</v>
      </c>
      <c r="AC65" s="22">
        <f t="shared" si="3"/>
        <v>106.88070077879834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569.67999999999995</v>
      </c>
      <c r="L66" s="12">
        <f>VLOOKUP(A66,'Données projet'!$A$35:$I$55,9,0)</f>
        <v>18.617142857142849</v>
      </c>
      <c r="M66" s="12">
        <f t="array" ref="M66">INDEX(L:L,MIN(IF(ISNUMBER(L66:L262),ROW(L66:L262),"")))</f>
        <v>18.617142857142849</v>
      </c>
      <c r="N66" s="13">
        <f>IF('Données projet'!$A$36&gt;35,N65+M66-V65,IF(A66&lt;'Données projet'!$A$36,$K$205^A66,IF(A66='Données projet'!$A$36,'Données projet'!$B$36,N65+M66-V65)))</f>
        <v>569.68000000000029</v>
      </c>
      <c r="O66" s="13">
        <f>N66*VLOOKUP('Données projet'!$B$9,Paramètres!$A$1:$I$89,3,0)*VLOOKUP('Données projet'!$B$9,Paramètres!$A$1:$I$89,5,0)</f>
        <v>318.45112000000017</v>
      </c>
      <c r="P66" s="13">
        <f t="shared" si="33"/>
        <v>75.030988106995281</v>
      </c>
      <c r="Q66" s="20">
        <f t="shared" si="53"/>
        <v>685.31467161968374</v>
      </c>
      <c r="R66" s="59">
        <f t="shared" si="0"/>
        <v>978.64800495301711</v>
      </c>
      <c r="S66" s="59">
        <f ca="1">AVERAGE(OFFSET($R$3,0,0,'Données projet'!$E$9+1,1))-AVERAGE(OFFSET($H$3,0,0,'Données projet'!$E$9+1,1))</f>
        <v>314.07001555875894</v>
      </c>
      <c r="T66" s="59">
        <f t="shared" si="34"/>
        <v>281.53154885904991</v>
      </c>
      <c r="U66" s="15">
        <f>IF(ISNA(VLOOKUP(A66,'Données projet'!$A$35:$I$55,3,0)),0,VLOOKUP(A66,'Données projet'!$A$35:$I$55,3,0))</f>
        <v>7</v>
      </c>
      <c r="V66" s="15">
        <f>IF(ISNA(VLOOKUP(A66,'Données projet'!$A$35:$I$55,4,0)),0,VLOOKUP(A66,'Données projet'!$A$35:$I$55,4,0))</f>
        <v>99.599999999999966</v>
      </c>
      <c r="W66" s="16">
        <f>IF(ISNA(VLOOKUP(A66,'Données projet'!$A$35:$I$55,5,0)),0%,VLOOKUP(A66,'Données projet'!$A$35:$I$55,5,0)*VLOOKUP('Données projet'!$B$9,Paramètres!$A$1:$I$89,7,0))</f>
        <v>0.33</v>
      </c>
      <c r="X66" s="16">
        <f>IF(ISNA(VLOOKUP(A66,'Données projet'!$A$35:$I$55,6,0)),0%,VLOOKUP(A66,'Données projet'!$A$35:$I$55,6,0)*VLOOKUP('Données projet'!$B$9,Paramètres!$A$1:$I$89,7,0))</f>
        <v>0.11000000000000001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100.09460843496048</v>
      </c>
      <c r="AA66" s="21">
        <f>EXP(-LN(2)/25)*AA65+(1-EXP(-LN(2)/25))/(LN(2)/25)*Calculateur!V66*Calculateur!X66*VLOOKUP('Données projet'!$B$9,Paramètres!$A$1:$I$89,3,0)*0.475*44/12</f>
        <v>35.303197131108604</v>
      </c>
      <c r="AB66" s="21">
        <f>EXP(-LN(2)/2)*AB65+(1-EXP(-LN(2)/2))/(LN(2)/2)*V66*Y66*VLOOKUP('Données projet'!$B$9,Paramètres!$A$1:$I$89,3,0)*0.475*44/12</f>
        <v>13.787902572172555</v>
      </c>
      <c r="AC66" s="22">
        <f t="shared" si="3"/>
        <v>149.18570813824164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16.682857142857149</v>
      </c>
      <c r="N67" s="13">
        <f>IF('Données projet'!$A$36&gt;35,N66+M67-V66,IF(A67&lt;'Données projet'!$A$36,$K$205^A67,IF(A67='Données projet'!$A$36,'Données projet'!$B$36,N66+M67-V66)))</f>
        <v>486.76285714285751</v>
      </c>
      <c r="O67" s="13">
        <f>N67*VLOOKUP('Données projet'!$B$9,Paramètres!$A$1:$I$89,3,0)*VLOOKUP('Données projet'!$B$9,Paramètres!$A$1:$I$89,5,0)</f>
        <v>272.10043714285734</v>
      </c>
      <c r="P67" s="13">
        <f t="shared" si="33"/>
        <v>65.294833817604186</v>
      </c>
      <c r="Q67" s="20">
        <f t="shared" ref="Q67:Q98" si="54">(O67+P67)*0.475*44/12</f>
        <v>587.63009692280377</v>
      </c>
      <c r="R67" s="59">
        <f t="shared" ref="R67:R130" si="55">Q67+(I67+J67)*44/12</f>
        <v>880.96343025613714</v>
      </c>
      <c r="S67" s="59">
        <f ca="1">AVERAGE(OFFSET($R$3,0,0,'Données projet'!$E$9+1,1))-AVERAGE(OFFSET($H$3,0,0,'Données projet'!$E$9+1,1))</f>
        <v>314.07001555875894</v>
      </c>
      <c r="T67" s="59">
        <f t="shared" si="34"/>
        <v>281.53154885904991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98.131814215233689</v>
      </c>
      <c r="AA67" s="21">
        <f>EXP(-LN(2)/25)*AA66+(1-EXP(-LN(2)/25))/(LN(2)/25)*Calculateur!V67*Calculateur!X67*VLOOKUP('Données projet'!$B$9,Paramètres!$A$1:$I$89,3,0)*0.475*44/12</f>
        <v>34.337829349043986</v>
      </c>
      <c r="AB67" s="21">
        <f>EXP(-LN(2)/2)*AB66+(1-EXP(-LN(2)/2))/(LN(2)/2)*V67*Y67*VLOOKUP('Données projet'!$B$9,Paramètres!$A$1:$I$89,3,0)*0.475*44/12</f>
        <v>9.749519407122655</v>
      </c>
      <c r="AC67" s="22">
        <f t="shared" si="3"/>
        <v>142.21916297140032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16.682857142857149</v>
      </c>
      <c r="N68" s="13">
        <f>IF('Données projet'!$A$36&gt;35,N67+M68-V67,IF(A68&lt;'Données projet'!$A$36,$K$205^A68,IF(A68='Données projet'!$A$36,'Données projet'!$B$36,N67+M68-V67)))</f>
        <v>503.44571428571464</v>
      </c>
      <c r="O68" s="13">
        <f>N68*VLOOKUP('Données projet'!$B$9,Paramètres!$A$1:$I$89,3,0)*VLOOKUP('Données projet'!$B$9,Paramètres!$A$1:$I$89,5,0)</f>
        <v>281.42615428571452</v>
      </c>
      <c r="P68" s="13">
        <f t="shared" si="33"/>
        <v>67.268307105467983</v>
      </c>
      <c r="Q68" s="20">
        <f t="shared" si="54"/>
        <v>607.30952025630938</v>
      </c>
      <c r="R68" s="59">
        <f t="shared" si="55"/>
        <v>900.64285358964275</v>
      </c>
      <c r="S68" s="59">
        <f ca="1">AVERAGE(OFFSET($R$3,0,0,'Données projet'!$E$9+1,1))-AVERAGE(OFFSET($H$3,0,0,'Données projet'!$E$9+1,1))</f>
        <v>314.07001555875894</v>
      </c>
      <c r="T68" s="59">
        <f t="shared" si="34"/>
        <v>281.53154885904991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96.207509192969482</v>
      </c>
      <c r="AA68" s="21">
        <f>EXP(-LN(2)/25)*AA67+(1-EXP(-LN(2)/25))/(LN(2)/25)*Calculateur!V68*Calculateur!X68*VLOOKUP('Données projet'!$B$9,Paramètres!$A$1:$I$89,3,0)*0.475*44/12</f>
        <v>33.398859599746416</v>
      </c>
      <c r="AB68" s="21">
        <f>EXP(-LN(2)/2)*AB67+(1-EXP(-LN(2)/2))/(LN(2)/2)*V68*Y68*VLOOKUP('Données projet'!$B$9,Paramètres!$A$1:$I$89,3,0)*0.475*44/12</f>
        <v>6.8939512860862786</v>
      </c>
      <c r="AC68" s="22">
        <f t="shared" ref="AC68:AC131" si="57">SUM(Z68:AB68)</f>
        <v>136.50032007880219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16.682857142857149</v>
      </c>
      <c r="N69" s="13">
        <f>IF('Données projet'!$A$36&gt;35,N68+M69-V68,IF(A69&lt;'Données projet'!$A$36,$K$205^A69,IF(A69='Données projet'!$A$36,'Données projet'!$B$36,N68+M69-V68)))</f>
        <v>520.12857142857183</v>
      </c>
      <c r="O69" s="13">
        <f>N69*VLOOKUP('Données projet'!$B$9,Paramètres!$A$1:$I$89,3,0)*VLOOKUP('Données projet'!$B$9,Paramètres!$A$1:$I$89,5,0)</f>
        <v>290.75187142857169</v>
      </c>
      <c r="P69" s="13">
        <f t="shared" ref="P69:P132" si="87">EXP(-1.0587+0.8836*LN(O69)+0.284)</f>
        <v>69.23418152913365</v>
      </c>
      <c r="Q69" s="20">
        <f t="shared" si="54"/>
        <v>626.97570890133682</v>
      </c>
      <c r="R69" s="59">
        <f t="shared" si="55"/>
        <v>920.30904223467019</v>
      </c>
      <c r="S69" s="59">
        <f ca="1">AVERAGE(OFFSET($R$3,0,0,'Données projet'!$E$9+1,1))-AVERAGE(OFFSET($H$3,0,0,'Données projet'!$E$9+1,1))</f>
        <v>314.07001555875894</v>
      </c>
      <c r="T69" s="59">
        <f t="shared" ref="T69:T132" si="88">$T$3</f>
        <v>281.53154885904991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94.320938618481705</v>
      </c>
      <c r="AA69" s="21">
        <f>EXP(-LN(2)/25)*AA68+(1-EXP(-LN(2)/25))/(LN(2)/25)*Calculateur!V69*Calculateur!X69*VLOOKUP('Données projet'!$B$9,Paramètres!$A$1:$I$89,3,0)*0.475*44/12</f>
        <v>32.485566027621658</v>
      </c>
      <c r="AB69" s="21">
        <f>EXP(-LN(2)/2)*AB68+(1-EXP(-LN(2)/2))/(LN(2)/2)*V69*Y69*VLOOKUP('Données projet'!$B$9,Paramètres!$A$1:$I$89,3,0)*0.475*44/12</f>
        <v>4.8747597035613284</v>
      </c>
      <c r="AC69" s="22">
        <f t="shared" si="57"/>
        <v>131.6812643496647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16.682857142857149</v>
      </c>
      <c r="N70" s="13">
        <f>IF('Données projet'!$A$36&gt;35,N69+M70-V69,IF(A70&lt;'Données projet'!$A$36,$K$205^A70,IF(A70='Données projet'!$A$36,'Données projet'!$B$36,N69+M70-V69)))</f>
        <v>536.81142857142902</v>
      </c>
      <c r="O70" s="13">
        <f>N70*VLOOKUP('Données projet'!$B$9,Paramètres!$A$1:$I$89,3,0)*VLOOKUP('Données projet'!$B$9,Paramètres!$A$1:$I$89,5,0)</f>
        <v>300.07758857142881</v>
      </c>
      <c r="P70" s="13">
        <f t="shared" si="87"/>
        <v>71.19272877566128</v>
      </c>
      <c r="Q70" s="20">
        <f t="shared" si="54"/>
        <v>646.62913604618188</v>
      </c>
      <c r="R70" s="59">
        <f t="shared" si="55"/>
        <v>939.96246937951514</v>
      </c>
      <c r="S70" s="59">
        <f ca="1">AVERAGE(OFFSET($R$3,0,0,'Données projet'!$E$9+1,1))-AVERAGE(OFFSET($H$3,0,0,'Données projet'!$E$9+1,1))</f>
        <v>314.07001555875894</v>
      </c>
      <c r="T70" s="59">
        <f t="shared" si="88"/>
        <v>281.53154885904991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92.471362542265211</v>
      </c>
      <c r="AA70" s="21">
        <f>EXP(-LN(2)/25)*AA69+(1-EXP(-LN(2)/25))/(LN(2)/25)*Calculateur!V70*Calculateur!X70*VLOOKUP('Données projet'!$B$9,Paramètres!$A$1:$I$89,3,0)*0.475*44/12</f>
        <v>31.597246516254675</v>
      </c>
      <c r="AB70" s="21">
        <f>EXP(-LN(2)/2)*AB69+(1-EXP(-LN(2)/2))/(LN(2)/2)*V70*Y70*VLOOKUP('Données projet'!$B$9,Paramètres!$A$1:$I$89,3,0)*0.475*44/12</f>
        <v>3.4469756430431397</v>
      </c>
      <c r="AC70" s="22">
        <f t="shared" si="57"/>
        <v>127.51558470156303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16.682857142857149</v>
      </c>
      <c r="N71" s="13">
        <f>IF('Données projet'!$A$36&gt;35,N70+M71-V70,IF(A71&lt;'Données projet'!$A$36,$K$205^A71,IF(A71='Données projet'!$A$36,'Données projet'!$B$36,N70+M71-V70)))</f>
        <v>553.49428571428621</v>
      </c>
      <c r="O71" s="13">
        <f>N71*VLOOKUP('Données projet'!$B$9,Paramètres!$A$1:$I$89,3,0)*VLOOKUP('Données projet'!$B$9,Paramètres!$A$1:$I$89,5,0)</f>
        <v>309.40330571428598</v>
      </c>
      <c r="P71" s="13">
        <f t="shared" si="87"/>
        <v>73.144202686055834</v>
      </c>
      <c r="Q71" s="20">
        <f t="shared" si="54"/>
        <v>666.27024379726197</v>
      </c>
      <c r="R71" s="59">
        <f t="shared" si="55"/>
        <v>959.60357713059534</v>
      </c>
      <c r="S71" s="59">
        <f ca="1">AVERAGE(OFFSET($R$3,0,0,'Données projet'!$E$9+1,1))-AVERAGE(OFFSET($H$3,0,0,'Données projet'!$E$9+1,1))</f>
        <v>314.07001555875894</v>
      </c>
      <c r="T71" s="59">
        <f t="shared" si="88"/>
        <v>281.53154885904991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90.658055524773317</v>
      </c>
      <c r="AA71" s="21">
        <f>EXP(-LN(2)/25)*AA70+(1-EXP(-LN(2)/25))/(LN(2)/25)*Calculateur!V71*Calculateur!X71*VLOOKUP('Données projet'!$B$9,Paramètres!$A$1:$I$89,3,0)*0.475*44/12</f>
        <v>30.733218148640713</v>
      </c>
      <c r="AB71" s="21">
        <f>EXP(-LN(2)/2)*AB70+(1-EXP(-LN(2)/2))/(LN(2)/2)*V71*Y71*VLOOKUP('Données projet'!$B$9,Paramètres!$A$1:$I$89,3,0)*0.475*44/12</f>
        <v>2.4373798517806646</v>
      </c>
      <c r="AC71" s="22">
        <f t="shared" si="57"/>
        <v>123.8286535251947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16.682857142857149</v>
      </c>
      <c r="N72" s="13">
        <f>IF('Données projet'!$A$36&gt;35,N71+M72-V71,IF(A72&lt;'Données projet'!$A$36,$K$205^A72,IF(A72='Données projet'!$A$36,'Données projet'!$B$36,N71+M72-V71)))</f>
        <v>570.17714285714339</v>
      </c>
      <c r="O72" s="13">
        <f>N72*VLOOKUP('Données projet'!$B$9,Paramètres!$A$1:$I$89,3,0)*VLOOKUP('Données projet'!$B$9,Paramètres!$A$1:$I$89,5,0)</f>
        <v>318.72902285714315</v>
      </c>
      <c r="P72" s="13">
        <f t="shared" si="87"/>
        <v>75.088840929664514</v>
      </c>
      <c r="Q72" s="20">
        <f t="shared" si="54"/>
        <v>685.89944609535667</v>
      </c>
      <c r="R72" s="59">
        <f t="shared" si="55"/>
        <v>979.23277942869004</v>
      </c>
      <c r="S72" s="59">
        <f ca="1">AVERAGE(OFFSET($R$3,0,0,'Données projet'!$E$9+1,1))-AVERAGE(OFFSET($H$3,0,0,'Données projet'!$E$9+1,1))</f>
        <v>314.07001555875894</v>
      </c>
      <c r="T72" s="59">
        <f t="shared" si="88"/>
        <v>281.53154885904991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88.880306351886361</v>
      </c>
      <c r="AA72" s="21">
        <f>EXP(-LN(2)/25)*AA71+(1-EXP(-LN(2)/25))/(LN(2)/25)*Calculateur!V72*Calculateur!X72*VLOOKUP('Données projet'!$B$9,Paramètres!$A$1:$I$89,3,0)*0.475*44/12</f>
        <v>29.892816682176431</v>
      </c>
      <c r="AB72" s="21">
        <f>EXP(-LN(2)/2)*AB71+(1-EXP(-LN(2)/2))/(LN(2)/2)*V72*Y72*VLOOKUP('Données projet'!$B$9,Paramètres!$A$1:$I$89,3,0)*0.475*44/12</f>
        <v>1.7234878215215701</v>
      </c>
      <c r="AC72" s="22">
        <f t="shared" si="57"/>
        <v>120.49661085558436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586.86</v>
      </c>
      <c r="L73" s="12">
        <f>VLOOKUP(A73,'Données projet'!$A$35:$I$55,9,0)</f>
        <v>16.682857142857149</v>
      </c>
      <c r="M73" s="12">
        <f t="array" ref="M73">INDEX(L:L,MIN(IF(ISNUMBER(L73:L269),ROW(L73:L269),"")))</f>
        <v>16.682857142857149</v>
      </c>
      <c r="N73" s="13">
        <f>IF('Données projet'!$A$36&gt;35,N72+M73-V72,IF(A73&lt;'Données projet'!$A$36,$K$205^A73,IF(A73='Données projet'!$A$36,'Données projet'!$B$36,N72+M73-V72)))</f>
        <v>586.86000000000058</v>
      </c>
      <c r="O73" s="13">
        <f>N73*VLOOKUP('Données projet'!$B$9,Paramètres!$A$1:$I$89,3,0)*VLOOKUP('Données projet'!$B$9,Paramètres!$A$1:$I$89,5,0)</f>
        <v>328.05474000000032</v>
      </c>
      <c r="P73" s="13">
        <f t="shared" si="87"/>
        <v>77.026866477102189</v>
      </c>
      <c r="Q73" s="20">
        <f t="shared" si="54"/>
        <v>705.51713128095355</v>
      </c>
      <c r="R73" s="59">
        <f t="shared" si="55"/>
        <v>998.85046461428692</v>
      </c>
      <c r="S73" s="59">
        <f ca="1">AVERAGE(OFFSET($R$3,0,0,'Données projet'!$E$9+1,1))-AVERAGE(OFFSET($H$3,0,0,'Données projet'!$E$9+1,1))</f>
        <v>314.07001555875894</v>
      </c>
      <c r="T73" s="59">
        <f t="shared" si="88"/>
        <v>281.53154885904991</v>
      </c>
      <c r="U73" s="15">
        <f>IF(ISNA(VLOOKUP(A73,'Données projet'!$A$35:$I$55,3,0)),0,VLOOKUP(A73,'Données projet'!$A$35:$I$55,3,0))</f>
        <v>8</v>
      </c>
      <c r="V73" s="15">
        <f>IF(ISNA(VLOOKUP(A73,'Données projet'!$A$35:$I$55,4,0)),0,VLOOKUP(A73,'Données projet'!$A$35:$I$55,4,0))</f>
        <v>586.86</v>
      </c>
      <c r="W73" s="16">
        <f>IF(ISNA(VLOOKUP(A73,'Données projet'!$A$35:$I$55,5,0)),0%,VLOOKUP(A73,'Données projet'!$A$35:$I$55,5,0)*VLOOKUP('Données projet'!$B$9,Paramètres!$A$1:$I$89,7,0))</f>
        <v>0.33</v>
      </c>
      <c r="X73" s="16">
        <f>IF(ISNA(VLOOKUP(A73,'Données projet'!$A$35:$I$55,6,0)),0%,VLOOKUP(A73,'Données projet'!$A$35:$I$55,6,0)*VLOOKUP('Données projet'!$B$9,Paramètres!$A$1:$I$89,7,0))</f>
        <v>0.11000000000000001</v>
      </c>
      <c r="Y73" s="16">
        <f>IF(ISNA(VLOOKUP(A73,'Données projet'!$A$35:$I$55,7,0)),0%,VLOOKUP(A73,'Données projet'!$A$35:$I$55,7,0))</f>
        <v>0.2</v>
      </c>
      <c r="Z73" s="21">
        <f>EXP(-LN(2)/35)*Z72+(1-EXP(-LN(2)/35))/(LN(2)/35)*V73*W73*VLOOKUP('Données projet'!$B$9,Paramètres!$A$1:$I$89,3,0)*0.475*44/12</f>
        <v>230.74871773837151</v>
      </c>
      <c r="AA73" s="21">
        <f>EXP(-LN(2)/25)*AA72+(1-EXP(-LN(2)/25))/(LN(2)/25)*Calculateur!V73*Calculateur!X73*VLOOKUP('Données projet'!$B$9,Paramètres!$A$1:$I$89,3,0)*0.475*44/12</f>
        <v>76.757345229402674</v>
      </c>
      <c r="AB73" s="21">
        <f>EXP(-LN(2)/2)*AB72+(1-EXP(-LN(2)/2))/(LN(2)/2)*V73*Y73*VLOOKUP('Données projet'!$B$9,Paramètres!$A$1:$I$89,3,0)*0.475*44/12</f>
        <v>75.505524322819824</v>
      </c>
      <c r="AC73" s="22">
        <f t="shared" si="57"/>
        <v>383.01158729059404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5.6843418860808015E-13</v>
      </c>
      <c r="O74" s="13">
        <f>N74*VLOOKUP('Données projet'!$B$9,Paramètres!$A$1:$I$89,3,0)*VLOOKUP('Données projet'!$B$9,Paramètres!$A$1:$I$89,5,0)</f>
        <v>3.177547114319168E-13</v>
      </c>
      <c r="P74" s="13">
        <f t="shared" si="87"/>
        <v>4.1725404435445377E-12</v>
      </c>
      <c r="Q74" s="20">
        <f t="shared" si="54"/>
        <v>7.820597394917325E-12</v>
      </c>
      <c r="R74" s="59">
        <f t="shared" si="55"/>
        <v>293.33333333334116</v>
      </c>
      <c r="S74" s="59">
        <f ca="1">AVERAGE(OFFSET($R$3,0,0,'Données projet'!$E$9+1,1))-AVERAGE(OFFSET($H$3,0,0,'Données projet'!$E$9+1,1))</f>
        <v>314.07001555875894</v>
      </c>
      <c r="T74" s="59">
        <f t="shared" si="88"/>
        <v>281.53154885904991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226.22387612634267</v>
      </c>
      <c r="AA74" s="21">
        <f>EXP(-LN(2)/25)*AA73+(1-EXP(-LN(2)/25))/(LN(2)/25)*Calculateur!V74*Calculateur!X74*VLOOKUP('Données projet'!$B$9,Paramètres!$A$1:$I$89,3,0)*0.475*44/12</f>
        <v>74.658411587611297</v>
      </c>
      <c r="AB74" s="21">
        <f>EXP(-LN(2)/2)*AB73+(1-EXP(-LN(2)/2))/(LN(2)/2)*V74*Y74*VLOOKUP('Données projet'!$B$9,Paramètres!$A$1:$I$89,3,0)*0.475*44/12</f>
        <v>53.390468265711704</v>
      </c>
      <c r="AC74" s="22">
        <f t="shared" si="57"/>
        <v>354.2727559796657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5.6843418860808015E-13</v>
      </c>
      <c r="O75" s="13">
        <f>N75*VLOOKUP('Données projet'!$B$9,Paramètres!$A$1:$I$89,3,0)*VLOOKUP('Données projet'!$B$9,Paramètres!$A$1:$I$89,5,0)</f>
        <v>3.177547114319168E-13</v>
      </c>
      <c r="P75" s="13">
        <f t="shared" si="87"/>
        <v>4.1725404435445377E-12</v>
      </c>
      <c r="Q75" s="20">
        <f t="shared" si="54"/>
        <v>7.820597394917325E-12</v>
      </c>
      <c r="R75" s="59">
        <f t="shared" si="55"/>
        <v>293.33333333334116</v>
      </c>
      <c r="S75" s="59">
        <f ca="1">AVERAGE(OFFSET($R$3,0,0,'Données projet'!$E$9+1,1))-AVERAGE(OFFSET($H$3,0,0,'Données projet'!$E$9+1,1))</f>
        <v>314.07001555875894</v>
      </c>
      <c r="T75" s="59">
        <f t="shared" si="88"/>
        <v>281.53154885904991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221.78776389844484</v>
      </c>
      <c r="AA75" s="21">
        <f>EXP(-LN(2)/25)*AA74+(1-EXP(-LN(2)/25))/(LN(2)/25)*Calculateur!V75*Calculateur!X75*VLOOKUP('Données projet'!$B$9,Paramètres!$A$1:$I$89,3,0)*0.475*44/12</f>
        <v>72.61687339663284</v>
      </c>
      <c r="AB75" s="21">
        <f>EXP(-LN(2)/2)*AB74+(1-EXP(-LN(2)/2))/(LN(2)/2)*V75*Y75*VLOOKUP('Données projet'!$B$9,Paramètres!$A$1:$I$89,3,0)*0.475*44/12</f>
        <v>37.752762161409919</v>
      </c>
      <c r="AC75" s="22">
        <f t="shared" si="57"/>
        <v>332.15739945648761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5.6843418860808015E-13</v>
      </c>
      <c r="O76" s="13">
        <f>N76*VLOOKUP('Données projet'!$B$9,Paramètres!$A$1:$I$89,3,0)*VLOOKUP('Données projet'!$B$9,Paramètres!$A$1:$I$89,5,0)</f>
        <v>3.177547114319168E-13</v>
      </c>
      <c r="P76" s="13">
        <f t="shared" si="87"/>
        <v>4.1725404435445377E-12</v>
      </c>
      <c r="Q76" s="20">
        <f t="shared" si="54"/>
        <v>7.820597394917325E-12</v>
      </c>
      <c r="R76" s="59">
        <f t="shared" si="55"/>
        <v>293.33333333334116</v>
      </c>
      <c r="S76" s="59">
        <f ca="1">AVERAGE(OFFSET($R$3,0,0,'Données projet'!$E$9+1,1))-AVERAGE(OFFSET($H$3,0,0,'Données projet'!$E$9+1,1))</f>
        <v>314.07001555875894</v>
      </c>
      <c r="T76" s="59">
        <f t="shared" si="88"/>
        <v>281.53154885904991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217.4386411255748</v>
      </c>
      <c r="AA76" s="21">
        <f>EXP(-LN(2)/25)*AA75+(1-EXP(-LN(2)/25))/(LN(2)/25)*Calculateur!V76*Calculateur!X76*VLOOKUP('Données projet'!$B$9,Paramètres!$A$1:$I$89,3,0)*0.475*44/12</f>
        <v>70.631161174846511</v>
      </c>
      <c r="AB76" s="21">
        <f>EXP(-LN(2)/2)*AB75+(1-EXP(-LN(2)/2))/(LN(2)/2)*V76*Y76*VLOOKUP('Données projet'!$B$9,Paramètres!$A$1:$I$89,3,0)*0.475*44/12</f>
        <v>26.695234132855855</v>
      </c>
      <c r="AC76" s="22">
        <f t="shared" si="57"/>
        <v>314.76503643327715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5.6843418860808015E-13</v>
      </c>
      <c r="O77" s="13">
        <f>N77*VLOOKUP('Données projet'!$B$9,Paramètres!$A$1:$I$89,3,0)*VLOOKUP('Données projet'!$B$9,Paramètres!$A$1:$I$89,5,0)</f>
        <v>3.177547114319168E-13</v>
      </c>
      <c r="P77" s="13">
        <f t="shared" si="87"/>
        <v>4.1725404435445377E-12</v>
      </c>
      <c r="Q77" s="20">
        <f t="shared" si="54"/>
        <v>7.820597394917325E-12</v>
      </c>
      <c r="R77" s="59">
        <f t="shared" si="55"/>
        <v>293.33333333334116</v>
      </c>
      <c r="S77" s="59">
        <f ca="1">AVERAGE(OFFSET($R$3,0,0,'Données projet'!$E$9+1,1))-AVERAGE(OFFSET($H$3,0,0,'Données projet'!$E$9+1,1))</f>
        <v>314.07001555875894</v>
      </c>
      <c r="T77" s="59">
        <f t="shared" si="88"/>
        <v>281.53154885904991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213.17480199757779</v>
      </c>
      <c r="AA77" s="21">
        <f>EXP(-LN(2)/25)*AA76+(1-EXP(-LN(2)/25))/(LN(2)/25)*Calculateur!V77*Calculateur!X77*VLOOKUP('Données projet'!$B$9,Paramètres!$A$1:$I$89,3,0)*0.475*44/12</f>
        <v>68.699748358188998</v>
      </c>
      <c r="AB77" s="21">
        <f>EXP(-LN(2)/2)*AB76+(1-EXP(-LN(2)/2))/(LN(2)/2)*V77*Y77*VLOOKUP('Données projet'!$B$9,Paramètres!$A$1:$I$89,3,0)*0.475*44/12</f>
        <v>18.876381080704963</v>
      </c>
      <c r="AC77" s="22">
        <f t="shared" si="57"/>
        <v>300.75093143647177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5.6843418860808015E-13</v>
      </c>
      <c r="O78" s="13">
        <f>N78*VLOOKUP('Données projet'!$B$9,Paramètres!$A$1:$I$89,3,0)*VLOOKUP('Données projet'!$B$9,Paramètres!$A$1:$I$89,5,0)</f>
        <v>3.177547114319168E-13</v>
      </c>
      <c r="P78" s="13">
        <f t="shared" si="87"/>
        <v>4.1725404435445377E-12</v>
      </c>
      <c r="Q78" s="20">
        <f t="shared" si="54"/>
        <v>7.820597394917325E-12</v>
      </c>
      <c r="R78" s="59">
        <f t="shared" si="55"/>
        <v>293.33333333334116</v>
      </c>
      <c r="S78" s="59">
        <f ca="1">AVERAGE(OFFSET($R$3,0,0,'Données projet'!$E$9+1,1))-AVERAGE(OFFSET($H$3,0,0,'Données projet'!$E$9+1,1))</f>
        <v>314.07001555875894</v>
      </c>
      <c r="T78" s="59">
        <f t="shared" si="88"/>
        <v>281.53154885904991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208.99457415419573</v>
      </c>
      <c r="AA78" s="21">
        <f>EXP(-LN(2)/25)*AA77+(1-EXP(-LN(2)/25))/(LN(2)/25)*Calculateur!V78*Calculateur!X78*VLOOKUP('Données projet'!$B$9,Paramètres!$A$1:$I$89,3,0)*0.475*44/12</f>
        <v>66.821150126571567</v>
      </c>
      <c r="AB78" s="21">
        <f>EXP(-LN(2)/2)*AB77+(1-EXP(-LN(2)/2))/(LN(2)/2)*V78*Y78*VLOOKUP('Données projet'!$B$9,Paramètres!$A$1:$I$89,3,0)*0.475*44/12</f>
        <v>13.347617066427931</v>
      </c>
      <c r="AC78" s="22">
        <f t="shared" si="57"/>
        <v>289.16334134719523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5.6843418860808015E-13</v>
      </c>
      <c r="O79" s="13">
        <f>N79*VLOOKUP('Données projet'!$B$9,Paramètres!$A$1:$I$89,3,0)*VLOOKUP('Données projet'!$B$9,Paramètres!$A$1:$I$89,5,0)</f>
        <v>3.177547114319168E-13</v>
      </c>
      <c r="P79" s="13">
        <f t="shared" si="87"/>
        <v>4.1725404435445377E-12</v>
      </c>
      <c r="Q79" s="20">
        <f t="shared" si="54"/>
        <v>7.820597394917325E-12</v>
      </c>
      <c r="R79" s="59">
        <f t="shared" si="55"/>
        <v>293.33333333334116</v>
      </c>
      <c r="S79" s="59">
        <f ca="1">AVERAGE(OFFSET($R$3,0,0,'Données projet'!$E$9+1,1))-AVERAGE(OFFSET($H$3,0,0,'Données projet'!$E$9+1,1))</f>
        <v>314.07001555875894</v>
      </c>
      <c r="T79" s="59">
        <f t="shared" si="88"/>
        <v>281.53154885904991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204.89631802913516</v>
      </c>
      <c r="AA79" s="21">
        <f>EXP(-LN(2)/25)*AA78+(1-EXP(-LN(2)/25))/(LN(2)/25)*Calculateur!V79*Calculateur!X79*VLOOKUP('Données projet'!$B$9,Paramètres!$A$1:$I$89,3,0)*0.475*44/12</f>
        <v>64.993922262388907</v>
      </c>
      <c r="AB79" s="21">
        <f>EXP(-LN(2)/2)*AB78+(1-EXP(-LN(2)/2))/(LN(2)/2)*V79*Y79*VLOOKUP('Données projet'!$B$9,Paramètres!$A$1:$I$89,3,0)*0.475*44/12</f>
        <v>9.4381905403524833</v>
      </c>
      <c r="AC79" s="22">
        <f t="shared" si="57"/>
        <v>279.32843083187652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5.6843418860808015E-13</v>
      </c>
      <c r="O80" s="13">
        <f>N80*VLOOKUP('Données projet'!$B$9,Paramètres!$A$1:$I$89,3,0)*VLOOKUP('Données projet'!$B$9,Paramètres!$A$1:$I$89,5,0)</f>
        <v>3.177547114319168E-13</v>
      </c>
      <c r="P80" s="13">
        <f t="shared" si="87"/>
        <v>4.1725404435445377E-12</v>
      </c>
      <c r="Q80" s="20">
        <f t="shared" si="54"/>
        <v>7.820597394917325E-12</v>
      </c>
      <c r="R80" s="59">
        <f t="shared" si="55"/>
        <v>293.33333333334116</v>
      </c>
      <c r="S80" s="59">
        <f ca="1">AVERAGE(OFFSET($R$3,0,0,'Données projet'!$E$9+1,1))-AVERAGE(OFFSET($H$3,0,0,'Données projet'!$E$9+1,1))</f>
        <v>314.07001555875894</v>
      </c>
      <c r="T80" s="59">
        <f t="shared" si="88"/>
        <v>281.53154885904991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200.87842620699763</v>
      </c>
      <c r="AA80" s="21">
        <f>EXP(-LN(2)/25)*AA79+(1-EXP(-LN(2)/25))/(LN(2)/25)*Calculateur!V80*Calculateur!X80*VLOOKUP('Données projet'!$B$9,Paramètres!$A$1:$I$89,3,0)*0.475*44/12</f>
        <v>63.216660040242054</v>
      </c>
      <c r="AB80" s="21">
        <f>EXP(-LN(2)/2)*AB79+(1-EXP(-LN(2)/2))/(LN(2)/2)*V80*Y80*VLOOKUP('Données projet'!$B$9,Paramètres!$A$1:$I$89,3,0)*0.475*44/12</f>
        <v>6.6738085332139665</v>
      </c>
      <c r="AC80" s="22">
        <f t="shared" si="57"/>
        <v>270.76889478045365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5.6843418860808015E-13</v>
      </c>
      <c r="O81" s="13">
        <f>N81*VLOOKUP('Données projet'!$B$9,Paramètres!$A$1:$I$89,3,0)*VLOOKUP('Données projet'!$B$9,Paramètres!$A$1:$I$89,5,0)</f>
        <v>3.177547114319168E-13</v>
      </c>
      <c r="P81" s="13">
        <f t="shared" si="87"/>
        <v>4.1725404435445377E-12</v>
      </c>
      <c r="Q81" s="20">
        <f t="shared" si="54"/>
        <v>7.820597394917325E-12</v>
      </c>
      <c r="R81" s="59">
        <f t="shared" si="55"/>
        <v>293.33333333334116</v>
      </c>
      <c r="S81" s="59">
        <f ca="1">AVERAGE(OFFSET($R$3,0,0,'Données projet'!$E$9+1,1))-AVERAGE(OFFSET($H$3,0,0,'Données projet'!$E$9+1,1))</f>
        <v>314.07001555875894</v>
      </c>
      <c r="T81" s="59">
        <f t="shared" si="88"/>
        <v>281.53154885904991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196.93932279282018</v>
      </c>
      <c r="AA81" s="21">
        <f>EXP(-LN(2)/25)*AA80+(1-EXP(-LN(2)/25))/(LN(2)/25)*Calculateur!V81*Calculateur!X81*VLOOKUP('Données projet'!$B$9,Paramètres!$A$1:$I$89,3,0)*0.475*44/12</f>
        <v>61.487997147021964</v>
      </c>
      <c r="AB81" s="21">
        <f>EXP(-LN(2)/2)*AB80+(1-EXP(-LN(2)/2))/(LN(2)/2)*V81*Y81*VLOOKUP('Données projet'!$B$9,Paramètres!$A$1:$I$89,3,0)*0.475*44/12</f>
        <v>4.7190952701762425</v>
      </c>
      <c r="AC81" s="22">
        <f t="shared" si="57"/>
        <v>263.1464152100184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5.6843418860808015E-13</v>
      </c>
      <c r="O82" s="13">
        <f>N82*VLOOKUP('Données projet'!$B$9,Paramètres!$A$1:$I$89,3,0)*VLOOKUP('Données projet'!$B$9,Paramètres!$A$1:$I$89,5,0)</f>
        <v>3.177547114319168E-13</v>
      </c>
      <c r="P82" s="13">
        <f t="shared" si="87"/>
        <v>4.1725404435445377E-12</v>
      </c>
      <c r="Q82" s="20">
        <f t="shared" si="54"/>
        <v>7.820597394917325E-12</v>
      </c>
      <c r="R82" s="59">
        <f t="shared" si="55"/>
        <v>293.33333333334116</v>
      </c>
      <c r="S82" s="59">
        <f ca="1">AVERAGE(OFFSET($R$3,0,0,'Données projet'!$E$9+1,1))-AVERAGE(OFFSET($H$3,0,0,'Données projet'!$E$9+1,1))</f>
        <v>314.07001555875894</v>
      </c>
      <c r="T82" s="59">
        <f t="shared" si="88"/>
        <v>281.53154885904991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193.0774627939789</v>
      </c>
      <c r="AA82" s="21">
        <f>EXP(-LN(2)/25)*AA81+(1-EXP(-LN(2)/25))/(LN(2)/25)*Calculateur!V82*Calculateur!X82*VLOOKUP('Données projet'!$B$9,Paramètres!$A$1:$I$89,3,0)*0.475*44/12</f>
        <v>59.806604631523413</v>
      </c>
      <c r="AB82" s="21">
        <f>EXP(-LN(2)/2)*AB81+(1-EXP(-LN(2)/2))/(LN(2)/2)*V82*Y82*VLOOKUP('Données projet'!$B$9,Paramètres!$A$1:$I$89,3,0)*0.475*44/12</f>
        <v>3.3369042666069841</v>
      </c>
      <c r="AC82" s="22">
        <f t="shared" si="57"/>
        <v>256.22097169210929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5.6843418860808015E-13</v>
      </c>
      <c r="O83" s="13">
        <f>N83*VLOOKUP('Données projet'!$B$9,Paramètres!$A$1:$I$89,3,0)*VLOOKUP('Données projet'!$B$9,Paramètres!$A$1:$I$89,5,0)</f>
        <v>3.177547114319168E-13</v>
      </c>
      <c r="P83" s="13">
        <f t="shared" si="87"/>
        <v>4.1725404435445377E-12</v>
      </c>
      <c r="Q83" s="20">
        <f t="shared" si="54"/>
        <v>7.820597394917325E-12</v>
      </c>
      <c r="R83" s="59">
        <f t="shared" si="55"/>
        <v>293.33333333334116</v>
      </c>
      <c r="S83" s="59">
        <f ca="1">AVERAGE(OFFSET($R$3,0,0,'Données projet'!$E$9+1,1))-AVERAGE(OFFSET($H$3,0,0,'Données projet'!$E$9+1,1))</f>
        <v>314.07001555875894</v>
      </c>
      <c r="T83" s="59">
        <f t="shared" si="88"/>
        <v>281.53154885904991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189.29133151421289</v>
      </c>
      <c r="AA83" s="21">
        <f>EXP(-LN(2)/25)*AA82+(1-EXP(-LN(2)/25))/(LN(2)/25)*Calculateur!V83*Calculateur!X83*VLOOKUP('Données projet'!$B$9,Paramètres!$A$1:$I$89,3,0)*0.475*44/12</f>
        <v>58.171189882781761</v>
      </c>
      <c r="AB83" s="21">
        <f>EXP(-LN(2)/2)*AB82+(1-EXP(-LN(2)/2))/(LN(2)/2)*V83*Y83*VLOOKUP('Données projet'!$B$9,Paramètres!$A$1:$I$89,3,0)*0.475*44/12</f>
        <v>2.3595476350881217</v>
      </c>
      <c r="AC83" s="22">
        <f t="shared" si="57"/>
        <v>249.82206903208277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5.6843418860808015E-13</v>
      </c>
      <c r="O84" s="13">
        <f>N84*VLOOKUP('Données projet'!$B$9,Paramètres!$A$1:$I$89,3,0)*VLOOKUP('Données projet'!$B$9,Paramètres!$A$1:$I$89,5,0)</f>
        <v>3.177547114319168E-13</v>
      </c>
      <c r="P84" s="13">
        <f t="shared" si="87"/>
        <v>4.1725404435445377E-12</v>
      </c>
      <c r="Q84" s="20">
        <f t="shared" si="54"/>
        <v>7.820597394917325E-12</v>
      </c>
      <c r="R84" s="59">
        <f t="shared" si="55"/>
        <v>293.33333333334116</v>
      </c>
      <c r="S84" s="59">
        <f ca="1">AVERAGE(OFFSET($R$3,0,0,'Données projet'!$E$9+1,1))-AVERAGE(OFFSET($H$3,0,0,'Données projet'!$E$9+1,1))</f>
        <v>314.07001555875894</v>
      </c>
      <c r="T84" s="59">
        <f t="shared" si="88"/>
        <v>281.53154885904991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185.57944395953103</v>
      </c>
      <c r="AA84" s="21">
        <f>EXP(-LN(2)/25)*AA83+(1-EXP(-LN(2)/25))/(LN(2)/25)*Calculateur!V84*Calculateur!X84*VLOOKUP('Données projet'!$B$9,Paramètres!$A$1:$I$89,3,0)*0.475*44/12</f>
        <v>56.580495636347166</v>
      </c>
      <c r="AB84" s="21">
        <f>EXP(-LN(2)/2)*AB83+(1-EXP(-LN(2)/2))/(LN(2)/2)*V84*Y84*VLOOKUP('Données projet'!$B$9,Paramètres!$A$1:$I$89,3,0)*0.475*44/12</f>
        <v>1.6684521333034923</v>
      </c>
      <c r="AC84" s="22">
        <f t="shared" si="57"/>
        <v>243.8283917291817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5.6843418860808015E-13</v>
      </c>
      <c r="O85" s="13">
        <f>N85*VLOOKUP('Données projet'!$B$9,Paramètres!$A$1:$I$89,3,0)*VLOOKUP('Données projet'!$B$9,Paramètres!$A$1:$I$89,5,0)</f>
        <v>3.177547114319168E-13</v>
      </c>
      <c r="P85" s="13">
        <f t="shared" si="87"/>
        <v>4.1725404435445377E-12</v>
      </c>
      <c r="Q85" s="20">
        <f t="shared" si="54"/>
        <v>7.820597394917325E-12</v>
      </c>
      <c r="R85" s="59">
        <f t="shared" si="55"/>
        <v>293.33333333334116</v>
      </c>
      <c r="S85" s="59">
        <f ca="1">AVERAGE(OFFSET($R$3,0,0,'Données projet'!$E$9+1,1))-AVERAGE(OFFSET($H$3,0,0,'Données projet'!$E$9+1,1))</f>
        <v>314.07001555875894</v>
      </c>
      <c r="T85" s="59">
        <f t="shared" si="88"/>
        <v>281.53154885904991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181.94034425576862</v>
      </c>
      <c r="AA85" s="21">
        <f>EXP(-LN(2)/25)*AA84+(1-EXP(-LN(2)/25))/(LN(2)/25)*Calculateur!V85*Calculateur!X85*VLOOKUP('Données projet'!$B$9,Paramètres!$A$1:$I$89,3,0)*0.475*44/12</f>
        <v>55.033299007732303</v>
      </c>
      <c r="AB85" s="21">
        <f>EXP(-LN(2)/2)*AB84+(1-EXP(-LN(2)/2))/(LN(2)/2)*V85*Y85*VLOOKUP('Données projet'!$B$9,Paramètres!$A$1:$I$89,3,0)*0.475*44/12</f>
        <v>1.1797738175440611</v>
      </c>
      <c r="AC85" s="22">
        <f t="shared" si="57"/>
        <v>238.15341708104498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5.6843418860808015E-13</v>
      </c>
      <c r="O86" s="13">
        <f>N86*VLOOKUP('Données projet'!$B$9,Paramètres!$A$1:$I$89,3,0)*VLOOKUP('Données projet'!$B$9,Paramètres!$A$1:$I$89,5,0)</f>
        <v>3.177547114319168E-13</v>
      </c>
      <c r="P86" s="13">
        <f t="shared" si="87"/>
        <v>4.1725404435445377E-12</v>
      </c>
      <c r="Q86" s="20">
        <f t="shared" si="54"/>
        <v>7.820597394917325E-12</v>
      </c>
      <c r="R86" s="59">
        <f t="shared" si="55"/>
        <v>293.33333333334116</v>
      </c>
      <c r="S86" s="59">
        <f ca="1">AVERAGE(OFFSET($R$3,0,0,'Données projet'!$E$9+1,1))-AVERAGE(OFFSET($H$3,0,0,'Données projet'!$E$9+1,1))</f>
        <v>314.07001555875894</v>
      </c>
      <c r="T86" s="59">
        <f t="shared" si="88"/>
        <v>281.53154885904991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178.37260507756537</v>
      </c>
      <c r="AA86" s="21">
        <f>EXP(-LN(2)/25)*AA85+(1-EXP(-LN(2)/25))/(LN(2)/25)*Calculateur!V86*Calculateur!X86*VLOOKUP('Données projet'!$B$9,Paramètres!$A$1:$I$89,3,0)*0.475*44/12</f>
        <v>53.528410552290445</v>
      </c>
      <c r="AB86" s="21">
        <f>EXP(-LN(2)/2)*AB85+(1-EXP(-LN(2)/2))/(LN(2)/2)*V86*Y86*VLOOKUP('Données projet'!$B$9,Paramètres!$A$1:$I$89,3,0)*0.475*44/12</f>
        <v>0.83422606665174626</v>
      </c>
      <c r="AC86" s="22">
        <f t="shared" si="57"/>
        <v>232.73524169650756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5.6843418860808015E-13</v>
      </c>
      <c r="O87" s="13">
        <f>N87*VLOOKUP('Données projet'!$B$9,Paramètres!$A$1:$I$89,3,0)*VLOOKUP('Données projet'!$B$9,Paramètres!$A$1:$I$89,5,0)</f>
        <v>3.177547114319168E-13</v>
      </c>
      <c r="P87" s="13">
        <f t="shared" si="87"/>
        <v>4.1725404435445377E-12</v>
      </c>
      <c r="Q87" s="20">
        <f t="shared" si="54"/>
        <v>7.820597394917325E-12</v>
      </c>
      <c r="R87" s="59">
        <f t="shared" si="55"/>
        <v>293.33333333334116</v>
      </c>
      <c r="S87" s="59">
        <f ca="1">AVERAGE(OFFSET($R$3,0,0,'Données projet'!$E$9+1,1))-AVERAGE(OFFSET($H$3,0,0,'Données projet'!$E$9+1,1))</f>
        <v>314.07001555875894</v>
      </c>
      <c r="T87" s="59">
        <f t="shared" si="88"/>
        <v>281.53154885904991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174.87482708854066</v>
      </c>
      <c r="AA87" s="21">
        <f>EXP(-LN(2)/25)*AA86+(1-EXP(-LN(2)/25))/(LN(2)/25)*Calculateur!V87*Calculateur!X87*VLOOKUP('Données projet'!$B$9,Paramètres!$A$1:$I$89,3,0)*0.475*44/12</f>
        <v>52.064673350801293</v>
      </c>
      <c r="AB87" s="21">
        <f>EXP(-LN(2)/2)*AB86+(1-EXP(-LN(2)/2))/(LN(2)/2)*V87*Y87*VLOOKUP('Données projet'!$B$9,Paramètres!$A$1:$I$89,3,0)*0.475*44/12</f>
        <v>0.58988690877203054</v>
      </c>
      <c r="AC87" s="22">
        <f t="shared" si="57"/>
        <v>227.52938734811397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5.6843418860808015E-13</v>
      </c>
      <c r="O88" s="13">
        <f>N88*VLOOKUP('Données projet'!$B$9,Paramètres!$A$1:$I$89,3,0)*VLOOKUP('Données projet'!$B$9,Paramètres!$A$1:$I$89,5,0)</f>
        <v>3.177547114319168E-13</v>
      </c>
      <c r="P88" s="13">
        <f t="shared" si="87"/>
        <v>4.1725404435445377E-12</v>
      </c>
      <c r="Q88" s="20">
        <f t="shared" si="54"/>
        <v>7.820597394917325E-12</v>
      </c>
      <c r="R88" s="59">
        <f t="shared" si="55"/>
        <v>293.33333333334116</v>
      </c>
      <c r="S88" s="59">
        <f ca="1">AVERAGE(OFFSET($R$3,0,0,'Données projet'!$E$9+1,1))-AVERAGE(OFFSET($H$3,0,0,'Données projet'!$E$9+1,1))</f>
        <v>314.07001555875894</v>
      </c>
      <c r="T88" s="59">
        <f t="shared" si="88"/>
        <v>281.53154885904991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171.4456383924468</v>
      </c>
      <c r="AA88" s="21">
        <f>EXP(-LN(2)/25)*AA87+(1-EXP(-LN(2)/25))/(LN(2)/25)*Calculateur!V88*Calculateur!X88*VLOOKUP('Données projet'!$B$9,Paramètres!$A$1:$I$89,3,0)*0.475*44/12</f>
        <v>50.640962120061452</v>
      </c>
      <c r="AB88" s="21">
        <f>EXP(-LN(2)/2)*AB87+(1-EXP(-LN(2)/2))/(LN(2)/2)*V88*Y88*VLOOKUP('Données projet'!$B$9,Paramètres!$A$1:$I$89,3,0)*0.475*44/12</f>
        <v>0.41711303332587313</v>
      </c>
      <c r="AC88" s="22">
        <f t="shared" si="57"/>
        <v>222.50371354583413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5.6843418860808015E-13</v>
      </c>
      <c r="O89" s="13">
        <f>N89*VLOOKUP('Données projet'!$B$9,Paramètres!$A$1:$I$89,3,0)*VLOOKUP('Données projet'!$B$9,Paramètres!$A$1:$I$89,5,0)</f>
        <v>3.177547114319168E-13</v>
      </c>
      <c r="P89" s="13">
        <f t="shared" si="87"/>
        <v>4.1725404435445377E-12</v>
      </c>
      <c r="Q89" s="20">
        <f t="shared" si="54"/>
        <v>7.820597394917325E-12</v>
      </c>
      <c r="R89" s="59">
        <f t="shared" si="55"/>
        <v>293.33333333334116</v>
      </c>
      <c r="S89" s="59">
        <f ca="1">AVERAGE(OFFSET($R$3,0,0,'Données projet'!$E$9+1,1))-AVERAGE(OFFSET($H$3,0,0,'Données projet'!$E$9+1,1))</f>
        <v>314.07001555875894</v>
      </c>
      <c r="T89" s="59">
        <f t="shared" si="88"/>
        <v>281.53154885904991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168.08369399508476</v>
      </c>
      <c r="AA89" s="21">
        <f>EXP(-LN(2)/25)*AA88+(1-EXP(-LN(2)/25))/(LN(2)/25)*Calculateur!V89*Calculateur!X89*VLOOKUP('Données projet'!$B$9,Paramètres!$A$1:$I$89,3,0)*0.475*44/12</f>
        <v>49.256182347795914</v>
      </c>
      <c r="AB89" s="21">
        <f>EXP(-LN(2)/2)*AB88+(1-EXP(-LN(2)/2))/(LN(2)/2)*V89*Y89*VLOOKUP('Données projet'!$B$9,Paramètres!$A$1:$I$89,3,0)*0.475*44/12</f>
        <v>0.29494345438601527</v>
      </c>
      <c r="AC89" s="22">
        <f t="shared" si="57"/>
        <v>217.63481979726669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5.6843418860808015E-13</v>
      </c>
      <c r="O90" s="13">
        <f>N90*VLOOKUP('Données projet'!$B$9,Paramètres!$A$1:$I$89,3,0)*VLOOKUP('Données projet'!$B$9,Paramètres!$A$1:$I$89,5,0)</f>
        <v>3.177547114319168E-13</v>
      </c>
      <c r="P90" s="13">
        <f t="shared" si="87"/>
        <v>4.1725404435445377E-12</v>
      </c>
      <c r="Q90" s="20">
        <f t="shared" si="54"/>
        <v>7.820597394917325E-12</v>
      </c>
      <c r="R90" s="59">
        <f t="shared" si="55"/>
        <v>293.33333333334116</v>
      </c>
      <c r="S90" s="59">
        <f ca="1">AVERAGE(OFFSET($R$3,0,0,'Données projet'!$E$9+1,1))-AVERAGE(OFFSET($H$3,0,0,'Données projet'!$E$9+1,1))</f>
        <v>314.07001555875894</v>
      </c>
      <c r="T90" s="59">
        <f t="shared" si="88"/>
        <v>281.53154885904991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164.78767527677138</v>
      </c>
      <c r="AA90" s="21">
        <f>EXP(-LN(2)/25)*AA89+(1-EXP(-LN(2)/25))/(LN(2)/25)*Calculateur!V90*Calculateur!X90*VLOOKUP('Données projet'!$B$9,Paramètres!$A$1:$I$89,3,0)*0.475*44/12</f>
        <v>47.909269451225384</v>
      </c>
      <c r="AB90" s="21">
        <f>EXP(-LN(2)/2)*AB89+(1-EXP(-LN(2)/2))/(LN(2)/2)*V90*Y90*VLOOKUP('Données projet'!$B$9,Paramètres!$A$1:$I$89,3,0)*0.475*44/12</f>
        <v>0.20855651666293656</v>
      </c>
      <c r="AC90" s="22">
        <f t="shared" si="57"/>
        <v>212.90550124465969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5.6843418860808015E-13</v>
      </c>
      <c r="O91" s="13">
        <f>N91*VLOOKUP('Données projet'!$B$9,Paramètres!$A$1:$I$89,3,0)*VLOOKUP('Données projet'!$B$9,Paramètres!$A$1:$I$89,5,0)</f>
        <v>3.177547114319168E-13</v>
      </c>
      <c r="P91" s="13">
        <f t="shared" si="87"/>
        <v>4.1725404435445377E-12</v>
      </c>
      <c r="Q91" s="20">
        <f t="shared" si="54"/>
        <v>7.820597394917325E-12</v>
      </c>
      <c r="R91" s="59">
        <f t="shared" si="55"/>
        <v>293.33333333334116</v>
      </c>
      <c r="S91" s="59">
        <f ca="1">AVERAGE(OFFSET($R$3,0,0,'Données projet'!$E$9+1,1))-AVERAGE(OFFSET($H$3,0,0,'Données projet'!$E$9+1,1))</f>
        <v>314.07001555875894</v>
      </c>
      <c r="T91" s="59">
        <f t="shared" si="88"/>
        <v>281.53154885904991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161.55628947515123</v>
      </c>
      <c r="AA91" s="21">
        <f>EXP(-LN(2)/25)*AA90+(1-EXP(-LN(2)/25))/(LN(2)/25)*Calculateur!V91*Calculateur!X91*VLOOKUP('Données projet'!$B$9,Paramètres!$A$1:$I$89,3,0)*0.475*44/12</f>
        <v>46.599187958642645</v>
      </c>
      <c r="AB91" s="21">
        <f>EXP(-LN(2)/2)*AB90+(1-EXP(-LN(2)/2))/(LN(2)/2)*V91*Y91*VLOOKUP('Données projet'!$B$9,Paramètres!$A$1:$I$89,3,0)*0.475*44/12</f>
        <v>0.14747172719300763</v>
      </c>
      <c r="AC91" s="22">
        <f t="shared" si="57"/>
        <v>208.30294916098688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5.6843418860808015E-13</v>
      </c>
      <c r="O92" s="13">
        <f>N92*VLOOKUP('Données projet'!$B$9,Paramètres!$A$1:$I$89,3,0)*VLOOKUP('Données projet'!$B$9,Paramètres!$A$1:$I$89,5,0)</f>
        <v>3.177547114319168E-13</v>
      </c>
      <c r="P92" s="13">
        <f t="shared" si="87"/>
        <v>4.1725404435445377E-12</v>
      </c>
      <c r="Q92" s="20">
        <f t="shared" si="54"/>
        <v>7.820597394917325E-12</v>
      </c>
      <c r="R92" s="59">
        <f t="shared" si="55"/>
        <v>293.33333333334116</v>
      </c>
      <c r="S92" s="59">
        <f ca="1">AVERAGE(OFFSET($R$3,0,0,'Données projet'!$E$9+1,1))-AVERAGE(OFFSET($H$3,0,0,'Données projet'!$E$9+1,1))</f>
        <v>314.07001555875894</v>
      </c>
      <c r="T92" s="59">
        <f t="shared" si="88"/>
        <v>281.53154885904991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158.38826917815013</v>
      </c>
      <c r="AA92" s="21">
        <f>EXP(-LN(2)/25)*AA91+(1-EXP(-LN(2)/25))/(LN(2)/25)*Calculateur!V92*Calculateur!X92*VLOOKUP('Données projet'!$B$9,Paramètres!$A$1:$I$89,3,0)*0.475*44/12</f>
        <v>45.324930713368772</v>
      </c>
      <c r="AB92" s="21">
        <f>EXP(-LN(2)/2)*AB91+(1-EXP(-LN(2)/2))/(LN(2)/2)*V92*Y92*VLOOKUP('Données projet'!$B$9,Paramètres!$A$1:$I$89,3,0)*0.475*44/12</f>
        <v>0.10427825833146828</v>
      </c>
      <c r="AC92" s="22">
        <f t="shared" si="57"/>
        <v>203.81747814985039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5.6843418860808015E-13</v>
      </c>
      <c r="O93" s="13">
        <f>N93*VLOOKUP('Données projet'!$B$9,Paramètres!$A$1:$I$89,3,0)*VLOOKUP('Données projet'!$B$9,Paramètres!$A$1:$I$89,5,0)</f>
        <v>3.177547114319168E-13</v>
      </c>
      <c r="P93" s="13">
        <f t="shared" si="87"/>
        <v>4.1725404435445377E-12</v>
      </c>
      <c r="Q93" s="20">
        <f t="shared" si="54"/>
        <v>7.820597394917325E-12</v>
      </c>
      <c r="R93" s="59">
        <f t="shared" si="55"/>
        <v>293.33333333334116</v>
      </c>
      <c r="S93" s="59">
        <f ca="1">AVERAGE(OFFSET($R$3,0,0,'Données projet'!$E$9+1,1))-AVERAGE(OFFSET($H$3,0,0,'Données projet'!$E$9+1,1))</f>
        <v>314.07001555875894</v>
      </c>
      <c r="T93" s="59">
        <f t="shared" si="88"/>
        <v>281.53154885904991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155.28237182687161</v>
      </c>
      <c r="AA93" s="21">
        <f>EXP(-LN(2)/25)*AA92+(1-EXP(-LN(2)/25))/(LN(2)/25)*Calculateur!V93*Calculateur!X93*VLOOKUP('Données projet'!$B$9,Paramètres!$A$1:$I$89,3,0)*0.475*44/12</f>
        <v>44.085518099477191</v>
      </c>
      <c r="AB93" s="21">
        <f>EXP(-LN(2)/2)*AB92+(1-EXP(-LN(2)/2))/(LN(2)/2)*V93*Y93*VLOOKUP('Données projet'!$B$9,Paramètres!$A$1:$I$89,3,0)*0.475*44/12</f>
        <v>7.3735863596503817E-2</v>
      </c>
      <c r="AC93" s="22">
        <f t="shared" si="57"/>
        <v>199.44162578994531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5.6843418860808015E-13</v>
      </c>
      <c r="O94" s="13">
        <f>N94*VLOOKUP('Données projet'!$B$9,Paramètres!$A$1:$I$89,3,0)*VLOOKUP('Données projet'!$B$9,Paramètres!$A$1:$I$89,5,0)</f>
        <v>3.177547114319168E-13</v>
      </c>
      <c r="P94" s="13">
        <f t="shared" si="87"/>
        <v>4.1725404435445377E-12</v>
      </c>
      <c r="Q94" s="20">
        <f t="shared" si="54"/>
        <v>7.820597394917325E-12</v>
      </c>
      <c r="R94" s="59">
        <f t="shared" si="55"/>
        <v>293.33333333334116</v>
      </c>
      <c r="S94" s="59">
        <f ca="1">AVERAGE(OFFSET($R$3,0,0,'Données projet'!$E$9+1,1))-AVERAGE(OFFSET($H$3,0,0,'Données projet'!$E$9+1,1))</f>
        <v>314.07001555875894</v>
      </c>
      <c r="T94" s="59">
        <f t="shared" si="88"/>
        <v>281.53154885904991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152.23737922824134</v>
      </c>
      <c r="AA94" s="21">
        <f>EXP(-LN(2)/25)*AA93+(1-EXP(-LN(2)/25))/(LN(2)/25)*Calculateur!V94*Calculateur!X94*VLOOKUP('Données projet'!$B$9,Paramètres!$A$1:$I$89,3,0)*0.475*44/12</f>
        <v>42.879997288690348</v>
      </c>
      <c r="AB94" s="21">
        <f>EXP(-LN(2)/2)*AB93+(1-EXP(-LN(2)/2))/(LN(2)/2)*V94*Y94*VLOOKUP('Données projet'!$B$9,Paramètres!$A$1:$I$89,3,0)*0.475*44/12</f>
        <v>5.2139129165734141E-2</v>
      </c>
      <c r="AC94" s="22">
        <f t="shared" si="57"/>
        <v>195.16951564609744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5.6843418860808015E-13</v>
      </c>
      <c r="O95" s="13">
        <f>N95*VLOOKUP('Données projet'!$B$9,Paramètres!$A$1:$I$89,3,0)*VLOOKUP('Données projet'!$B$9,Paramètres!$A$1:$I$89,5,0)</f>
        <v>3.177547114319168E-13</v>
      </c>
      <c r="P95" s="13">
        <f t="shared" si="87"/>
        <v>4.1725404435445377E-12</v>
      </c>
      <c r="Q95" s="20">
        <f t="shared" si="54"/>
        <v>7.820597394917325E-12</v>
      </c>
      <c r="R95" s="59">
        <f t="shared" si="55"/>
        <v>293.33333333334116</v>
      </c>
      <c r="S95" s="59">
        <f ca="1">AVERAGE(OFFSET($R$3,0,0,'Données projet'!$E$9+1,1))-AVERAGE(OFFSET($H$3,0,0,'Données projet'!$E$9+1,1))</f>
        <v>314.07001555875894</v>
      </c>
      <c r="T95" s="59">
        <f t="shared" si="88"/>
        <v>281.53154885904991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149.25209707720813</v>
      </c>
      <c r="AA95" s="21">
        <f>EXP(-LN(2)/25)*AA94+(1-EXP(-LN(2)/25))/(LN(2)/25)*Calculateur!V95*Calculateur!X95*VLOOKUP('Données projet'!$B$9,Paramètres!$A$1:$I$89,3,0)*0.475*44/12</f>
        <v>41.707441507870058</v>
      </c>
      <c r="AB95" s="21">
        <f>EXP(-LN(2)/2)*AB94+(1-EXP(-LN(2)/2))/(LN(2)/2)*V95*Y95*VLOOKUP('Données projet'!$B$9,Paramètres!$A$1:$I$89,3,0)*0.475*44/12</f>
        <v>3.6867931798251909E-2</v>
      </c>
      <c r="AC95" s="22">
        <f t="shared" si="57"/>
        <v>190.99640651687642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5.6843418860808015E-13</v>
      </c>
      <c r="O96" s="13">
        <f>N96*VLOOKUP('Données projet'!$B$9,Paramètres!$A$1:$I$89,3,0)*VLOOKUP('Données projet'!$B$9,Paramètres!$A$1:$I$89,5,0)</f>
        <v>3.177547114319168E-13</v>
      </c>
      <c r="P96" s="13">
        <f t="shared" si="87"/>
        <v>4.1725404435445377E-12</v>
      </c>
      <c r="Q96" s="20">
        <f t="shared" si="54"/>
        <v>7.820597394917325E-12</v>
      </c>
      <c r="R96" s="59">
        <f t="shared" si="55"/>
        <v>293.33333333334116</v>
      </c>
      <c r="S96" s="59">
        <f ca="1">AVERAGE(OFFSET($R$3,0,0,'Données projet'!$E$9+1,1))-AVERAGE(OFFSET($H$3,0,0,'Données projet'!$E$9+1,1))</f>
        <v>314.07001555875894</v>
      </c>
      <c r="T96" s="59">
        <f t="shared" si="88"/>
        <v>281.53154885904991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146.32535448831436</v>
      </c>
      <c r="AA96" s="21">
        <f>EXP(-LN(2)/25)*AA95+(1-EXP(-LN(2)/25))/(LN(2)/25)*Calculateur!V96*Calculateur!X96*VLOOKUP('Données projet'!$B$9,Paramètres!$A$1:$I$89,3,0)*0.475*44/12</f>
        <v>40.566949326538328</v>
      </c>
      <c r="AB96" s="21">
        <f>EXP(-LN(2)/2)*AB95+(1-EXP(-LN(2)/2))/(LN(2)/2)*V96*Y96*VLOOKUP('Données projet'!$B$9,Paramètres!$A$1:$I$89,3,0)*0.475*44/12</f>
        <v>2.6069564582867071E-2</v>
      </c>
      <c r="AC96" s="22">
        <f t="shared" si="57"/>
        <v>186.91837337943554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5.6843418860808015E-13</v>
      </c>
      <c r="O97" s="13">
        <f>N97*VLOOKUP('Données projet'!$B$9,Paramètres!$A$1:$I$89,3,0)*VLOOKUP('Données projet'!$B$9,Paramètres!$A$1:$I$89,5,0)</f>
        <v>3.177547114319168E-13</v>
      </c>
      <c r="P97" s="13">
        <f t="shared" si="87"/>
        <v>4.1725404435445377E-12</v>
      </c>
      <c r="Q97" s="20">
        <f t="shared" si="54"/>
        <v>7.820597394917325E-12</v>
      </c>
      <c r="R97" s="59">
        <f t="shared" si="55"/>
        <v>293.33333333334116</v>
      </c>
      <c r="S97" s="59">
        <f ca="1">AVERAGE(OFFSET($R$3,0,0,'Données projet'!$E$9+1,1))-AVERAGE(OFFSET($H$3,0,0,'Données projet'!$E$9+1,1))</f>
        <v>314.07001555875894</v>
      </c>
      <c r="T97" s="59">
        <f t="shared" si="88"/>
        <v>281.53154885904991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143.45600353645207</v>
      </c>
      <c r="AA97" s="21">
        <f>EXP(-LN(2)/25)*AA96+(1-EXP(-LN(2)/25))/(LN(2)/25)*Calculateur!V97*Calculateur!X97*VLOOKUP('Données projet'!$B$9,Paramètres!$A$1:$I$89,3,0)*0.475*44/12</f>
        <v>39.45764396388099</v>
      </c>
      <c r="AB97" s="21">
        <f>EXP(-LN(2)/2)*AB96+(1-EXP(-LN(2)/2))/(LN(2)/2)*V97*Y97*VLOOKUP('Données projet'!$B$9,Paramètres!$A$1:$I$89,3,0)*0.475*44/12</f>
        <v>1.8433965899125954E-2</v>
      </c>
      <c r="AC97" s="22">
        <f t="shared" si="57"/>
        <v>182.93208146623221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5.6843418860808015E-13</v>
      </c>
      <c r="O98" s="13">
        <f>N98*VLOOKUP('Données projet'!$B$9,Paramètres!$A$1:$I$89,3,0)*VLOOKUP('Données projet'!$B$9,Paramètres!$A$1:$I$89,5,0)</f>
        <v>3.177547114319168E-13</v>
      </c>
      <c r="P98" s="13">
        <f t="shared" si="87"/>
        <v>4.1725404435445377E-12</v>
      </c>
      <c r="Q98" s="20">
        <f t="shared" si="54"/>
        <v>7.820597394917325E-12</v>
      </c>
      <c r="R98" s="59">
        <f t="shared" si="55"/>
        <v>293.33333333334116</v>
      </c>
      <c r="S98" s="59">
        <f ca="1">AVERAGE(OFFSET($R$3,0,0,'Données projet'!$E$9+1,1))-AVERAGE(OFFSET($H$3,0,0,'Données projet'!$E$9+1,1))</f>
        <v>314.07001555875894</v>
      </c>
      <c r="T98" s="59">
        <f t="shared" si="88"/>
        <v>281.53154885904991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140.64291880662455</v>
      </c>
      <c r="AA98" s="21">
        <f>EXP(-LN(2)/25)*AA97+(1-EXP(-LN(2)/25))/(LN(2)/25)*Calculateur!V98*Calculateur!X98*VLOOKUP('Données projet'!$B$9,Paramètres!$A$1:$I$89,3,0)*0.475*44/12</f>
        <v>38.378672614701351</v>
      </c>
      <c r="AB98" s="21">
        <f>EXP(-LN(2)/2)*AB97+(1-EXP(-LN(2)/2))/(LN(2)/2)*V98*Y98*VLOOKUP('Données projet'!$B$9,Paramètres!$A$1:$I$89,3,0)*0.475*44/12</f>
        <v>1.3034782291433535E-2</v>
      </c>
      <c r="AC98" s="22">
        <f t="shared" si="57"/>
        <v>179.03462620361734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5.6843418860808015E-13</v>
      </c>
      <c r="O99" s="13">
        <f>N99*VLOOKUP('Données projet'!$B$9,Paramètres!$A$1:$I$89,3,0)*VLOOKUP('Données projet'!$B$9,Paramètres!$A$1:$I$89,5,0)</f>
        <v>3.177547114319168E-13</v>
      </c>
      <c r="P99" s="13">
        <f t="shared" si="87"/>
        <v>4.1725404435445377E-12</v>
      </c>
      <c r="Q99" s="20">
        <f t="shared" ref="Q99:Q130" si="107">(O99+P99)*0.475*44/12</f>
        <v>7.820597394917325E-12</v>
      </c>
      <c r="R99" s="59">
        <f t="shared" si="55"/>
        <v>293.33333333334116</v>
      </c>
      <c r="S99" s="59">
        <f ca="1">AVERAGE(OFFSET($R$3,0,0,'Données projet'!$E$9+1,1))-AVERAGE(OFFSET($H$3,0,0,'Données projet'!$E$9+1,1))</f>
        <v>314.07001555875894</v>
      </c>
      <c r="T99" s="59">
        <f t="shared" si="88"/>
        <v>281.53154885904991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137.88499695253668</v>
      </c>
      <c r="AA99" s="21">
        <f>EXP(-LN(2)/25)*AA98+(1-EXP(-LN(2)/25))/(LN(2)/25)*Calculateur!V99*Calculateur!X99*VLOOKUP('Données projet'!$B$9,Paramètres!$A$1:$I$89,3,0)*0.475*44/12</f>
        <v>37.329205793805663</v>
      </c>
      <c r="AB99" s="21">
        <f>EXP(-LN(2)/2)*AB98+(1-EXP(-LN(2)/2))/(LN(2)/2)*V99*Y99*VLOOKUP('Données projet'!$B$9,Paramètres!$A$1:$I$89,3,0)*0.475*44/12</f>
        <v>9.2169829495629772E-3</v>
      </c>
      <c r="AC99" s="22">
        <f t="shared" si="57"/>
        <v>175.22341972929192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5.6843418860808015E-13</v>
      </c>
      <c r="O100" s="13">
        <f>N100*VLOOKUP('Données projet'!$B$9,Paramètres!$A$1:$I$89,3,0)*VLOOKUP('Données projet'!$B$9,Paramètres!$A$1:$I$89,5,0)</f>
        <v>3.177547114319168E-13</v>
      </c>
      <c r="P100" s="13">
        <f t="shared" si="87"/>
        <v>4.1725404435445377E-12</v>
      </c>
      <c r="Q100" s="20">
        <f t="shared" si="107"/>
        <v>7.820597394917325E-12</v>
      </c>
      <c r="R100" s="59">
        <f t="shared" si="55"/>
        <v>293.33333333334116</v>
      </c>
      <c r="S100" s="59">
        <f ca="1">AVERAGE(OFFSET($R$3,0,0,'Données projet'!$E$9+1,1))-AVERAGE(OFFSET($H$3,0,0,'Données projet'!$E$9+1,1))</f>
        <v>314.07001555875894</v>
      </c>
      <c r="T100" s="59">
        <f t="shared" si="88"/>
        <v>281.53154885904991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135.18115626384125</v>
      </c>
      <c r="AA100" s="21">
        <f>EXP(-LN(2)/25)*AA99+(1-EXP(-LN(2)/25))/(LN(2)/25)*Calculateur!V100*Calculateur!X100*VLOOKUP('Données projet'!$B$9,Paramètres!$A$1:$I$89,3,0)*0.475*44/12</f>
        <v>36.308436698316434</v>
      </c>
      <c r="AB100" s="21">
        <f>EXP(-LN(2)/2)*AB99+(1-EXP(-LN(2)/2))/(LN(2)/2)*V100*Y100*VLOOKUP('Données projet'!$B$9,Paramètres!$A$1:$I$89,3,0)*0.475*44/12</f>
        <v>6.5173911457167676E-3</v>
      </c>
      <c r="AC100" s="22">
        <f t="shared" si="57"/>
        <v>171.49611035330338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5.6843418860808015E-13</v>
      </c>
      <c r="O101" s="13">
        <f>N101*VLOOKUP('Données projet'!$B$9,Paramètres!$A$1:$I$89,3,0)*VLOOKUP('Données projet'!$B$9,Paramètres!$A$1:$I$89,5,0)</f>
        <v>3.177547114319168E-13</v>
      </c>
      <c r="P101" s="13">
        <f t="shared" si="87"/>
        <v>4.1725404435445377E-12</v>
      </c>
      <c r="Q101" s="20">
        <f t="shared" si="107"/>
        <v>7.820597394917325E-12</v>
      </c>
      <c r="R101" s="59">
        <f t="shared" si="55"/>
        <v>293.33333333334116</v>
      </c>
      <c r="S101" s="59">
        <f ca="1">AVERAGE(OFFSET($R$3,0,0,'Données projet'!$E$9+1,1))-AVERAGE(OFFSET($H$3,0,0,'Données projet'!$E$9+1,1))</f>
        <v>314.07001555875894</v>
      </c>
      <c r="T101" s="59">
        <f t="shared" si="88"/>
        <v>281.53154885904991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132.53033624187114</v>
      </c>
      <c r="AA101" s="21">
        <f>EXP(-LN(2)/25)*AA100+(1-EXP(-LN(2)/25))/(LN(2)/25)*Calculateur!V101*Calculateur!X101*VLOOKUP('Données projet'!$B$9,Paramètres!$A$1:$I$89,3,0)*0.475*44/12</f>
        <v>35.31558058742327</v>
      </c>
      <c r="AB101" s="21">
        <f>EXP(-LN(2)/2)*AB100+(1-EXP(-LN(2)/2))/(LN(2)/2)*V101*Y101*VLOOKUP('Données projet'!$B$9,Paramètres!$A$1:$I$89,3,0)*0.475*44/12</f>
        <v>4.6084914747814886E-3</v>
      </c>
      <c r="AC101" s="22">
        <f t="shared" si="57"/>
        <v>167.85052532076921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5.6843418860808015E-13</v>
      </c>
      <c r="O102" s="13">
        <f>N102*VLOOKUP('Données projet'!$B$9,Paramètres!$A$1:$I$89,3,0)*VLOOKUP('Données projet'!$B$9,Paramètres!$A$1:$I$89,5,0)</f>
        <v>3.177547114319168E-13</v>
      </c>
      <c r="P102" s="13">
        <f t="shared" si="87"/>
        <v>4.1725404435445377E-12</v>
      </c>
      <c r="Q102" s="20">
        <f t="shared" si="107"/>
        <v>7.820597394917325E-12</v>
      </c>
      <c r="R102" s="59">
        <f t="shared" si="55"/>
        <v>293.33333333334116</v>
      </c>
      <c r="S102" s="59">
        <f ca="1">AVERAGE(OFFSET($R$3,0,0,'Données projet'!$E$9+1,1))-AVERAGE(OFFSET($H$3,0,0,'Données projet'!$E$9+1,1))</f>
        <v>314.07001555875894</v>
      </c>
      <c r="T102" s="59">
        <f t="shared" si="88"/>
        <v>281.53154885904991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129.93149718369131</v>
      </c>
      <c r="AA102" s="21">
        <f>EXP(-LN(2)/25)*AA101+(1-EXP(-LN(2)/25))/(LN(2)/25)*Calculateur!V102*Calculateur!X102*VLOOKUP('Données projet'!$B$9,Paramètres!$A$1:$I$89,3,0)*0.475*44/12</f>
        <v>34.349874179094513</v>
      </c>
      <c r="AB102" s="21">
        <f>EXP(-LN(2)/2)*AB101+(1-EXP(-LN(2)/2))/(LN(2)/2)*V102*Y102*VLOOKUP('Données projet'!$B$9,Paramètres!$A$1:$I$89,3,0)*0.475*44/12</f>
        <v>3.2586955728583838E-3</v>
      </c>
      <c r="AC102" s="22">
        <f t="shared" si="57"/>
        <v>164.28463005835869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5.6843418860808015E-13</v>
      </c>
      <c r="O103" s="13">
        <f>N103*VLOOKUP('Données projet'!$B$9,Paramètres!$A$1:$I$89,3,0)*VLOOKUP('Données projet'!$B$9,Paramètres!$A$1:$I$89,5,0)</f>
        <v>3.177547114319168E-13</v>
      </c>
      <c r="P103" s="13">
        <f t="shared" si="87"/>
        <v>4.1725404435445377E-12</v>
      </c>
      <c r="Q103" s="20">
        <f t="shared" si="107"/>
        <v>7.820597394917325E-12</v>
      </c>
      <c r="R103" s="59">
        <f t="shared" si="55"/>
        <v>293.33333333334116</v>
      </c>
      <c r="S103" s="59">
        <f ca="1">AVERAGE(OFFSET($R$3,0,0,'Données projet'!$E$9+1,1))-AVERAGE(OFFSET($H$3,0,0,'Données projet'!$E$9+1,1))</f>
        <v>314.07001555875894</v>
      </c>
      <c r="T103" s="59">
        <f t="shared" si="88"/>
        <v>281.53154885904991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127.38361977430708</v>
      </c>
      <c r="AA103" s="21">
        <f>EXP(-LN(2)/25)*AA102+(1-EXP(-LN(2)/25))/(LN(2)/25)*Calculateur!V103*Calculateur!X103*VLOOKUP('Données projet'!$B$9,Paramètres!$A$1:$I$89,3,0)*0.475*44/12</f>
        <v>33.410575063285798</v>
      </c>
      <c r="AB103" s="21">
        <f>EXP(-LN(2)/2)*AB102+(1-EXP(-LN(2)/2))/(LN(2)/2)*V103*Y103*VLOOKUP('Données projet'!$B$9,Paramètres!$A$1:$I$89,3,0)*0.475*44/12</f>
        <v>2.3042457373907443E-3</v>
      </c>
      <c r="AC103" s="22">
        <f t="shared" si="57"/>
        <v>160.79649908333025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5.6843418860808015E-13</v>
      </c>
      <c r="O104" s="13">
        <f>N104*VLOOKUP('Données projet'!$B$9,Paramètres!$A$1:$I$89,3,0)*VLOOKUP('Données projet'!$B$9,Paramètres!$A$1:$I$89,5,0)</f>
        <v>3.177547114319168E-13</v>
      </c>
      <c r="P104" s="13">
        <f t="shared" si="87"/>
        <v>4.1725404435445377E-12</v>
      </c>
      <c r="Q104" s="20">
        <f t="shared" si="107"/>
        <v>7.820597394917325E-12</v>
      </c>
      <c r="R104" s="59">
        <f t="shared" si="55"/>
        <v>293.33333333334116</v>
      </c>
      <c r="S104" s="59">
        <f ca="1">AVERAGE(OFFSET($R$3,0,0,'Données projet'!$E$9+1,1))-AVERAGE(OFFSET($H$3,0,0,'Données projet'!$E$9+1,1))</f>
        <v>314.07001555875894</v>
      </c>
      <c r="T104" s="59">
        <f t="shared" si="88"/>
        <v>281.53154885904991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124.8857046868691</v>
      </c>
      <c r="AA104" s="21">
        <f>EXP(-LN(2)/25)*AA103+(1-EXP(-LN(2)/25))/(LN(2)/25)*Calculateur!V104*Calculateur!X104*VLOOKUP('Données projet'!$B$9,Paramètres!$A$1:$I$89,3,0)*0.475*44/12</f>
        <v>32.496961131194467</v>
      </c>
      <c r="AB104" s="21">
        <f>EXP(-LN(2)/2)*AB103+(1-EXP(-LN(2)/2))/(LN(2)/2)*V104*Y104*VLOOKUP('Données projet'!$B$9,Paramètres!$A$1:$I$89,3,0)*0.475*44/12</f>
        <v>1.6293477864291919E-3</v>
      </c>
      <c r="AC104" s="22">
        <f t="shared" si="57"/>
        <v>157.38429516585001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5.6843418860808015E-13</v>
      </c>
      <c r="O105" s="13">
        <f>N105*VLOOKUP('Données projet'!$B$9,Paramètres!$A$1:$I$89,3,0)*VLOOKUP('Données projet'!$B$9,Paramètres!$A$1:$I$89,5,0)</f>
        <v>3.177547114319168E-13</v>
      </c>
      <c r="P105" s="13">
        <f t="shared" si="87"/>
        <v>4.1725404435445377E-12</v>
      </c>
      <c r="Q105" s="20">
        <f t="shared" si="107"/>
        <v>7.820597394917325E-12</v>
      </c>
      <c r="R105" s="59">
        <f t="shared" si="55"/>
        <v>293.33333333334116</v>
      </c>
      <c r="S105" s="59">
        <f ca="1">AVERAGE(OFFSET($R$3,0,0,'Données projet'!$E$9+1,1))-AVERAGE(OFFSET($H$3,0,0,'Données projet'!$E$9+1,1))</f>
        <v>314.07001555875894</v>
      </c>
      <c r="T105" s="59">
        <f t="shared" si="88"/>
        <v>281.53154885904991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122.43677219071803</v>
      </c>
      <c r="AA105" s="21">
        <f>EXP(-LN(2)/25)*AA104+(1-EXP(-LN(2)/25))/(LN(2)/25)*Calculateur!V105*Calculateur!X105*VLOOKUP('Données projet'!$B$9,Paramètres!$A$1:$I$89,3,0)*0.475*44/12</f>
        <v>31.608330020121041</v>
      </c>
      <c r="AB105" s="21">
        <f>EXP(-LN(2)/2)*AB104+(1-EXP(-LN(2)/2))/(LN(2)/2)*V105*Y105*VLOOKUP('Données projet'!$B$9,Paramètres!$A$1:$I$89,3,0)*0.475*44/12</f>
        <v>1.1521228686953721E-3</v>
      </c>
      <c r="AC105" s="22">
        <f t="shared" si="57"/>
        <v>154.04625433370776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5.6843418860808015E-13</v>
      </c>
      <c r="O106" s="13">
        <f>N106*VLOOKUP('Données projet'!$B$9,Paramètres!$A$1:$I$89,3,0)*VLOOKUP('Données projet'!$B$9,Paramètres!$A$1:$I$89,5,0)</f>
        <v>3.177547114319168E-13</v>
      </c>
      <c r="P106" s="13">
        <f t="shared" si="87"/>
        <v>4.1725404435445377E-12</v>
      </c>
      <c r="Q106" s="20">
        <f t="shared" si="107"/>
        <v>7.820597394917325E-12</v>
      </c>
      <c r="R106" s="59">
        <f t="shared" si="55"/>
        <v>293.33333333334116</v>
      </c>
      <c r="S106" s="59">
        <f ca="1">AVERAGE(OFFSET($R$3,0,0,'Données projet'!$E$9+1,1))-AVERAGE(OFFSET($H$3,0,0,'Données projet'!$E$9+1,1))</f>
        <v>314.07001555875894</v>
      </c>
      <c r="T106" s="59">
        <f t="shared" si="88"/>
        <v>281.53154885904991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120.03586176711514</v>
      </c>
      <c r="AA106" s="21">
        <f>EXP(-LN(2)/25)*AA105+(1-EXP(-LN(2)/25))/(LN(2)/25)*Calculateur!V106*Calculateur!X106*VLOOKUP('Données projet'!$B$9,Paramètres!$A$1:$I$89,3,0)*0.475*44/12</f>
        <v>30.743998573510996</v>
      </c>
      <c r="AB106" s="21">
        <f>EXP(-LN(2)/2)*AB105+(1-EXP(-LN(2)/2))/(LN(2)/2)*V106*Y106*VLOOKUP('Données projet'!$B$9,Paramètres!$A$1:$I$89,3,0)*0.475*44/12</f>
        <v>8.1467389321459595E-4</v>
      </c>
      <c r="AC106" s="22">
        <f t="shared" si="57"/>
        <v>150.78067501451935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5.6843418860808015E-13</v>
      </c>
      <c r="O107" s="13">
        <f>N107*VLOOKUP('Données projet'!$B$9,Paramètres!$A$1:$I$89,3,0)*VLOOKUP('Données projet'!$B$9,Paramètres!$A$1:$I$89,5,0)</f>
        <v>3.177547114319168E-13</v>
      </c>
      <c r="P107" s="13">
        <f t="shared" si="87"/>
        <v>4.1725404435445377E-12</v>
      </c>
      <c r="Q107" s="20">
        <f t="shared" si="107"/>
        <v>7.820597394917325E-12</v>
      </c>
      <c r="R107" s="59">
        <f t="shared" si="55"/>
        <v>293.33333333334116</v>
      </c>
      <c r="S107" s="59">
        <f ca="1">AVERAGE(OFFSET($R$3,0,0,'Données projet'!$E$9+1,1))-AVERAGE(OFFSET($H$3,0,0,'Données projet'!$E$9+1,1))</f>
        <v>314.07001555875894</v>
      </c>
      <c r="T107" s="59">
        <f t="shared" si="88"/>
        <v>281.53154885904991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117.68203173250834</v>
      </c>
      <c r="AA107" s="21">
        <f>EXP(-LN(2)/25)*AA106+(1-EXP(-LN(2)/25))/(LN(2)/25)*Calculateur!V107*Calculateur!X107*VLOOKUP('Données projet'!$B$9,Paramètres!$A$1:$I$89,3,0)*0.475*44/12</f>
        <v>29.903302315761721</v>
      </c>
      <c r="AB107" s="21">
        <f>EXP(-LN(2)/2)*AB106+(1-EXP(-LN(2)/2))/(LN(2)/2)*V107*Y107*VLOOKUP('Données projet'!$B$9,Paramètres!$A$1:$I$89,3,0)*0.475*44/12</f>
        <v>5.7606143434768607E-4</v>
      </c>
      <c r="AC107" s="22">
        <f t="shared" si="57"/>
        <v>147.5859101097044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5.6843418860808015E-13</v>
      </c>
      <c r="O108" s="13">
        <f>N108*VLOOKUP('Données projet'!$B$9,Paramètres!$A$1:$I$89,3,0)*VLOOKUP('Données projet'!$B$9,Paramètres!$A$1:$I$89,5,0)</f>
        <v>3.177547114319168E-13</v>
      </c>
      <c r="P108" s="13">
        <f t="shared" si="87"/>
        <v>4.1725404435445377E-12</v>
      </c>
      <c r="Q108" s="20">
        <f t="shared" si="107"/>
        <v>7.820597394917325E-12</v>
      </c>
      <c r="R108" s="59">
        <f t="shared" si="55"/>
        <v>293.33333333334116</v>
      </c>
      <c r="S108" s="59">
        <f ca="1">AVERAGE(OFFSET($R$3,0,0,'Données projet'!$E$9+1,1))-AVERAGE(OFFSET($H$3,0,0,'Données projet'!$E$9+1,1))</f>
        <v>314.07001555875894</v>
      </c>
      <c r="T108" s="59">
        <f t="shared" si="88"/>
        <v>281.53154885904991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115.37435886918563</v>
      </c>
      <c r="AA108" s="21">
        <f>EXP(-LN(2)/25)*AA107+(1-EXP(-LN(2)/25))/(LN(2)/25)*Calculateur!V108*Calculateur!X108*VLOOKUP('Données projet'!$B$9,Paramètres!$A$1:$I$89,3,0)*0.475*44/12</f>
        <v>29.085594941390891</v>
      </c>
      <c r="AB108" s="21">
        <f>EXP(-LN(2)/2)*AB107+(1-EXP(-LN(2)/2))/(LN(2)/2)*V108*Y108*VLOOKUP('Données projet'!$B$9,Paramètres!$A$1:$I$89,3,0)*0.475*44/12</f>
        <v>4.0733694660729798E-4</v>
      </c>
      <c r="AC108" s="22">
        <f t="shared" si="57"/>
        <v>144.46036114752312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5.6843418860808015E-13</v>
      </c>
      <c r="O109" s="13">
        <f>N109*VLOOKUP('Données projet'!$B$9,Paramètres!$A$1:$I$89,3,0)*VLOOKUP('Données projet'!$B$9,Paramètres!$A$1:$I$89,5,0)</f>
        <v>3.177547114319168E-13</v>
      </c>
      <c r="P109" s="13">
        <f t="shared" si="87"/>
        <v>4.1725404435445377E-12</v>
      </c>
      <c r="Q109" s="20">
        <f t="shared" si="107"/>
        <v>7.820597394917325E-12</v>
      </c>
      <c r="R109" s="59">
        <f t="shared" si="55"/>
        <v>293.33333333334116</v>
      </c>
      <c r="S109" s="59">
        <f ca="1">AVERAGE(OFFSET($R$3,0,0,'Données projet'!$E$9+1,1))-AVERAGE(OFFSET($H$3,0,0,'Données projet'!$E$9+1,1))</f>
        <v>314.07001555875894</v>
      </c>
      <c r="T109" s="59">
        <f t="shared" si="88"/>
        <v>281.53154885904991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113.11193806317121</v>
      </c>
      <c r="AA109" s="21">
        <f>EXP(-LN(2)/25)*AA108+(1-EXP(-LN(2)/25))/(LN(2)/25)*Calculateur!V109*Calculateur!X109*VLOOKUP('Données projet'!$B$9,Paramètres!$A$1:$I$89,3,0)*0.475*44/12</f>
        <v>28.290247818173594</v>
      </c>
      <c r="AB109" s="21">
        <f>EXP(-LN(2)/2)*AB108+(1-EXP(-LN(2)/2))/(LN(2)/2)*V109*Y109*VLOOKUP('Données projet'!$B$9,Paramètres!$A$1:$I$89,3,0)*0.475*44/12</f>
        <v>2.8803071717384304E-4</v>
      </c>
      <c r="AC109" s="22">
        <f t="shared" si="57"/>
        <v>141.40247391206196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5.6843418860808015E-13</v>
      </c>
      <c r="O110" s="13">
        <f>N110*VLOOKUP('Données projet'!$B$9,Paramètres!$A$1:$I$89,3,0)*VLOOKUP('Données projet'!$B$9,Paramètres!$A$1:$I$89,5,0)</f>
        <v>3.177547114319168E-13</v>
      </c>
      <c r="P110" s="13">
        <f t="shared" si="87"/>
        <v>4.1725404435445377E-12</v>
      </c>
      <c r="Q110" s="20">
        <f t="shared" si="107"/>
        <v>7.820597394917325E-12</v>
      </c>
      <c r="R110" s="59">
        <f t="shared" si="55"/>
        <v>293.33333333334116</v>
      </c>
      <c r="S110" s="59">
        <f ca="1">AVERAGE(OFFSET($R$3,0,0,'Données projet'!$E$9+1,1))-AVERAGE(OFFSET($H$3,0,0,'Données projet'!$E$9+1,1))</f>
        <v>314.07001555875894</v>
      </c>
      <c r="T110" s="59">
        <f t="shared" si="88"/>
        <v>281.53154885904991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110.8938819492223</v>
      </c>
      <c r="AA110" s="21">
        <f>EXP(-LN(2)/25)*AA109+(1-EXP(-LN(2)/25))/(LN(2)/25)*Calculateur!V110*Calculateur!X110*VLOOKUP('Données projet'!$B$9,Paramètres!$A$1:$I$89,3,0)*0.475*44/12</f>
        <v>27.516649503866162</v>
      </c>
      <c r="AB110" s="21">
        <f>EXP(-LN(2)/2)*AB109+(1-EXP(-LN(2)/2))/(LN(2)/2)*V110*Y110*VLOOKUP('Données projet'!$B$9,Paramètres!$A$1:$I$89,3,0)*0.475*44/12</f>
        <v>2.0366847330364899E-4</v>
      </c>
      <c r="AC110" s="22">
        <f t="shared" si="57"/>
        <v>138.41073512156177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5.6843418860808015E-13</v>
      </c>
      <c r="O111" s="13">
        <f>N111*VLOOKUP('Données projet'!$B$9,Paramètres!$A$1:$I$89,3,0)*VLOOKUP('Données projet'!$B$9,Paramètres!$A$1:$I$89,5,0)</f>
        <v>3.177547114319168E-13</v>
      </c>
      <c r="P111" s="13">
        <f t="shared" si="87"/>
        <v>4.1725404435445377E-12</v>
      </c>
      <c r="Q111" s="20">
        <f t="shared" si="107"/>
        <v>7.820597394917325E-12</v>
      </c>
      <c r="R111" s="59">
        <f t="shared" si="55"/>
        <v>293.33333333334116</v>
      </c>
      <c r="S111" s="59">
        <f ca="1">AVERAGE(OFFSET($R$3,0,0,'Données projet'!$E$9+1,1))-AVERAGE(OFFSET($H$3,0,0,'Données projet'!$E$9+1,1))</f>
        <v>314.07001555875894</v>
      </c>
      <c r="T111" s="59">
        <f t="shared" si="88"/>
        <v>281.53154885904991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108.71932056278729</v>
      </c>
      <c r="AA111" s="21">
        <f>EXP(-LN(2)/25)*AA110+(1-EXP(-LN(2)/25))/(LN(2)/25)*Calculateur!V111*Calculateur!X111*VLOOKUP('Données projet'!$B$9,Paramètres!$A$1:$I$89,3,0)*0.475*44/12</f>
        <v>26.764205276145233</v>
      </c>
      <c r="AB111" s="21">
        <f>EXP(-LN(2)/2)*AB110+(1-EXP(-LN(2)/2))/(LN(2)/2)*V111*Y111*VLOOKUP('Données projet'!$B$9,Paramètres!$A$1:$I$89,3,0)*0.475*44/12</f>
        <v>1.4401535858692152E-4</v>
      </c>
      <c r="AC111" s="22">
        <f t="shared" si="57"/>
        <v>135.48366985429109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5.6843418860808015E-13</v>
      </c>
      <c r="O112" s="13">
        <f>N112*VLOOKUP('Données projet'!$B$9,Paramètres!$A$1:$I$89,3,0)*VLOOKUP('Données projet'!$B$9,Paramètres!$A$1:$I$89,5,0)</f>
        <v>3.177547114319168E-13</v>
      </c>
      <c r="P112" s="13">
        <f t="shared" si="87"/>
        <v>4.1725404435445377E-12</v>
      </c>
      <c r="Q112" s="20">
        <f t="shared" si="107"/>
        <v>7.820597394917325E-12</v>
      </c>
      <c r="R112" s="59">
        <f t="shared" si="55"/>
        <v>293.33333333334116</v>
      </c>
      <c r="S112" s="59">
        <f ca="1">AVERAGE(OFFSET($R$3,0,0,'Données projet'!$E$9+1,1))-AVERAGE(OFFSET($H$3,0,0,'Données projet'!$E$9+1,1))</f>
        <v>314.07001555875894</v>
      </c>
      <c r="T112" s="59">
        <f t="shared" si="88"/>
        <v>281.53154885904991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106.58740099878878</v>
      </c>
      <c r="AA112" s="21">
        <f>EXP(-LN(2)/25)*AA111+(1-EXP(-LN(2)/25))/(LN(2)/25)*Calculateur!V112*Calculateur!X112*VLOOKUP('Données projet'!$B$9,Paramètres!$A$1:$I$89,3,0)*0.475*44/12</f>
        <v>26.032336675400657</v>
      </c>
      <c r="AB112" s="21">
        <f>EXP(-LN(2)/2)*AB111+(1-EXP(-LN(2)/2))/(LN(2)/2)*V112*Y112*VLOOKUP('Données projet'!$B$9,Paramètres!$A$1:$I$89,3,0)*0.475*44/12</f>
        <v>1.0183423665182449E-4</v>
      </c>
      <c r="AC112" s="22">
        <f t="shared" si="57"/>
        <v>132.61983950842608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5.6843418860808015E-13</v>
      </c>
      <c r="O113" s="13">
        <f>N113*VLOOKUP('Données projet'!$B$9,Paramètres!$A$1:$I$89,3,0)*VLOOKUP('Données projet'!$B$9,Paramètres!$A$1:$I$89,5,0)</f>
        <v>3.177547114319168E-13</v>
      </c>
      <c r="P113" s="13">
        <f t="shared" si="87"/>
        <v>4.1725404435445377E-12</v>
      </c>
      <c r="Q113" s="20">
        <f t="shared" si="107"/>
        <v>7.820597394917325E-12</v>
      </c>
      <c r="R113" s="59">
        <f t="shared" si="55"/>
        <v>293.33333333334116</v>
      </c>
      <c r="S113" s="59">
        <f ca="1">AVERAGE(OFFSET($R$3,0,0,'Données projet'!$E$9+1,1))-AVERAGE(OFFSET($H$3,0,0,'Données projet'!$E$9+1,1))</f>
        <v>314.07001555875894</v>
      </c>
      <c r="T113" s="59">
        <f t="shared" si="88"/>
        <v>281.53154885904991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104.49728707709775</v>
      </c>
      <c r="AA113" s="21">
        <f>EXP(-LN(2)/25)*AA112+(1-EXP(-LN(2)/25))/(LN(2)/25)*Calculateur!V113*Calculateur!X113*VLOOKUP('Données projet'!$B$9,Paramètres!$A$1:$I$89,3,0)*0.475*44/12</f>
        <v>25.320481060030737</v>
      </c>
      <c r="AB113" s="21">
        <f>EXP(-LN(2)/2)*AB112+(1-EXP(-LN(2)/2))/(LN(2)/2)*V113*Y113*VLOOKUP('Données projet'!$B$9,Paramètres!$A$1:$I$89,3,0)*0.475*44/12</f>
        <v>7.2007679293460759E-5</v>
      </c>
      <c r="AC113" s="22">
        <f t="shared" si="57"/>
        <v>129.8178401448078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5.6843418860808015E-13</v>
      </c>
      <c r="O114" s="13">
        <f>N114*VLOOKUP('Données projet'!$B$9,Paramètres!$A$1:$I$89,3,0)*VLOOKUP('Données projet'!$B$9,Paramètres!$A$1:$I$89,5,0)</f>
        <v>3.177547114319168E-13</v>
      </c>
      <c r="P114" s="13">
        <f t="shared" si="87"/>
        <v>4.1725404435445377E-12</v>
      </c>
      <c r="Q114" s="20">
        <f t="shared" si="107"/>
        <v>7.820597394917325E-12</v>
      </c>
      <c r="R114" s="59">
        <f t="shared" si="55"/>
        <v>293.33333333334116</v>
      </c>
      <c r="S114" s="59">
        <f ca="1">AVERAGE(OFFSET($R$3,0,0,'Données projet'!$E$9+1,1))-AVERAGE(OFFSET($H$3,0,0,'Données projet'!$E$9+1,1))</f>
        <v>314.07001555875894</v>
      </c>
      <c r="T114" s="59">
        <f t="shared" si="88"/>
        <v>281.53154885904991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102.44815901456747</v>
      </c>
      <c r="AA114" s="21">
        <f>EXP(-LN(2)/25)*AA113+(1-EXP(-LN(2)/25))/(LN(2)/25)*Calculateur!V114*Calculateur!X114*VLOOKUP('Données projet'!$B$9,Paramètres!$A$1:$I$89,3,0)*0.475*44/12</f>
        <v>24.628091173897968</v>
      </c>
      <c r="AB114" s="21">
        <f>EXP(-LN(2)/2)*AB113+(1-EXP(-LN(2)/2))/(LN(2)/2)*V114*Y114*VLOOKUP('Données projet'!$B$9,Paramètres!$A$1:$I$89,3,0)*0.475*44/12</f>
        <v>5.0917118325912247E-5</v>
      </c>
      <c r="AC114" s="22">
        <f t="shared" si="57"/>
        <v>127.07630110558377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5.6843418860808015E-13</v>
      </c>
      <c r="O115" s="13">
        <f>N115*VLOOKUP('Données projet'!$B$9,Paramètres!$A$1:$I$89,3,0)*VLOOKUP('Données projet'!$B$9,Paramètres!$A$1:$I$89,5,0)</f>
        <v>3.177547114319168E-13</v>
      </c>
      <c r="P115" s="13">
        <f t="shared" si="87"/>
        <v>4.1725404435445377E-12</v>
      </c>
      <c r="Q115" s="20">
        <f t="shared" si="107"/>
        <v>7.820597394917325E-12</v>
      </c>
      <c r="R115" s="59">
        <f t="shared" si="55"/>
        <v>293.33333333334116</v>
      </c>
      <c r="S115" s="59">
        <f ca="1">AVERAGE(OFFSET($R$3,0,0,'Données projet'!$E$9+1,1))-AVERAGE(OFFSET($H$3,0,0,'Données projet'!$E$9+1,1))</f>
        <v>314.07001555875894</v>
      </c>
      <c r="T115" s="59">
        <f t="shared" si="88"/>
        <v>281.53154885904991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100.4392131034987</v>
      </c>
      <c r="AA115" s="21">
        <f>EXP(-LN(2)/25)*AA114+(1-EXP(-LN(2)/25))/(LN(2)/25)*Calculateur!V115*Calculateur!X115*VLOOKUP('Données projet'!$B$9,Paramètres!$A$1:$I$89,3,0)*0.475*44/12</f>
        <v>23.954634725612703</v>
      </c>
      <c r="AB115" s="21">
        <f>EXP(-LN(2)/2)*AB114+(1-EXP(-LN(2)/2))/(LN(2)/2)*V115*Y115*VLOOKUP('Données projet'!$B$9,Paramètres!$A$1:$I$89,3,0)*0.475*44/12</f>
        <v>3.600383964673038E-5</v>
      </c>
      <c r="AC115" s="22">
        <f t="shared" si="57"/>
        <v>124.39388383295106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5.6843418860808015E-13</v>
      </c>
      <c r="O116" s="13">
        <f>N116*VLOOKUP('Données projet'!$B$9,Paramètres!$A$1:$I$89,3,0)*VLOOKUP('Données projet'!$B$9,Paramètres!$A$1:$I$89,5,0)</f>
        <v>3.177547114319168E-13</v>
      </c>
      <c r="P116" s="13">
        <f t="shared" si="87"/>
        <v>4.1725404435445377E-12</v>
      </c>
      <c r="Q116" s="20">
        <f t="shared" si="107"/>
        <v>7.820597394917325E-12</v>
      </c>
      <c r="R116" s="59">
        <f t="shared" si="55"/>
        <v>293.33333333334116</v>
      </c>
      <c r="S116" s="59">
        <f ca="1">AVERAGE(OFFSET($R$3,0,0,'Données projet'!$E$9+1,1))-AVERAGE(OFFSET($H$3,0,0,'Données projet'!$E$9+1,1))</f>
        <v>314.07001555875894</v>
      </c>
      <c r="T116" s="59">
        <f t="shared" si="88"/>
        <v>281.53154885904991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98.469661396409975</v>
      </c>
      <c r="AA116" s="21">
        <f>EXP(-LN(2)/25)*AA115+(1-EXP(-LN(2)/25))/(LN(2)/25)*Calculateur!V116*Calculateur!X116*VLOOKUP('Données projet'!$B$9,Paramètres!$A$1:$I$89,3,0)*0.475*44/12</f>
        <v>23.299593979321333</v>
      </c>
      <c r="AB116" s="21">
        <f>EXP(-LN(2)/2)*AB115+(1-EXP(-LN(2)/2))/(LN(2)/2)*V116*Y116*VLOOKUP('Données projet'!$B$9,Paramètres!$A$1:$I$89,3,0)*0.475*44/12</f>
        <v>2.5458559162956124E-5</v>
      </c>
      <c r="AC116" s="22">
        <f t="shared" si="57"/>
        <v>121.76928083429047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5.6843418860808015E-13</v>
      </c>
      <c r="O117" s="13">
        <f>N117*VLOOKUP('Données projet'!$B$9,Paramètres!$A$1:$I$89,3,0)*VLOOKUP('Données projet'!$B$9,Paramètres!$A$1:$I$89,5,0)</f>
        <v>3.177547114319168E-13</v>
      </c>
      <c r="P117" s="13">
        <f t="shared" si="87"/>
        <v>4.1725404435445377E-12</v>
      </c>
      <c r="Q117" s="20">
        <f t="shared" si="107"/>
        <v>7.820597394917325E-12</v>
      </c>
      <c r="R117" s="59">
        <f t="shared" si="55"/>
        <v>293.33333333334116</v>
      </c>
      <c r="S117" s="59">
        <f ca="1">AVERAGE(OFFSET($R$3,0,0,'Données projet'!$E$9+1,1))-AVERAGE(OFFSET($H$3,0,0,'Données projet'!$E$9+1,1))</f>
        <v>314.07001555875894</v>
      </c>
      <c r="T117" s="59">
        <f t="shared" si="88"/>
        <v>281.53154885904991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96.538731396989334</v>
      </c>
      <c r="AA117" s="21">
        <f>EXP(-LN(2)/25)*AA116+(1-EXP(-LN(2)/25))/(LN(2)/25)*Calculateur!V117*Calculateur!X117*VLOOKUP('Données projet'!$B$9,Paramètres!$A$1:$I$89,3,0)*0.475*44/12</f>
        <v>22.662465356684397</v>
      </c>
      <c r="AB117" s="21">
        <f>EXP(-LN(2)/2)*AB116+(1-EXP(-LN(2)/2))/(LN(2)/2)*V117*Y117*VLOOKUP('Données projet'!$B$9,Paramètres!$A$1:$I$89,3,0)*0.475*44/12</f>
        <v>1.800191982336519E-5</v>
      </c>
      <c r="AC117" s="22">
        <f t="shared" si="57"/>
        <v>119.20121475559355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5.6843418860808015E-13</v>
      </c>
      <c r="O118" s="13">
        <f>N118*VLOOKUP('Données projet'!$B$9,Paramètres!$A$1:$I$89,3,0)*VLOOKUP('Données projet'!$B$9,Paramètres!$A$1:$I$89,5,0)</f>
        <v>3.177547114319168E-13</v>
      </c>
      <c r="P118" s="13">
        <f t="shared" si="87"/>
        <v>4.1725404435445377E-12</v>
      </c>
      <c r="Q118" s="20">
        <f t="shared" si="107"/>
        <v>7.820597394917325E-12</v>
      </c>
      <c r="R118" s="59">
        <f t="shared" si="55"/>
        <v>293.33333333334116</v>
      </c>
      <c r="S118" s="59">
        <f ca="1">AVERAGE(OFFSET($R$3,0,0,'Données projet'!$E$9+1,1))-AVERAGE(OFFSET($H$3,0,0,'Données projet'!$E$9+1,1))</f>
        <v>314.07001555875894</v>
      </c>
      <c r="T118" s="59">
        <f t="shared" si="88"/>
        <v>281.53154885904991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94.645665757106329</v>
      </c>
      <c r="AA118" s="21">
        <f>EXP(-LN(2)/25)*AA117+(1-EXP(-LN(2)/25))/(LN(2)/25)*Calculateur!V118*Calculateur!X118*VLOOKUP('Données projet'!$B$9,Paramètres!$A$1:$I$89,3,0)*0.475*44/12</f>
        <v>22.042759049738606</v>
      </c>
      <c r="AB118" s="21">
        <f>EXP(-LN(2)/2)*AB117+(1-EXP(-LN(2)/2))/(LN(2)/2)*V118*Y118*VLOOKUP('Données projet'!$B$9,Paramètres!$A$1:$I$89,3,0)*0.475*44/12</f>
        <v>1.2729279581478062E-5</v>
      </c>
      <c r="AC118" s="22">
        <f t="shared" si="57"/>
        <v>116.68843753612451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5.6843418860808015E-13</v>
      </c>
      <c r="O119" s="13">
        <f>N119*VLOOKUP('Données projet'!$B$9,Paramètres!$A$1:$I$89,3,0)*VLOOKUP('Données projet'!$B$9,Paramètres!$A$1:$I$89,5,0)</f>
        <v>3.177547114319168E-13</v>
      </c>
      <c r="P119" s="13">
        <f t="shared" si="87"/>
        <v>4.1725404435445377E-12</v>
      </c>
      <c r="Q119" s="20">
        <f t="shared" si="107"/>
        <v>7.820597394917325E-12</v>
      </c>
      <c r="R119" s="59">
        <f t="shared" si="55"/>
        <v>293.33333333334116</v>
      </c>
      <c r="S119" s="59">
        <f ca="1">AVERAGE(OFFSET($R$3,0,0,'Données projet'!$E$9+1,1))-AVERAGE(OFFSET($H$3,0,0,'Données projet'!$E$9+1,1))</f>
        <v>314.07001555875894</v>
      </c>
      <c r="T119" s="59">
        <f t="shared" si="88"/>
        <v>281.53154885904991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92.789721979765403</v>
      </c>
      <c r="AA119" s="21">
        <f>EXP(-LN(2)/25)*AA118+(1-EXP(-LN(2)/25))/(LN(2)/25)*Calculateur!V119*Calculateur!X119*VLOOKUP('Données projet'!$B$9,Paramètres!$A$1:$I$89,3,0)*0.475*44/12</f>
        <v>21.439998644345184</v>
      </c>
      <c r="AB119" s="21">
        <f>EXP(-LN(2)/2)*AB118+(1-EXP(-LN(2)/2))/(LN(2)/2)*V119*Y119*VLOOKUP('Données projet'!$B$9,Paramètres!$A$1:$I$89,3,0)*0.475*44/12</f>
        <v>9.0009599116825949E-6</v>
      </c>
      <c r="AC119" s="22">
        <f t="shared" si="57"/>
        <v>114.22972962507049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5.6843418860808015E-13</v>
      </c>
      <c r="O120" s="13">
        <f>N120*VLOOKUP('Données projet'!$B$9,Paramètres!$A$1:$I$89,3,0)*VLOOKUP('Données projet'!$B$9,Paramètres!$A$1:$I$89,5,0)</f>
        <v>3.177547114319168E-13</v>
      </c>
      <c r="P120" s="13">
        <f t="shared" si="87"/>
        <v>4.1725404435445377E-12</v>
      </c>
      <c r="Q120" s="20">
        <f t="shared" si="107"/>
        <v>7.820597394917325E-12</v>
      </c>
      <c r="R120" s="59">
        <f t="shared" si="55"/>
        <v>293.33333333334116</v>
      </c>
      <c r="S120" s="59">
        <f ca="1">AVERAGE(OFFSET($R$3,0,0,'Données projet'!$E$9+1,1))-AVERAGE(OFFSET($H$3,0,0,'Données projet'!$E$9+1,1))</f>
        <v>314.07001555875894</v>
      </c>
      <c r="T120" s="59">
        <f t="shared" si="88"/>
        <v>281.53154885904991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90.970172127884211</v>
      </c>
      <c r="AA120" s="21">
        <f>EXP(-LN(2)/25)*AA119+(1-EXP(-LN(2)/25))/(LN(2)/25)*Calculateur!V120*Calculateur!X120*VLOOKUP('Données projet'!$B$9,Paramètres!$A$1:$I$89,3,0)*0.475*44/12</f>
        <v>20.85372075393504</v>
      </c>
      <c r="AB120" s="21">
        <f>EXP(-LN(2)/2)*AB119+(1-EXP(-LN(2)/2))/(LN(2)/2)*V120*Y120*VLOOKUP('Données projet'!$B$9,Paramètres!$A$1:$I$89,3,0)*0.475*44/12</f>
        <v>6.3646397907390309E-6</v>
      </c>
      <c r="AC120" s="22">
        <f t="shared" si="57"/>
        <v>111.82389924645904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5.6843418860808015E-13</v>
      </c>
      <c r="O121" s="13">
        <f>N121*VLOOKUP('Données projet'!$B$9,Paramètres!$A$1:$I$89,3,0)*VLOOKUP('Données projet'!$B$9,Paramètres!$A$1:$I$89,5,0)</f>
        <v>3.177547114319168E-13</v>
      </c>
      <c r="P121" s="13">
        <f t="shared" si="87"/>
        <v>4.1725404435445377E-12</v>
      </c>
      <c r="Q121" s="20">
        <f t="shared" si="107"/>
        <v>7.820597394917325E-12</v>
      </c>
      <c r="R121" s="59">
        <f t="shared" si="55"/>
        <v>293.33333333334116</v>
      </c>
      <c r="S121" s="59">
        <f ca="1">AVERAGE(OFFSET($R$3,0,0,'Données projet'!$E$9+1,1))-AVERAGE(OFFSET($H$3,0,0,'Données projet'!$E$9+1,1))</f>
        <v>314.07001555875894</v>
      </c>
      <c r="T121" s="59">
        <f t="shared" si="88"/>
        <v>281.53154885904991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89.186302538782584</v>
      </c>
      <c r="AA121" s="21">
        <f>EXP(-LN(2)/25)*AA120+(1-EXP(-LN(2)/25))/(LN(2)/25)*Calculateur!V121*Calculateur!X121*VLOOKUP('Données projet'!$B$9,Paramètres!$A$1:$I$89,3,0)*0.475*44/12</f>
        <v>20.283474663269175</v>
      </c>
      <c r="AB121" s="21">
        <f>EXP(-LN(2)/2)*AB120+(1-EXP(-LN(2)/2))/(LN(2)/2)*V121*Y121*VLOOKUP('Données projet'!$B$9,Paramètres!$A$1:$I$89,3,0)*0.475*44/12</f>
        <v>4.5004799558412974E-6</v>
      </c>
      <c r="AC121" s="22">
        <f t="shared" si="57"/>
        <v>109.46978170253172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5.6843418860808015E-13</v>
      </c>
      <c r="O122" s="13">
        <f>N122*VLOOKUP('Données projet'!$B$9,Paramètres!$A$1:$I$89,3,0)*VLOOKUP('Données projet'!$B$9,Paramètres!$A$1:$I$89,5,0)</f>
        <v>3.177547114319168E-13</v>
      </c>
      <c r="P122" s="13">
        <f t="shared" si="87"/>
        <v>4.1725404435445377E-12</v>
      </c>
      <c r="Q122" s="20">
        <f t="shared" si="107"/>
        <v>7.820597394917325E-12</v>
      </c>
      <c r="R122" s="59">
        <f t="shared" si="55"/>
        <v>293.33333333334116</v>
      </c>
      <c r="S122" s="59">
        <f ca="1">AVERAGE(OFFSET($R$3,0,0,'Données projet'!$E$9+1,1))-AVERAGE(OFFSET($H$3,0,0,'Données projet'!$E$9+1,1))</f>
        <v>314.07001555875894</v>
      </c>
      <c r="T122" s="59">
        <f t="shared" si="88"/>
        <v>281.53154885904991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87.437413544270228</v>
      </c>
      <c r="AA122" s="21">
        <f>EXP(-LN(2)/25)*AA121+(1-EXP(-LN(2)/25))/(LN(2)/25)*Calculateur!V122*Calculateur!X122*VLOOKUP('Données projet'!$B$9,Paramètres!$A$1:$I$89,3,0)*0.475*44/12</f>
        <v>19.728821981940506</v>
      </c>
      <c r="AB122" s="21">
        <f>EXP(-LN(2)/2)*AB121+(1-EXP(-LN(2)/2))/(LN(2)/2)*V122*Y122*VLOOKUP('Données projet'!$B$9,Paramètres!$A$1:$I$89,3,0)*0.475*44/12</f>
        <v>3.1823198953695154E-6</v>
      </c>
      <c r="AC122" s="22">
        <f t="shared" si="57"/>
        <v>107.16623870853063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5.6843418860808015E-13</v>
      </c>
      <c r="O123" s="13">
        <f>N123*VLOOKUP('Données projet'!$B$9,Paramètres!$A$1:$I$89,3,0)*VLOOKUP('Données projet'!$B$9,Paramètres!$A$1:$I$89,5,0)</f>
        <v>3.177547114319168E-13</v>
      </c>
      <c r="P123" s="13">
        <f t="shared" si="87"/>
        <v>4.1725404435445377E-12</v>
      </c>
      <c r="Q123" s="20">
        <f t="shared" si="107"/>
        <v>7.820597394917325E-12</v>
      </c>
      <c r="R123" s="59">
        <f t="shared" si="55"/>
        <v>293.33333333334116</v>
      </c>
      <c r="S123" s="59">
        <f ca="1">AVERAGE(OFFSET($R$3,0,0,'Données projet'!$E$9+1,1))-AVERAGE(OFFSET($H$3,0,0,'Données projet'!$E$9+1,1))</f>
        <v>314.07001555875894</v>
      </c>
      <c r="T123" s="59">
        <f t="shared" si="88"/>
        <v>281.53154885904991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85.722819196223298</v>
      </c>
      <c r="AA123" s="21">
        <f>EXP(-LN(2)/25)*AA122+(1-EXP(-LN(2)/25))/(LN(2)/25)*Calculateur!V123*Calculateur!X123*VLOOKUP('Données projet'!$B$9,Paramètres!$A$1:$I$89,3,0)*0.475*44/12</f>
        <v>19.189336307350686</v>
      </c>
      <c r="AB123" s="21">
        <f>EXP(-LN(2)/2)*AB122+(1-EXP(-LN(2)/2))/(LN(2)/2)*V123*Y123*VLOOKUP('Données projet'!$B$9,Paramètres!$A$1:$I$89,3,0)*0.475*44/12</f>
        <v>2.2502399779206487E-6</v>
      </c>
      <c r="AC123" s="22">
        <f t="shared" si="57"/>
        <v>104.91215775381396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5.6843418860808015E-13</v>
      </c>
      <c r="O124" s="13">
        <f>N124*VLOOKUP('Données projet'!$B$9,Paramètres!$A$1:$I$89,3,0)*VLOOKUP('Données projet'!$B$9,Paramètres!$A$1:$I$89,5,0)</f>
        <v>3.177547114319168E-13</v>
      </c>
      <c r="P124" s="13">
        <f t="shared" si="87"/>
        <v>4.1725404435445377E-12</v>
      </c>
      <c r="Q124" s="20">
        <f t="shared" si="107"/>
        <v>7.820597394917325E-12</v>
      </c>
      <c r="R124" s="59">
        <f t="shared" si="55"/>
        <v>293.33333333334116</v>
      </c>
      <c r="S124" s="59">
        <f ca="1">AVERAGE(OFFSET($R$3,0,0,'Données projet'!$E$9+1,1))-AVERAGE(OFFSET($H$3,0,0,'Données projet'!$E$9+1,1))</f>
        <v>314.07001555875894</v>
      </c>
      <c r="T124" s="59">
        <f t="shared" si="88"/>
        <v>281.53154885904991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84.041846997542279</v>
      </c>
      <c r="AA124" s="21">
        <f>EXP(-LN(2)/25)*AA123+(1-EXP(-LN(2)/25))/(LN(2)/25)*Calculateur!V124*Calculateur!X124*VLOOKUP('Données projet'!$B$9,Paramètres!$A$1:$I$89,3,0)*0.475*44/12</f>
        <v>18.664602896902842</v>
      </c>
      <c r="AB124" s="21">
        <f>EXP(-LN(2)/2)*AB123+(1-EXP(-LN(2)/2))/(LN(2)/2)*V124*Y124*VLOOKUP('Données projet'!$B$9,Paramètres!$A$1:$I$89,3,0)*0.475*44/12</f>
        <v>1.5911599476847577E-6</v>
      </c>
      <c r="AC124" s="22">
        <f t="shared" si="57"/>
        <v>102.70645148560506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5.6843418860808015E-13</v>
      </c>
      <c r="O125" s="13">
        <f>N125*VLOOKUP('Données projet'!$B$9,Paramètres!$A$1:$I$89,3,0)*VLOOKUP('Données projet'!$B$9,Paramètres!$A$1:$I$89,5,0)</f>
        <v>3.177547114319168E-13</v>
      </c>
      <c r="P125" s="13">
        <f t="shared" si="87"/>
        <v>4.1725404435445377E-12</v>
      </c>
      <c r="Q125" s="20">
        <f t="shared" si="107"/>
        <v>7.820597394917325E-12</v>
      </c>
      <c r="R125" s="59">
        <f t="shared" si="55"/>
        <v>293.33333333334116</v>
      </c>
      <c r="S125" s="59">
        <f ca="1">AVERAGE(OFFSET($R$3,0,0,'Données projet'!$E$9+1,1))-AVERAGE(OFFSET($H$3,0,0,'Données projet'!$E$9+1,1))</f>
        <v>314.07001555875894</v>
      </c>
      <c r="T125" s="59">
        <f t="shared" si="88"/>
        <v>281.53154885904991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82.393837638385591</v>
      </c>
      <c r="AA125" s="21">
        <f>EXP(-LN(2)/25)*AA124+(1-EXP(-LN(2)/25))/(LN(2)/25)*Calculateur!V125*Calculateur!X125*VLOOKUP('Données projet'!$B$9,Paramètres!$A$1:$I$89,3,0)*0.475*44/12</f>
        <v>18.154218349158228</v>
      </c>
      <c r="AB125" s="21">
        <f>EXP(-LN(2)/2)*AB124+(1-EXP(-LN(2)/2))/(LN(2)/2)*V125*Y125*VLOOKUP('Données projet'!$B$9,Paramètres!$A$1:$I$89,3,0)*0.475*44/12</f>
        <v>1.1251199889603244E-6</v>
      </c>
      <c r="AC125" s="22">
        <f t="shared" si="57"/>
        <v>100.54805711266381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5.6843418860808015E-13</v>
      </c>
      <c r="O126" s="13">
        <f>N126*VLOOKUP('Données projet'!$B$9,Paramètres!$A$1:$I$89,3,0)*VLOOKUP('Données projet'!$B$9,Paramètres!$A$1:$I$89,5,0)</f>
        <v>3.177547114319168E-13</v>
      </c>
      <c r="P126" s="13">
        <f t="shared" si="87"/>
        <v>4.1725404435445377E-12</v>
      </c>
      <c r="Q126" s="20">
        <f t="shared" si="107"/>
        <v>7.820597394917325E-12</v>
      </c>
      <c r="R126" s="59">
        <f t="shared" si="55"/>
        <v>293.33333333334116</v>
      </c>
      <c r="S126" s="59">
        <f ca="1">AVERAGE(OFFSET($R$3,0,0,'Données projet'!$E$9+1,1))-AVERAGE(OFFSET($H$3,0,0,'Données projet'!$E$9+1,1))</f>
        <v>314.07001555875894</v>
      </c>
      <c r="T126" s="59">
        <f t="shared" si="88"/>
        <v>281.53154885904991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80.778144737575516</v>
      </c>
      <c r="AA126" s="21">
        <f>EXP(-LN(2)/25)*AA125+(1-EXP(-LN(2)/25))/(LN(2)/25)*Calculateur!V126*Calculateur!X126*VLOOKUP('Données projet'!$B$9,Paramètres!$A$1:$I$89,3,0)*0.475*44/12</f>
        <v>17.657790293711646</v>
      </c>
      <c r="AB126" s="21">
        <f>EXP(-LN(2)/2)*AB125+(1-EXP(-LN(2)/2))/(LN(2)/2)*V126*Y126*VLOOKUP('Données projet'!$B$9,Paramètres!$A$1:$I$89,3,0)*0.475*44/12</f>
        <v>7.9557997384237886E-7</v>
      </c>
      <c r="AC126" s="22">
        <f t="shared" si="57"/>
        <v>98.435935826867137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5.6843418860808015E-13</v>
      </c>
      <c r="O127" s="13">
        <f>N127*VLOOKUP('Données projet'!$B$9,Paramètres!$A$1:$I$89,3,0)*VLOOKUP('Données projet'!$B$9,Paramètres!$A$1:$I$89,5,0)</f>
        <v>3.177547114319168E-13</v>
      </c>
      <c r="P127" s="13">
        <f t="shared" si="87"/>
        <v>4.1725404435445377E-12</v>
      </c>
      <c r="Q127" s="20">
        <f t="shared" si="107"/>
        <v>7.820597394917325E-12</v>
      </c>
      <c r="R127" s="59">
        <f t="shared" si="55"/>
        <v>293.33333333334116</v>
      </c>
      <c r="S127" s="59">
        <f ca="1">AVERAGE(OFFSET($R$3,0,0,'Données projet'!$E$9+1,1))-AVERAGE(OFFSET($H$3,0,0,'Données projet'!$E$9+1,1))</f>
        <v>314.07001555875894</v>
      </c>
      <c r="T127" s="59">
        <f t="shared" si="88"/>
        <v>281.53154885904991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79.194134589074963</v>
      </c>
      <c r="AA127" s="21">
        <f>EXP(-LN(2)/25)*AA126+(1-EXP(-LN(2)/25))/(LN(2)/25)*Calculateur!V127*Calculateur!X127*VLOOKUP('Données projet'!$B$9,Paramètres!$A$1:$I$89,3,0)*0.475*44/12</f>
        <v>17.174937089547267</v>
      </c>
      <c r="AB127" s="21">
        <f>EXP(-LN(2)/2)*AB126+(1-EXP(-LN(2)/2))/(LN(2)/2)*V127*Y127*VLOOKUP('Données projet'!$B$9,Paramètres!$A$1:$I$89,3,0)*0.475*44/12</f>
        <v>5.6255999448016218E-7</v>
      </c>
      <c r="AC127" s="22">
        <f t="shared" si="57"/>
        <v>96.369072241182224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5.6843418860808015E-13</v>
      </c>
      <c r="O128" s="13">
        <f>N128*VLOOKUP('Données projet'!$B$9,Paramètres!$A$1:$I$89,3,0)*VLOOKUP('Données projet'!$B$9,Paramètres!$A$1:$I$89,5,0)</f>
        <v>3.177547114319168E-13</v>
      </c>
      <c r="P128" s="13">
        <f t="shared" si="87"/>
        <v>4.1725404435445377E-12</v>
      </c>
      <c r="Q128" s="20">
        <f t="shared" si="107"/>
        <v>7.820597394917325E-12</v>
      </c>
      <c r="R128" s="59">
        <f t="shared" si="55"/>
        <v>293.33333333334116</v>
      </c>
      <c r="S128" s="59">
        <f ca="1">AVERAGE(OFFSET($R$3,0,0,'Données projet'!$E$9+1,1))-AVERAGE(OFFSET($H$3,0,0,'Données projet'!$E$9+1,1))</f>
        <v>314.07001555875894</v>
      </c>
      <c r="T128" s="59">
        <f t="shared" si="88"/>
        <v>281.53154885904991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77.641185913435706</v>
      </c>
      <c r="AA128" s="21">
        <f>EXP(-LN(2)/25)*AA127+(1-EXP(-LN(2)/25))/(LN(2)/25)*Calculateur!V128*Calculateur!X128*VLOOKUP('Données projet'!$B$9,Paramètres!$A$1:$I$89,3,0)*0.475*44/12</f>
        <v>16.705287531642909</v>
      </c>
      <c r="AB128" s="21">
        <f>EXP(-LN(2)/2)*AB127+(1-EXP(-LN(2)/2))/(LN(2)/2)*V128*Y128*VLOOKUP('Données projet'!$B$9,Paramètres!$A$1:$I$89,3,0)*0.475*44/12</f>
        <v>3.9778998692118943E-7</v>
      </c>
      <c r="AC128" s="22">
        <f t="shared" si="57"/>
        <v>94.346473842868605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5.6843418860808015E-13</v>
      </c>
      <c r="O129" s="13">
        <f>N129*VLOOKUP('Données projet'!$B$9,Paramètres!$A$1:$I$89,3,0)*VLOOKUP('Données projet'!$B$9,Paramètres!$A$1:$I$89,5,0)</f>
        <v>3.177547114319168E-13</v>
      </c>
      <c r="P129" s="13">
        <f t="shared" si="87"/>
        <v>4.1725404435445377E-12</v>
      </c>
      <c r="Q129" s="20">
        <f t="shared" si="107"/>
        <v>7.820597394917325E-12</v>
      </c>
      <c r="R129" s="59">
        <f t="shared" si="55"/>
        <v>293.33333333334116</v>
      </c>
      <c r="S129" s="59">
        <f ca="1">AVERAGE(OFFSET($R$3,0,0,'Données projet'!$E$9+1,1))-AVERAGE(OFFSET($H$3,0,0,'Données projet'!$E$9+1,1))</f>
        <v>314.07001555875894</v>
      </c>
      <c r="T129" s="59">
        <f t="shared" si="88"/>
        <v>281.53154885904991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76.118689614120584</v>
      </c>
      <c r="AA129" s="21">
        <f>EXP(-LN(2)/25)*AA128+(1-EXP(-LN(2)/25))/(LN(2)/25)*Calculateur!V129*Calculateur!X129*VLOOKUP('Données projet'!$B$9,Paramètres!$A$1:$I$89,3,0)*0.475*44/12</f>
        <v>16.248480565597244</v>
      </c>
      <c r="AB129" s="21">
        <f>EXP(-LN(2)/2)*AB128+(1-EXP(-LN(2)/2))/(LN(2)/2)*V129*Y129*VLOOKUP('Données projet'!$B$9,Paramètres!$A$1:$I$89,3,0)*0.475*44/12</f>
        <v>2.8127999724008109E-7</v>
      </c>
      <c r="AC129" s="22">
        <f t="shared" si="57"/>
        <v>92.367170460997826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5.6843418860808015E-13</v>
      </c>
      <c r="O130" s="13">
        <f>N130*VLOOKUP('Données projet'!$B$9,Paramètres!$A$1:$I$89,3,0)*VLOOKUP('Données projet'!$B$9,Paramètres!$A$1:$I$89,5,0)</f>
        <v>3.177547114319168E-13</v>
      </c>
      <c r="P130" s="13">
        <f t="shared" si="87"/>
        <v>4.1725404435445377E-12</v>
      </c>
      <c r="Q130" s="20">
        <f t="shared" si="107"/>
        <v>7.820597394917325E-12</v>
      </c>
      <c r="R130" s="59">
        <f t="shared" si="55"/>
        <v>293.33333333334116</v>
      </c>
      <c r="S130" s="59">
        <f ca="1">AVERAGE(OFFSET($R$3,0,0,'Données projet'!$E$9+1,1))-AVERAGE(OFFSET($H$3,0,0,'Données projet'!$E$9+1,1))</f>
        <v>314.07001555875894</v>
      </c>
      <c r="T130" s="59">
        <f t="shared" si="88"/>
        <v>281.53154885904991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74.626048538603982</v>
      </c>
      <c r="AA130" s="21">
        <f>EXP(-LN(2)/25)*AA129+(1-EXP(-LN(2)/25))/(LN(2)/25)*Calculateur!V130*Calculateur!X130*VLOOKUP('Données projet'!$B$9,Paramètres!$A$1:$I$89,3,0)*0.475*44/12</f>
        <v>15.804165010060531</v>
      </c>
      <c r="AB130" s="21">
        <f>EXP(-LN(2)/2)*AB129+(1-EXP(-LN(2)/2))/(LN(2)/2)*V130*Y130*VLOOKUP('Données projet'!$B$9,Paramètres!$A$1:$I$89,3,0)*0.475*44/12</f>
        <v>1.9889499346059472E-7</v>
      </c>
      <c r="AC130" s="22">
        <f t="shared" si="57"/>
        <v>90.430213747559506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5.6843418860808015E-13</v>
      </c>
      <c r="O131" s="13">
        <f>N131*VLOOKUP('Données projet'!$B$9,Paramètres!$A$1:$I$89,3,0)*VLOOKUP('Données projet'!$B$9,Paramètres!$A$1:$I$89,5,0)</f>
        <v>3.177547114319168E-13</v>
      </c>
      <c r="P131" s="13">
        <f t="shared" si="87"/>
        <v>4.1725404435445377E-12</v>
      </c>
      <c r="Q131" s="20">
        <f t="shared" ref="Q131:Q153" si="108">(O131+P131)*0.475*44/12</f>
        <v>7.820597394917325E-12</v>
      </c>
      <c r="R131" s="59">
        <f t="shared" ref="R131:R194" si="109">Q131+(I131+J131)*44/12</f>
        <v>293.33333333334116</v>
      </c>
      <c r="S131" s="59">
        <f ca="1">AVERAGE(OFFSET($R$3,0,0,'Données projet'!$E$9+1,1))-AVERAGE(OFFSET($H$3,0,0,'Données projet'!$E$9+1,1))</f>
        <v>314.07001555875894</v>
      </c>
      <c r="T131" s="59">
        <f t="shared" si="88"/>
        <v>281.53154885904991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73.162677244157095</v>
      </c>
      <c r="AA131" s="21">
        <f>EXP(-LN(2)/25)*AA130+(1-EXP(-LN(2)/25))/(LN(2)/25)*Calculateur!V131*Calculateur!X131*VLOOKUP('Données projet'!$B$9,Paramètres!$A$1:$I$89,3,0)*0.475*44/12</f>
        <v>15.371999286755509</v>
      </c>
      <c r="AB131" s="21">
        <f>EXP(-LN(2)/2)*AB130+(1-EXP(-LN(2)/2))/(LN(2)/2)*V131*Y131*VLOOKUP('Données projet'!$B$9,Paramètres!$A$1:$I$89,3,0)*0.475*44/12</f>
        <v>1.4063999862004055E-7</v>
      </c>
      <c r="AC131" s="22">
        <f t="shared" si="57"/>
        <v>88.534676671552603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5.6843418860808015E-13</v>
      </c>
      <c r="O132" s="13">
        <f>N132*VLOOKUP('Données projet'!$B$9,Paramètres!$A$1:$I$89,3,0)*VLOOKUP('Données projet'!$B$9,Paramètres!$A$1:$I$89,5,0)</f>
        <v>3.177547114319168E-13</v>
      </c>
      <c r="P132" s="13">
        <f t="shared" si="87"/>
        <v>4.1725404435445377E-12</v>
      </c>
      <c r="Q132" s="20">
        <f t="shared" si="108"/>
        <v>7.820597394917325E-12</v>
      </c>
      <c r="R132" s="59">
        <f t="shared" si="109"/>
        <v>293.33333333334116</v>
      </c>
      <c r="S132" s="59">
        <f ca="1">AVERAGE(OFFSET($R$3,0,0,'Données projet'!$E$9+1,1))-AVERAGE(OFFSET($H$3,0,0,'Données projet'!$E$9+1,1))</f>
        <v>314.07001555875894</v>
      </c>
      <c r="T132" s="59">
        <f t="shared" si="88"/>
        <v>281.53154885904991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71.728001768225951</v>
      </c>
      <c r="AA132" s="21">
        <f>EXP(-LN(2)/25)*AA131+(1-EXP(-LN(2)/25))/(LN(2)/25)*Calculateur!V132*Calculateur!X132*VLOOKUP('Données projet'!$B$9,Paramètres!$A$1:$I$89,3,0)*0.475*44/12</f>
        <v>14.951651157880869</v>
      </c>
      <c r="AB132" s="21">
        <f>EXP(-LN(2)/2)*AB131+(1-EXP(-LN(2)/2))/(LN(2)/2)*V132*Y132*VLOOKUP('Données projet'!$B$9,Paramètres!$A$1:$I$89,3,0)*0.475*44/12</f>
        <v>9.9447496730297358E-8</v>
      </c>
      <c r="AC132" s="22">
        <f t="shared" ref="AC132:AC153" si="111">SUM(Z132:AB132)</f>
        <v>86.679653025554316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5.6843418860808015E-13</v>
      </c>
      <c r="O133" s="13">
        <f>N133*VLOOKUP('Données projet'!$B$9,Paramètres!$A$1:$I$89,3,0)*VLOOKUP('Données projet'!$B$9,Paramètres!$A$1:$I$89,5,0)</f>
        <v>3.177547114319168E-13</v>
      </c>
      <c r="P133" s="13">
        <f t="shared" ref="P133:P196" si="141">EXP(-1.0587+0.8836*LN(O133)+0.284)</f>
        <v>4.1725404435445377E-12</v>
      </c>
      <c r="Q133" s="20">
        <f t="shared" si="108"/>
        <v>7.820597394917325E-12</v>
      </c>
      <c r="R133" s="59">
        <f t="shared" si="109"/>
        <v>293.33333333334116</v>
      </c>
      <c r="S133" s="59">
        <f ca="1">AVERAGE(OFFSET($R$3,0,0,'Données projet'!$E$9+1,1))-AVERAGE(OFFSET($H$3,0,0,'Données projet'!$E$9+1,1))</f>
        <v>314.07001555875894</v>
      </c>
      <c r="T133" s="59">
        <f t="shared" ref="T133:T196" si="142">$T$3</f>
        <v>281.53154885904991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70.32145940331219</v>
      </c>
      <c r="AA133" s="21">
        <f>EXP(-LN(2)/25)*AA132+(1-EXP(-LN(2)/25))/(LN(2)/25)*Calculateur!V133*Calculateur!X133*VLOOKUP('Données projet'!$B$9,Paramètres!$A$1:$I$89,3,0)*0.475*44/12</f>
        <v>14.542797470695454</v>
      </c>
      <c r="AB133" s="21">
        <f>EXP(-LN(2)/2)*AB132+(1-EXP(-LN(2)/2))/(LN(2)/2)*V133*Y133*VLOOKUP('Données projet'!$B$9,Paramètres!$A$1:$I$89,3,0)*0.475*44/12</f>
        <v>7.0319999310020273E-8</v>
      </c>
      <c r="AC133" s="22">
        <f t="shared" si="111"/>
        <v>84.86425694432765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5.6843418860808015E-13</v>
      </c>
      <c r="O134" s="13">
        <f>N134*VLOOKUP('Données projet'!$B$9,Paramètres!$A$1:$I$89,3,0)*VLOOKUP('Données projet'!$B$9,Paramètres!$A$1:$I$89,5,0)</f>
        <v>3.177547114319168E-13</v>
      </c>
      <c r="P134" s="13">
        <f t="shared" si="141"/>
        <v>4.1725404435445377E-12</v>
      </c>
      <c r="Q134" s="20">
        <f t="shared" si="108"/>
        <v>7.820597394917325E-12</v>
      </c>
      <c r="R134" s="59">
        <f t="shared" si="109"/>
        <v>293.33333333334116</v>
      </c>
      <c r="S134" s="59">
        <f ca="1">AVERAGE(OFFSET($R$3,0,0,'Données projet'!$E$9+1,1))-AVERAGE(OFFSET($H$3,0,0,'Données projet'!$E$9+1,1))</f>
        <v>314.07001555875894</v>
      </c>
      <c r="T134" s="59">
        <f t="shared" si="142"/>
        <v>281.53154885904991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68.942498476268256</v>
      </c>
      <c r="AA134" s="21">
        <f>EXP(-LN(2)/25)*AA133+(1-EXP(-LN(2)/25))/(LN(2)/25)*Calculateur!V134*Calculateur!X134*VLOOKUP('Données projet'!$B$9,Paramètres!$A$1:$I$89,3,0)*0.475*44/12</f>
        <v>14.145123909086806</v>
      </c>
      <c r="AB134" s="21">
        <f>EXP(-LN(2)/2)*AB133+(1-EXP(-LN(2)/2))/(LN(2)/2)*V134*Y134*VLOOKUP('Données projet'!$B$9,Paramètres!$A$1:$I$89,3,0)*0.475*44/12</f>
        <v>4.9723748365148679E-8</v>
      </c>
      <c r="AC134" s="22">
        <f t="shared" si="111"/>
        <v>83.087622435078814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3.177547114319168E-13</v>
      </c>
      <c r="P135" s="13">
        <f t="shared" si="141"/>
        <v>4.1725404435445377E-12</v>
      </c>
      <c r="Q135" s="20">
        <f t="shared" si="108"/>
        <v>7.820597394917325E-12</v>
      </c>
      <c r="R135" s="59">
        <f t="shared" si="109"/>
        <v>293.33333333334116</v>
      </c>
      <c r="S135" s="59">
        <f ca="1">AVERAGE(OFFSET($R$3,0,0,'Données projet'!$E$9+1,1))-AVERAGE(OFFSET($H$3,0,0,'Données projet'!$E$9+1,1))</f>
        <v>314.07001555875894</v>
      </c>
      <c r="T135" s="59">
        <f t="shared" si="142"/>
        <v>281.53154885904991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67.590578131920537</v>
      </c>
      <c r="AA135" s="21">
        <f>EXP(-LN(2)/25)*AA134+(1-EXP(-LN(2)/25))/(LN(2)/25)*Calculateur!V135*Calculateur!X135*VLOOKUP('Données projet'!$B$9,Paramètres!$A$1:$I$89,3,0)*0.475*44/12</f>
        <v>13.75832475193309</v>
      </c>
      <c r="AB135" s="21">
        <f>EXP(-LN(2)/2)*AB134+(1-EXP(-LN(2)/2))/(LN(2)/2)*V135*Y135*VLOOKUP('Données projet'!$B$9,Paramètres!$A$1:$I$89,3,0)*0.475*44/12</f>
        <v>3.5159999655010136E-8</v>
      </c>
      <c r="AC135" s="22">
        <f t="shared" si="111"/>
        <v>81.348902919013625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3.177547114319168E-13</v>
      </c>
      <c r="P136" s="13">
        <f t="shared" si="141"/>
        <v>4.1725404435445377E-12</v>
      </c>
      <c r="Q136" s="20">
        <f t="shared" si="108"/>
        <v>7.820597394917325E-12</v>
      </c>
      <c r="R136" s="59">
        <f t="shared" si="109"/>
        <v>293.33333333334116</v>
      </c>
      <c r="S136" s="59">
        <f ca="1">AVERAGE(OFFSET($R$3,0,0,'Données projet'!$E$9+1,1))-AVERAGE(OFFSET($H$3,0,0,'Données projet'!$E$9+1,1))</f>
        <v>314.07001555875894</v>
      </c>
      <c r="T136" s="59">
        <f t="shared" si="142"/>
        <v>281.53154885904991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66.265168120935485</v>
      </c>
      <c r="AA136" s="21">
        <f>EXP(-LN(2)/25)*AA135+(1-EXP(-LN(2)/25))/(LN(2)/25)*Calculateur!V136*Calculateur!X136*VLOOKUP('Données projet'!$B$9,Paramètres!$A$1:$I$89,3,0)*0.475*44/12</f>
        <v>13.382102638072626</v>
      </c>
      <c r="AB136" s="21">
        <f>EXP(-LN(2)/2)*AB135+(1-EXP(-LN(2)/2))/(LN(2)/2)*V136*Y136*VLOOKUP('Données projet'!$B$9,Paramètres!$A$1:$I$89,3,0)*0.475*44/12</f>
        <v>2.4861874182574339E-8</v>
      </c>
      <c r="AC136" s="22">
        <f t="shared" si="111"/>
        <v>79.647270783869985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3.177547114319168E-13</v>
      </c>
      <c r="P137" s="13">
        <f t="shared" si="141"/>
        <v>4.1725404435445377E-12</v>
      </c>
      <c r="Q137" s="20">
        <f t="shared" si="108"/>
        <v>7.820597394917325E-12</v>
      </c>
      <c r="R137" s="59">
        <f t="shared" si="109"/>
        <v>293.33333333334116</v>
      </c>
      <c r="S137" s="59">
        <f ca="1">AVERAGE(OFFSET($R$3,0,0,'Données projet'!$E$9+1,1))-AVERAGE(OFFSET($H$3,0,0,'Données projet'!$E$9+1,1))</f>
        <v>314.07001555875894</v>
      </c>
      <c r="T137" s="59">
        <f t="shared" si="142"/>
        <v>281.53154885904991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64.965748591845568</v>
      </c>
      <c r="AA137" s="21">
        <f>EXP(-LN(2)/25)*AA136+(1-EXP(-LN(2)/25))/(LN(2)/25)*Calculateur!V137*Calculateur!X137*VLOOKUP('Données projet'!$B$9,Paramètres!$A$1:$I$89,3,0)*0.475*44/12</f>
        <v>13.016168337700337</v>
      </c>
      <c r="AB137" s="21">
        <f>EXP(-LN(2)/2)*AB136+(1-EXP(-LN(2)/2))/(LN(2)/2)*V137*Y137*VLOOKUP('Données projet'!$B$9,Paramètres!$A$1:$I$89,3,0)*0.475*44/12</f>
        <v>1.7579999827505068E-8</v>
      </c>
      <c r="AC137" s="22">
        <f t="shared" si="111"/>
        <v>77.98191694712591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3.177547114319168E-13</v>
      </c>
      <c r="P138" s="13">
        <f t="shared" si="141"/>
        <v>4.1725404435445377E-12</v>
      </c>
      <c r="Q138" s="20">
        <f t="shared" si="108"/>
        <v>7.820597394917325E-12</v>
      </c>
      <c r="R138" s="59">
        <f t="shared" si="109"/>
        <v>293.33333333334116</v>
      </c>
      <c r="S138" s="59">
        <f ca="1">AVERAGE(OFFSET($R$3,0,0,'Données projet'!$E$9+1,1))-AVERAGE(OFFSET($H$3,0,0,'Données projet'!$E$9+1,1))</f>
        <v>314.07001555875894</v>
      </c>
      <c r="T138" s="59">
        <f t="shared" si="142"/>
        <v>281.53154885904991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63.691809887153454</v>
      </c>
      <c r="AA138" s="21">
        <f>EXP(-LN(2)/25)*AA137+(1-EXP(-LN(2)/25))/(LN(2)/25)*Calculateur!V138*Calculateur!X138*VLOOKUP('Données projet'!$B$9,Paramètres!$A$1:$I$89,3,0)*0.475*44/12</f>
        <v>12.660240530015377</v>
      </c>
      <c r="AB138" s="21">
        <f>EXP(-LN(2)/2)*AB137+(1-EXP(-LN(2)/2))/(LN(2)/2)*V138*Y138*VLOOKUP('Données projet'!$B$9,Paramètres!$A$1:$I$89,3,0)*0.475*44/12</f>
        <v>1.243093709128717E-8</v>
      </c>
      <c r="AC138" s="22">
        <f t="shared" si="111"/>
        <v>76.352050429599757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3.177547114319168E-13</v>
      </c>
      <c r="P139" s="13">
        <f t="shared" si="141"/>
        <v>4.1725404435445377E-12</v>
      </c>
      <c r="Q139" s="20">
        <f t="shared" si="108"/>
        <v>7.820597394917325E-12</v>
      </c>
      <c r="R139" s="59">
        <f t="shared" si="109"/>
        <v>293.33333333334116</v>
      </c>
      <c r="S139" s="59">
        <f ca="1">AVERAGE(OFFSET($R$3,0,0,'Données projet'!$E$9+1,1))-AVERAGE(OFFSET($H$3,0,0,'Données projet'!$E$9+1,1))</f>
        <v>314.07001555875894</v>
      </c>
      <c r="T139" s="59">
        <f t="shared" si="142"/>
        <v>281.53154885904991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62.442852343434467</v>
      </c>
      <c r="AA139" s="21">
        <f>EXP(-LN(2)/25)*AA138+(1-EXP(-LN(2)/25))/(LN(2)/25)*Calculateur!V139*Calculateur!X139*VLOOKUP('Données projet'!$B$9,Paramètres!$A$1:$I$89,3,0)*0.475*44/12</f>
        <v>12.314045586948993</v>
      </c>
      <c r="AB139" s="21">
        <f>EXP(-LN(2)/2)*AB138+(1-EXP(-LN(2)/2))/(LN(2)/2)*V139*Y139*VLOOKUP('Données projet'!$B$9,Paramètres!$A$1:$I$89,3,0)*0.475*44/12</f>
        <v>8.7899999137525341E-9</v>
      </c>
      <c r="AC139" s="22">
        <f t="shared" si="111"/>
        <v>74.756897939173456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3.177547114319168E-13</v>
      </c>
      <c r="P140" s="13">
        <f t="shared" si="141"/>
        <v>4.1725404435445377E-12</v>
      </c>
      <c r="Q140" s="20">
        <f t="shared" si="108"/>
        <v>7.820597394917325E-12</v>
      </c>
      <c r="R140" s="59">
        <f t="shared" si="109"/>
        <v>293.33333333334116</v>
      </c>
      <c r="S140" s="59">
        <f ca="1">AVERAGE(OFFSET($R$3,0,0,'Données projet'!$E$9+1,1))-AVERAGE(OFFSET($H$3,0,0,'Données projet'!$E$9+1,1))</f>
        <v>314.07001555875894</v>
      </c>
      <c r="T140" s="59">
        <f t="shared" si="142"/>
        <v>281.53154885904991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61.21838609535893</v>
      </c>
      <c r="AA140" s="21">
        <f>EXP(-LN(2)/25)*AA139+(1-EXP(-LN(2)/25))/(LN(2)/25)*Calculateur!V140*Calculateur!X140*VLOOKUP('Données projet'!$B$9,Paramètres!$A$1:$I$89,3,0)*0.475*44/12</f>
        <v>11.977317362806359</v>
      </c>
      <c r="AB140" s="21">
        <f>EXP(-LN(2)/2)*AB139+(1-EXP(-LN(2)/2))/(LN(2)/2)*V140*Y140*VLOOKUP('Données projet'!$B$9,Paramètres!$A$1:$I$89,3,0)*0.475*44/12</f>
        <v>6.2154685456435849E-9</v>
      </c>
      <c r="AC140" s="22">
        <f t="shared" si="111"/>
        <v>73.195703464380756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3.177547114319168E-13</v>
      </c>
      <c r="P141" s="13">
        <f t="shared" si="141"/>
        <v>4.1725404435445377E-12</v>
      </c>
      <c r="Q141" s="20">
        <f t="shared" si="108"/>
        <v>7.820597394917325E-12</v>
      </c>
      <c r="R141" s="59">
        <f t="shared" si="109"/>
        <v>293.33333333334116</v>
      </c>
      <c r="S141" s="59">
        <f ca="1">AVERAGE(OFFSET($R$3,0,0,'Données projet'!$E$9+1,1))-AVERAGE(OFFSET($H$3,0,0,'Données projet'!$E$9+1,1))</f>
        <v>314.07001555875894</v>
      </c>
      <c r="T141" s="59">
        <f t="shared" si="142"/>
        <v>281.53154885904991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60.01793088355749</v>
      </c>
      <c r="AA141" s="21">
        <f>EXP(-LN(2)/25)*AA140+(1-EXP(-LN(2)/25))/(LN(2)/25)*Calculateur!V141*Calculateur!X141*VLOOKUP('Données projet'!$B$9,Paramètres!$A$1:$I$89,3,0)*0.475*44/12</f>
        <v>11.649796989660674</v>
      </c>
      <c r="AB141" s="21">
        <f>EXP(-LN(2)/2)*AB140+(1-EXP(-LN(2)/2))/(LN(2)/2)*V141*Y141*VLOOKUP('Données projet'!$B$9,Paramètres!$A$1:$I$89,3,0)*0.475*44/12</f>
        <v>4.394999956876267E-9</v>
      </c>
      <c r="AC141" s="22">
        <f t="shared" si="111"/>
        <v>71.667727877613174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3.177547114319168E-13</v>
      </c>
      <c r="P142" s="13">
        <f t="shared" si="141"/>
        <v>4.1725404435445377E-12</v>
      </c>
      <c r="Q142" s="20">
        <f t="shared" si="108"/>
        <v>7.820597394917325E-12</v>
      </c>
      <c r="R142" s="59">
        <f t="shared" si="109"/>
        <v>293.33333333334116</v>
      </c>
      <c r="S142" s="59">
        <f ca="1">AVERAGE(OFFSET($R$3,0,0,'Données projet'!$E$9+1,1))-AVERAGE(OFFSET($H$3,0,0,'Données projet'!$E$9+1,1))</f>
        <v>314.07001555875894</v>
      </c>
      <c r="T142" s="59">
        <f t="shared" si="142"/>
        <v>281.53154885904991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58.841015866254097</v>
      </c>
      <c r="AA142" s="21">
        <f>EXP(-LN(2)/25)*AA141+(1-EXP(-LN(2)/25))/(LN(2)/25)*Calculateur!V142*Calculateur!X142*VLOOKUP('Données projet'!$B$9,Paramètres!$A$1:$I$89,3,0)*0.475*44/12</f>
        <v>11.331232678342205</v>
      </c>
      <c r="AB142" s="21">
        <f>EXP(-LN(2)/2)*AB141+(1-EXP(-LN(2)/2))/(LN(2)/2)*V142*Y142*VLOOKUP('Données projet'!$B$9,Paramètres!$A$1:$I$89,3,0)*0.475*44/12</f>
        <v>3.1077342728217924E-9</v>
      </c>
      <c r="AC142" s="22">
        <f t="shared" si="111"/>
        <v>70.172248547704029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3.177547114319168E-13</v>
      </c>
      <c r="P143" s="13">
        <f t="shared" si="141"/>
        <v>4.1725404435445377E-12</v>
      </c>
      <c r="Q143" s="20">
        <f t="shared" si="108"/>
        <v>7.820597394917325E-12</v>
      </c>
      <c r="R143" s="59">
        <f t="shared" si="109"/>
        <v>293.33333333334116</v>
      </c>
      <c r="S143" s="59">
        <f ca="1">AVERAGE(OFFSET($R$3,0,0,'Données projet'!$E$9+1,1))-AVERAGE(OFFSET($H$3,0,0,'Données projet'!$E$9+1,1))</f>
        <v>314.07001555875894</v>
      </c>
      <c r="T143" s="59">
        <f t="shared" si="142"/>
        <v>281.53154885904991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57.687179434592743</v>
      </c>
      <c r="AA143" s="21">
        <f>EXP(-LN(2)/25)*AA142+(1-EXP(-LN(2)/25))/(LN(2)/25)*Calculateur!V143*Calculateur!X143*VLOOKUP('Données projet'!$B$9,Paramètres!$A$1:$I$89,3,0)*0.475*44/12</f>
        <v>11.021379524869308</v>
      </c>
      <c r="AB143" s="21">
        <f>EXP(-LN(2)/2)*AB142+(1-EXP(-LN(2)/2))/(LN(2)/2)*V143*Y143*VLOOKUP('Données projet'!$B$9,Paramètres!$A$1:$I$89,3,0)*0.475*44/12</f>
        <v>2.1974999784381335E-9</v>
      </c>
      <c r="AC143" s="22">
        <f t="shared" si="111"/>
        <v>68.708558961659548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3.177547114319168E-13</v>
      </c>
      <c r="P144" s="13">
        <f t="shared" si="141"/>
        <v>4.1725404435445377E-12</v>
      </c>
      <c r="Q144" s="20">
        <f t="shared" si="108"/>
        <v>7.820597394917325E-12</v>
      </c>
      <c r="R144" s="59">
        <f t="shared" si="109"/>
        <v>293.33333333334116</v>
      </c>
      <c r="S144" s="59">
        <f ca="1">AVERAGE(OFFSET($R$3,0,0,'Données projet'!$E$9+1,1))-AVERAGE(OFFSET($H$3,0,0,'Données projet'!$E$9+1,1))</f>
        <v>314.07001555875894</v>
      </c>
      <c r="T144" s="59">
        <f t="shared" si="142"/>
        <v>281.53154885904991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56.555969031585533</v>
      </c>
      <c r="AA144" s="21">
        <f>EXP(-LN(2)/25)*AA143+(1-EXP(-LN(2)/25))/(LN(2)/25)*Calculateur!V144*Calculateur!X144*VLOOKUP('Données projet'!$B$9,Paramètres!$A$1:$I$89,3,0)*0.475*44/12</f>
        <v>10.719999322172598</v>
      </c>
      <c r="AB144" s="21">
        <f>EXP(-LN(2)/2)*AB143+(1-EXP(-LN(2)/2))/(LN(2)/2)*V144*Y144*VLOOKUP('Données projet'!$B$9,Paramètres!$A$1:$I$89,3,0)*0.475*44/12</f>
        <v>1.5538671364108962E-9</v>
      </c>
      <c r="AC144" s="22">
        <f t="shared" si="111"/>
        <v>67.275968355312003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3.177547114319168E-13</v>
      </c>
      <c r="P145" s="13">
        <f t="shared" si="141"/>
        <v>4.1725404435445377E-12</v>
      </c>
      <c r="Q145" s="20">
        <f t="shared" si="108"/>
        <v>7.820597394917325E-12</v>
      </c>
      <c r="R145" s="59">
        <f t="shared" si="109"/>
        <v>293.33333333334116</v>
      </c>
      <c r="S145" s="59">
        <f ca="1">AVERAGE(OFFSET($R$3,0,0,'Données projet'!$E$9+1,1))-AVERAGE(OFFSET($H$3,0,0,'Données projet'!$E$9+1,1))</f>
        <v>314.07001555875894</v>
      </c>
      <c r="T145" s="59">
        <f t="shared" si="142"/>
        <v>281.53154885904991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55.446940974611081</v>
      </c>
      <c r="AA145" s="21">
        <f>EXP(-LN(2)/25)*AA144+(1-EXP(-LN(2)/25))/(LN(2)/25)*Calculateur!V145*Calculateur!X145*VLOOKUP('Données projet'!$B$9,Paramètres!$A$1:$I$89,3,0)*0.475*44/12</f>
        <v>10.426860376967525</v>
      </c>
      <c r="AB145" s="21">
        <f>EXP(-LN(2)/2)*AB144+(1-EXP(-LN(2)/2))/(LN(2)/2)*V145*Y145*VLOOKUP('Données projet'!$B$9,Paramètres!$A$1:$I$89,3,0)*0.475*44/12</f>
        <v>1.0987499892190668E-9</v>
      </c>
      <c r="AC145" s="22">
        <f t="shared" si="111"/>
        <v>65.873801352677361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3.177547114319168E-13</v>
      </c>
      <c r="P146" s="13">
        <f t="shared" si="141"/>
        <v>4.1725404435445377E-12</v>
      </c>
      <c r="Q146" s="20">
        <f t="shared" si="108"/>
        <v>7.820597394917325E-12</v>
      </c>
      <c r="R146" s="59">
        <f t="shared" si="109"/>
        <v>293.33333333334116</v>
      </c>
      <c r="S146" s="59">
        <f ca="1">AVERAGE(OFFSET($R$3,0,0,'Données projet'!$E$9+1,1))-AVERAGE(OFFSET($H$3,0,0,'Données projet'!$E$9+1,1))</f>
        <v>314.07001555875894</v>
      </c>
      <c r="T146" s="59">
        <f t="shared" si="142"/>
        <v>281.53154885904991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54.359660281393573</v>
      </c>
      <c r="AA146" s="21">
        <f>EXP(-LN(2)/25)*AA145+(1-EXP(-LN(2)/25))/(LN(2)/25)*Calculateur!V146*Calculateur!X146*VLOOKUP('Données projet'!$B$9,Paramètres!$A$1:$I$89,3,0)*0.475*44/12</f>
        <v>10.141737331634593</v>
      </c>
      <c r="AB146" s="21">
        <f>EXP(-LN(2)/2)*AB145+(1-EXP(-LN(2)/2))/(LN(2)/2)*V146*Y146*VLOOKUP('Données projet'!$B$9,Paramètres!$A$1:$I$89,3,0)*0.475*44/12</f>
        <v>7.7693356820544811E-10</v>
      </c>
      <c r="AC146" s="22">
        <f t="shared" si="111"/>
        <v>64.501397613805096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3.177547114319168E-13</v>
      </c>
      <c r="P147" s="13">
        <f t="shared" si="141"/>
        <v>4.1725404435445377E-12</v>
      </c>
      <c r="Q147" s="20">
        <f t="shared" si="108"/>
        <v>7.820597394917325E-12</v>
      </c>
      <c r="R147" s="59">
        <f t="shared" si="109"/>
        <v>293.33333333334116</v>
      </c>
      <c r="S147" s="59">
        <f ca="1">AVERAGE(OFFSET($R$3,0,0,'Données projet'!$E$9+1,1))-AVERAGE(OFFSET($H$3,0,0,'Données projet'!$E$9+1,1))</f>
        <v>314.07001555875894</v>
      </c>
      <c r="T147" s="59">
        <f t="shared" si="142"/>
        <v>281.53154885904991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53.293700499394319</v>
      </c>
      <c r="AA147" s="21">
        <f>EXP(-LN(2)/25)*AA146+(1-EXP(-LN(2)/25))/(LN(2)/25)*Calculateur!V147*Calculateur!X147*VLOOKUP('Données projet'!$B$9,Paramètres!$A$1:$I$89,3,0)*0.475*44/12</f>
        <v>9.8644109909702582</v>
      </c>
      <c r="AB147" s="21">
        <f>EXP(-LN(2)/2)*AB146+(1-EXP(-LN(2)/2))/(LN(2)/2)*V147*Y147*VLOOKUP('Données projet'!$B$9,Paramètres!$A$1:$I$89,3,0)*0.475*44/12</f>
        <v>5.4937499460953338E-10</v>
      </c>
      <c r="AC147" s="22">
        <f t="shared" si="111"/>
        <v>63.158111490913953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3.177547114319168E-13</v>
      </c>
      <c r="P148" s="13">
        <f t="shared" si="141"/>
        <v>4.1725404435445377E-12</v>
      </c>
      <c r="Q148" s="20">
        <f t="shared" si="108"/>
        <v>7.820597394917325E-12</v>
      </c>
      <c r="R148" s="59">
        <f t="shared" si="109"/>
        <v>293.33333333334116</v>
      </c>
      <c r="S148" s="59">
        <f ca="1">AVERAGE(OFFSET($R$3,0,0,'Données projet'!$E$9+1,1))-AVERAGE(OFFSET($H$3,0,0,'Données projet'!$E$9+1,1))</f>
        <v>314.07001555875894</v>
      </c>
      <c r="T148" s="59">
        <f t="shared" si="142"/>
        <v>281.53154885904991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52.248643538548805</v>
      </c>
      <c r="AA148" s="21">
        <f>EXP(-LN(2)/25)*AA147+(1-EXP(-LN(2)/25))/(LN(2)/25)*Calculateur!V148*Calculateur!X148*VLOOKUP('Données projet'!$B$9,Paramètres!$A$1:$I$89,3,0)*0.475*44/12</f>
        <v>9.5946681536753484</v>
      </c>
      <c r="AB148" s="21">
        <f>EXP(-LN(2)/2)*AB147+(1-EXP(-LN(2)/2))/(LN(2)/2)*V148*Y148*VLOOKUP('Données projet'!$B$9,Paramètres!$A$1:$I$89,3,0)*0.475*44/12</f>
        <v>3.8846678410272405E-10</v>
      </c>
      <c r="AC148" s="22">
        <f t="shared" si="111"/>
        <v>61.843311692612623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3.177547114319168E-13</v>
      </c>
      <c r="P149" s="13">
        <f t="shared" si="141"/>
        <v>4.1725404435445377E-12</v>
      </c>
      <c r="Q149" s="20">
        <f t="shared" si="108"/>
        <v>7.820597394917325E-12</v>
      </c>
      <c r="R149" s="59">
        <f t="shared" si="109"/>
        <v>293.33333333334116</v>
      </c>
      <c r="S149" s="59">
        <f ca="1">AVERAGE(OFFSET($R$3,0,0,'Données projet'!$E$9+1,1))-AVERAGE(OFFSET($H$3,0,0,'Données projet'!$E$9+1,1))</f>
        <v>314.07001555875894</v>
      </c>
      <c r="T149" s="59">
        <f t="shared" si="142"/>
        <v>281.53154885904991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51.224079507283669</v>
      </c>
      <c r="AA149" s="21">
        <f>EXP(-LN(2)/25)*AA148+(1-EXP(-LN(2)/25))/(LN(2)/25)*Calculateur!V149*Calculateur!X149*VLOOKUP('Données projet'!$B$9,Paramètres!$A$1:$I$89,3,0)*0.475*44/12</f>
        <v>9.3323014484514264</v>
      </c>
      <c r="AB149" s="21">
        <f>EXP(-LN(2)/2)*AB148+(1-EXP(-LN(2)/2))/(LN(2)/2)*V149*Y149*VLOOKUP('Données projet'!$B$9,Paramètres!$A$1:$I$89,3,0)*0.475*44/12</f>
        <v>2.7468749730476669E-10</v>
      </c>
      <c r="AC149" s="22">
        <f t="shared" si="111"/>
        <v>60.556380956009782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3.177547114319168E-13</v>
      </c>
      <c r="P150" s="13">
        <f t="shared" si="141"/>
        <v>4.1725404435445377E-12</v>
      </c>
      <c r="Q150" s="20">
        <f t="shared" si="108"/>
        <v>7.820597394917325E-12</v>
      </c>
      <c r="R150" s="59">
        <f t="shared" si="109"/>
        <v>293.33333333334116</v>
      </c>
      <c r="S150" s="59">
        <f ca="1">AVERAGE(OFFSET($R$3,0,0,'Données projet'!$E$9+1,1))-AVERAGE(OFFSET($H$3,0,0,'Données projet'!$E$9+1,1))</f>
        <v>314.07001555875894</v>
      </c>
      <c r="T150" s="59">
        <f t="shared" si="142"/>
        <v>281.53154885904991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50.219606551749287</v>
      </c>
      <c r="AA150" s="21">
        <f>EXP(-LN(2)/25)*AA149+(1-EXP(-LN(2)/25))/(LN(2)/25)*Calculateur!V150*Calculateur!X150*VLOOKUP('Données projet'!$B$9,Paramètres!$A$1:$I$89,3,0)*0.475*44/12</f>
        <v>9.0771091745791175</v>
      </c>
      <c r="AB150" s="21">
        <f>EXP(-LN(2)/2)*AB149+(1-EXP(-LN(2)/2))/(LN(2)/2)*V150*Y150*VLOOKUP('Données projet'!$B$9,Paramètres!$A$1:$I$89,3,0)*0.475*44/12</f>
        <v>1.9423339205136203E-10</v>
      </c>
      <c r="AC150" s="22">
        <f t="shared" si="111"/>
        <v>59.296715726522635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3.177547114319168E-13</v>
      </c>
      <c r="P151" s="13">
        <f t="shared" si="141"/>
        <v>4.1725404435445377E-12</v>
      </c>
      <c r="Q151" s="20">
        <f t="shared" si="108"/>
        <v>7.820597394917325E-12</v>
      </c>
      <c r="R151" s="59">
        <f t="shared" si="109"/>
        <v>293.33333333334116</v>
      </c>
      <c r="S151" s="59">
        <f ca="1">AVERAGE(OFFSET($R$3,0,0,'Données projet'!$E$9+1,1))-AVERAGE(OFFSET($H$3,0,0,'Données projet'!$E$9+1,1))</f>
        <v>314.07001555875894</v>
      </c>
      <c r="T151" s="59">
        <f t="shared" si="142"/>
        <v>281.53154885904991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49.234830698204924</v>
      </c>
      <c r="AA151" s="21">
        <f>EXP(-LN(2)/25)*AA150+(1-EXP(-LN(2)/25))/(LN(2)/25)*Calculateur!V151*Calculateur!X151*VLOOKUP('Données projet'!$B$9,Paramètres!$A$1:$I$89,3,0)*0.475*44/12</f>
        <v>8.8288951468558263</v>
      </c>
      <c r="AB151" s="21">
        <f>EXP(-LN(2)/2)*AB150+(1-EXP(-LN(2)/2))/(LN(2)/2)*V151*Y151*VLOOKUP('Données projet'!$B$9,Paramètres!$A$1:$I$89,3,0)*0.475*44/12</f>
        <v>1.3734374865238334E-10</v>
      </c>
      <c r="AC151" s="22">
        <f t="shared" si="111"/>
        <v>58.063725845198093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3.177547114319168E-13</v>
      </c>
      <c r="P152" s="13">
        <f t="shared" si="141"/>
        <v>4.1725404435445377E-12</v>
      </c>
      <c r="Q152" s="20">
        <f t="shared" si="108"/>
        <v>7.820597394917325E-12</v>
      </c>
      <c r="R152" s="59">
        <f t="shared" si="109"/>
        <v>293.33333333334116</v>
      </c>
      <c r="S152" s="59">
        <f ca="1">AVERAGE(OFFSET($R$3,0,0,'Données projet'!$E$9+1,1))-AVERAGE(OFFSET($H$3,0,0,'Données projet'!$E$9+1,1))</f>
        <v>314.07001555875894</v>
      </c>
      <c r="T152" s="59">
        <f t="shared" si="142"/>
        <v>281.53154885904991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48.26936569849461</v>
      </c>
      <c r="AA152" s="21">
        <f>EXP(-LN(2)/25)*AA151+(1-EXP(-LN(2)/25))/(LN(2)/25)*Calculateur!V152*Calculateur!X152*VLOOKUP('Données projet'!$B$9,Paramètres!$A$1:$I$89,3,0)*0.475*44/12</f>
        <v>8.5874685447736372</v>
      </c>
      <c r="AB152" s="21">
        <f>EXP(-LN(2)/2)*AB151+(1-EXP(-LN(2)/2))/(LN(2)/2)*V152*Y152*VLOOKUP('Données projet'!$B$9,Paramètres!$A$1:$I$89,3,0)*0.475*44/12</f>
        <v>9.7116696025681013E-11</v>
      </c>
      <c r="AC152" s="22">
        <f t="shared" si="111"/>
        <v>56.856834243365363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3.177547114319168E-13</v>
      </c>
      <c r="P153" s="13">
        <f t="shared" si="141"/>
        <v>4.1725404435445377E-12</v>
      </c>
      <c r="Q153" s="20">
        <f t="shared" si="108"/>
        <v>7.820597394917325E-12</v>
      </c>
      <c r="R153" s="59">
        <f t="shared" si="109"/>
        <v>293.33333333334116</v>
      </c>
      <c r="S153" s="59">
        <f ca="1">AVERAGE(OFFSET($R$3,0,0,'Données projet'!$E$9+1,1))-AVERAGE(OFFSET($H$3,0,0,'Données projet'!$E$9+1,1))</f>
        <v>314.07001555875894</v>
      </c>
      <c r="T153" s="59">
        <f t="shared" si="142"/>
        <v>281.53154885904991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47.322832878553108</v>
      </c>
      <c r="AA153" s="21">
        <f>EXP(-LN(2)/25)*AA152+(1-EXP(-LN(2)/25))/(LN(2)/25)*Calculateur!V153*Calculateur!X153*VLOOKUP('Données projet'!$B$9,Paramètres!$A$1:$I$89,3,0)*0.475*44/12</f>
        <v>8.3526437658214583</v>
      </c>
      <c r="AB153" s="21">
        <f>EXP(-LN(2)/2)*AB152+(1-EXP(-LN(2)/2))/(LN(2)/2)*V153*Y153*VLOOKUP('Données projet'!$B$9,Paramètres!$A$1:$I$89,3,0)*0.475*44/12</f>
        <v>6.8671874326191672E-11</v>
      </c>
      <c r="AC153" s="22">
        <f t="shared" si="111"/>
        <v>55.675476644443243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3.177547114319168E-13</v>
      </c>
      <c r="P154" s="13">
        <f t="shared" si="141"/>
        <v>4.1725404435445377E-12</v>
      </c>
      <c r="Q154" s="20">
        <f t="shared" ref="Q154:Q203" si="162">(O154+P154)*0.475*44/12</f>
        <v>7.820597394917325E-12</v>
      </c>
      <c r="R154" s="59">
        <f t="shared" si="109"/>
        <v>293.33333333334116</v>
      </c>
      <c r="S154" s="59">
        <f ca="1">AVERAGE(OFFSET($R$3,0,0,'Données projet'!$E$9+1,1))-AVERAGE(OFFSET($H$3,0,0,'Données projet'!$E$9+1,1))</f>
        <v>314.07001555875894</v>
      </c>
      <c r="T154" s="59">
        <f t="shared" si="142"/>
        <v>281.53154885904991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46.394860989882645</v>
      </c>
      <c r="AA154" s="21">
        <f>EXP(-LN(2)/25)*AA153+(1-EXP(-LN(2)/25))/(LN(2)/25)*Calculateur!V154*Calculateur!X154*VLOOKUP('Données projet'!$B$9,Paramètres!$A$1:$I$89,3,0)*0.475*44/12</f>
        <v>8.1242402827986258</v>
      </c>
      <c r="AB154" s="21">
        <f>EXP(-LN(2)/2)*AB153+(1-EXP(-LN(2)/2))/(LN(2)/2)*V154*Y154*VLOOKUP('Données projet'!$B$9,Paramètres!$A$1:$I$89,3,0)*0.475*44/12</f>
        <v>4.8558348012840507E-11</v>
      </c>
      <c r="AC154" s="22">
        <f t="shared" ref="AC154:AC203" si="163">SUM(Z154:AB154)</f>
        <v>54.519101272729827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3.177547114319168E-13</v>
      </c>
      <c r="P155" s="13">
        <f t="shared" si="141"/>
        <v>4.1725404435445377E-12</v>
      </c>
      <c r="Q155" s="20">
        <f t="shared" si="162"/>
        <v>7.820597394917325E-12</v>
      </c>
      <c r="R155" s="59">
        <f t="shared" si="109"/>
        <v>293.33333333334116</v>
      </c>
      <c r="S155" s="59">
        <f ca="1">AVERAGE(OFFSET($R$3,0,0,'Données projet'!$E$9+1,1))-AVERAGE(OFFSET($H$3,0,0,'Données projet'!$E$9+1,1))</f>
        <v>314.07001555875894</v>
      </c>
      <c r="T155" s="59">
        <f t="shared" si="142"/>
        <v>281.53154885904991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45.485086063942049</v>
      </c>
      <c r="AA155" s="21">
        <f>EXP(-LN(2)/25)*AA154+(1-EXP(-LN(2)/25))/(LN(2)/25)*Calculateur!V155*Calculateur!X155*VLOOKUP('Données projet'!$B$9,Paramètres!$A$1:$I$89,3,0)*0.475*44/12</f>
        <v>7.9020825050302692</v>
      </c>
      <c r="AB155" s="21">
        <f>EXP(-LN(2)/2)*AB154+(1-EXP(-LN(2)/2))/(LN(2)/2)*V155*Y155*VLOOKUP('Données projet'!$B$9,Paramètres!$A$1:$I$89,3,0)*0.475*44/12</f>
        <v>3.4335937163095836E-11</v>
      </c>
      <c r="AC155" s="22">
        <f t="shared" si="163"/>
        <v>53.387168569006654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3.177547114319168E-13</v>
      </c>
      <c r="P156" s="13">
        <f t="shared" si="141"/>
        <v>4.1725404435445377E-12</v>
      </c>
      <c r="Q156" s="20">
        <f t="shared" si="162"/>
        <v>7.820597394917325E-12</v>
      </c>
      <c r="R156" s="59">
        <f t="shared" si="109"/>
        <v>293.33333333334116</v>
      </c>
      <c r="S156" s="59">
        <f ca="1">AVERAGE(OFFSET($R$3,0,0,'Données projet'!$E$9+1,1))-AVERAGE(OFFSET($H$3,0,0,'Données projet'!$E$9+1,1))</f>
        <v>314.07001555875894</v>
      </c>
      <c r="T156" s="59">
        <f t="shared" si="142"/>
        <v>281.53154885904991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44.593151269391235</v>
      </c>
      <c r="AA156" s="21">
        <f>EXP(-LN(2)/25)*AA155+(1-EXP(-LN(2)/25))/(LN(2)/25)*Calculateur!V156*Calculateur!X156*VLOOKUP('Données projet'!$B$9,Paramètres!$A$1:$I$89,3,0)*0.475*44/12</f>
        <v>7.685999643377758</v>
      </c>
      <c r="AB156" s="21">
        <f>EXP(-LN(2)/2)*AB155+(1-EXP(-LN(2)/2))/(LN(2)/2)*V156*Y156*VLOOKUP('Données projet'!$B$9,Paramètres!$A$1:$I$89,3,0)*0.475*44/12</f>
        <v>2.4279174006420253E-11</v>
      </c>
      <c r="AC156" s="22">
        <f t="shared" si="163"/>
        <v>52.27915091279327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3.177547114319168E-13</v>
      </c>
      <c r="P157" s="13">
        <f t="shared" si="141"/>
        <v>4.1725404435445377E-12</v>
      </c>
      <c r="Q157" s="20">
        <f t="shared" si="162"/>
        <v>7.820597394917325E-12</v>
      </c>
      <c r="R157" s="59">
        <f t="shared" si="109"/>
        <v>293.33333333334116</v>
      </c>
      <c r="S157" s="59">
        <f ca="1">AVERAGE(OFFSET($R$3,0,0,'Données projet'!$E$9+1,1))-AVERAGE(OFFSET($H$3,0,0,'Données projet'!$E$9+1,1))</f>
        <v>314.07001555875894</v>
      </c>
      <c r="T157" s="59">
        <f t="shared" si="142"/>
        <v>281.53154885904991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43.718706772135057</v>
      </c>
      <c r="AA157" s="21">
        <f>EXP(-LN(2)/25)*AA156+(1-EXP(-LN(2)/25))/(LN(2)/25)*Calculateur!V157*Calculateur!X157*VLOOKUP('Données projet'!$B$9,Paramètres!$A$1:$I$89,3,0)*0.475*44/12</f>
        <v>7.4758255789404382</v>
      </c>
      <c r="AB157" s="21">
        <f>EXP(-LN(2)/2)*AB156+(1-EXP(-LN(2)/2))/(LN(2)/2)*V157*Y157*VLOOKUP('Données projet'!$B$9,Paramètres!$A$1:$I$89,3,0)*0.475*44/12</f>
        <v>1.7167968581547918E-11</v>
      </c>
      <c r="AC157" s="22">
        <f t="shared" si="163"/>
        <v>51.194532351092661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3.177547114319168E-13</v>
      </c>
      <c r="P158" s="13">
        <f t="shared" si="141"/>
        <v>4.1725404435445377E-12</v>
      </c>
      <c r="Q158" s="20">
        <f t="shared" si="162"/>
        <v>7.820597394917325E-12</v>
      </c>
      <c r="R158" s="59">
        <f t="shared" si="109"/>
        <v>293.33333333334116</v>
      </c>
      <c r="S158" s="59">
        <f ca="1">AVERAGE(OFFSET($R$3,0,0,'Données projet'!$E$9+1,1))-AVERAGE(OFFSET($H$3,0,0,'Données projet'!$E$9+1,1))</f>
        <v>314.07001555875894</v>
      </c>
      <c r="T158" s="59">
        <f t="shared" si="142"/>
        <v>281.53154885904991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42.861409598111592</v>
      </c>
      <c r="AA158" s="21">
        <f>EXP(-LN(2)/25)*AA157+(1-EXP(-LN(2)/25))/(LN(2)/25)*Calculateur!V158*Calculateur!X158*VLOOKUP('Données projet'!$B$9,Paramètres!$A$1:$I$89,3,0)*0.475*44/12</f>
        <v>7.2713987353477307</v>
      </c>
      <c r="AB158" s="21">
        <f>EXP(-LN(2)/2)*AB157+(1-EXP(-LN(2)/2))/(LN(2)/2)*V158*Y158*VLOOKUP('Données projet'!$B$9,Paramètres!$A$1:$I$89,3,0)*0.475*44/12</f>
        <v>1.2139587003210127E-11</v>
      </c>
      <c r="AC158" s="22">
        <f t="shared" si="163"/>
        <v>50.132808333471459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3.177547114319168E-13</v>
      </c>
      <c r="P159" s="13">
        <f t="shared" si="141"/>
        <v>4.1725404435445377E-12</v>
      </c>
      <c r="Q159" s="20">
        <f t="shared" si="162"/>
        <v>7.820597394917325E-12</v>
      </c>
      <c r="R159" s="59">
        <f t="shared" si="109"/>
        <v>293.33333333334116</v>
      </c>
      <c r="S159" s="59">
        <f ca="1">AVERAGE(OFFSET($R$3,0,0,'Données projet'!$E$9+1,1))-AVERAGE(OFFSET($H$3,0,0,'Données projet'!$E$9+1,1))</f>
        <v>314.07001555875894</v>
      </c>
      <c r="T159" s="59">
        <f t="shared" si="142"/>
        <v>281.53154885904991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42.020923498771083</v>
      </c>
      <c r="AA159" s="21">
        <f>EXP(-LN(2)/25)*AA158+(1-EXP(-LN(2)/25))/(LN(2)/25)*Calculateur!V159*Calculateur!X159*VLOOKUP('Données projet'!$B$9,Paramètres!$A$1:$I$89,3,0)*0.475*44/12</f>
        <v>7.0725619545434064</v>
      </c>
      <c r="AB159" s="21">
        <f>EXP(-LN(2)/2)*AB158+(1-EXP(-LN(2)/2))/(LN(2)/2)*V159*Y159*VLOOKUP('Données projet'!$B$9,Paramètres!$A$1:$I$89,3,0)*0.475*44/12</f>
        <v>8.583984290773959E-12</v>
      </c>
      <c r="AC159" s="22">
        <f t="shared" si="163"/>
        <v>49.093485453323069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3.177547114319168E-13</v>
      </c>
      <c r="P160" s="13">
        <f t="shared" si="141"/>
        <v>4.1725404435445377E-12</v>
      </c>
      <c r="Q160" s="20">
        <f t="shared" si="162"/>
        <v>7.820597394917325E-12</v>
      </c>
      <c r="R160" s="59">
        <f t="shared" si="109"/>
        <v>293.33333333334116</v>
      </c>
      <c r="S160" s="59">
        <f ca="1">AVERAGE(OFFSET($R$3,0,0,'Données projet'!$E$9+1,1))-AVERAGE(OFFSET($H$3,0,0,'Données projet'!$E$9+1,1))</f>
        <v>314.07001555875894</v>
      </c>
      <c r="T160" s="59">
        <f t="shared" si="142"/>
        <v>281.53154885904991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41.196918819192739</v>
      </c>
      <c r="AA160" s="21">
        <f>EXP(-LN(2)/25)*AA159+(1-EXP(-LN(2)/25))/(LN(2)/25)*Calculateur!V160*Calculateur!X160*VLOOKUP('Données projet'!$B$9,Paramètres!$A$1:$I$89,3,0)*0.475*44/12</f>
        <v>6.8791623759665486</v>
      </c>
      <c r="AB160" s="21">
        <f>EXP(-LN(2)/2)*AB159+(1-EXP(-LN(2)/2))/(LN(2)/2)*V160*Y160*VLOOKUP('Données projet'!$B$9,Paramètres!$A$1:$I$89,3,0)*0.475*44/12</f>
        <v>6.0697935016050633E-12</v>
      </c>
      <c r="AC160" s="22">
        <f t="shared" si="163"/>
        <v>48.076081195165358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3.177547114319168E-13</v>
      </c>
      <c r="P161" s="13">
        <f t="shared" si="141"/>
        <v>4.1725404435445377E-12</v>
      </c>
      <c r="Q161" s="20">
        <f t="shared" si="162"/>
        <v>7.820597394917325E-12</v>
      </c>
      <c r="R161" s="59">
        <f t="shared" si="109"/>
        <v>293.33333333334116</v>
      </c>
      <c r="S161" s="59">
        <f ca="1">AVERAGE(OFFSET($R$3,0,0,'Données projet'!$E$9+1,1))-AVERAGE(OFFSET($H$3,0,0,'Données projet'!$E$9+1,1))</f>
        <v>314.07001555875894</v>
      </c>
      <c r="T161" s="59">
        <f t="shared" si="142"/>
        <v>281.53154885904991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40.389072368787701</v>
      </c>
      <c r="AA161" s="21">
        <f>EXP(-LN(2)/25)*AA160+(1-EXP(-LN(2)/25))/(LN(2)/25)*Calculateur!V161*Calculateur!X161*VLOOKUP('Données projet'!$B$9,Paramètres!$A$1:$I$89,3,0)*0.475*44/12</f>
        <v>6.6910513190363163</v>
      </c>
      <c r="AB161" s="21">
        <f>EXP(-LN(2)/2)*AB160+(1-EXP(-LN(2)/2))/(LN(2)/2)*V161*Y161*VLOOKUP('Données projet'!$B$9,Paramètres!$A$1:$I$89,3,0)*0.475*44/12</f>
        <v>4.2919921453869795E-12</v>
      </c>
      <c r="AC161" s="22">
        <f t="shared" si="163"/>
        <v>47.080123687828312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3.177547114319168E-13</v>
      </c>
      <c r="P162" s="13">
        <f t="shared" si="141"/>
        <v>4.1725404435445377E-12</v>
      </c>
      <c r="Q162" s="20">
        <f t="shared" si="162"/>
        <v>7.820597394917325E-12</v>
      </c>
      <c r="R162" s="59">
        <f t="shared" si="109"/>
        <v>293.33333333334116</v>
      </c>
      <c r="S162" s="59">
        <f ca="1">AVERAGE(OFFSET($R$3,0,0,'Données projet'!$E$9+1,1))-AVERAGE(OFFSET($H$3,0,0,'Données projet'!$E$9+1,1))</f>
        <v>314.07001555875894</v>
      </c>
      <c r="T162" s="59">
        <f t="shared" si="142"/>
        <v>281.53154885904991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39.597067294537425</v>
      </c>
      <c r="AA162" s="21">
        <f>EXP(-LN(2)/25)*AA161+(1-EXP(-LN(2)/25))/(LN(2)/25)*Calculateur!V162*Calculateur!X162*VLOOKUP('Données projet'!$B$9,Paramètres!$A$1:$I$89,3,0)*0.475*44/12</f>
        <v>6.5080841688501723</v>
      </c>
      <c r="AB162" s="21">
        <f>EXP(-LN(2)/2)*AB161+(1-EXP(-LN(2)/2))/(LN(2)/2)*V162*Y162*VLOOKUP('Données projet'!$B$9,Paramètres!$A$1:$I$89,3,0)*0.475*44/12</f>
        <v>3.0348967508025317E-12</v>
      </c>
      <c r="AC162" s="22">
        <f t="shared" si="163"/>
        <v>46.105151463390634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3.177547114319168E-13</v>
      </c>
      <c r="P163" s="13">
        <f t="shared" si="141"/>
        <v>4.1725404435445377E-12</v>
      </c>
      <c r="Q163" s="20">
        <f t="shared" si="162"/>
        <v>7.820597394917325E-12</v>
      </c>
      <c r="R163" s="59">
        <f t="shared" si="109"/>
        <v>293.33333333334116</v>
      </c>
      <c r="S163" s="59">
        <f ca="1">AVERAGE(OFFSET($R$3,0,0,'Données projet'!$E$9+1,1))-AVERAGE(OFFSET($H$3,0,0,'Données projet'!$E$9+1,1))</f>
        <v>314.07001555875894</v>
      </c>
      <c r="T163" s="59">
        <f t="shared" si="142"/>
        <v>281.53154885904991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38.820592956717803</v>
      </c>
      <c r="AA163" s="21">
        <f>EXP(-LN(2)/25)*AA162+(1-EXP(-LN(2)/25))/(LN(2)/25)*Calculateur!V163*Calculateur!X163*VLOOKUP('Données projet'!$B$9,Paramètres!$A$1:$I$89,3,0)*0.475*44/12</f>
        <v>6.3301202650076922</v>
      </c>
      <c r="AB163" s="21">
        <f>EXP(-LN(2)/2)*AB162+(1-EXP(-LN(2)/2))/(LN(2)/2)*V163*Y163*VLOOKUP('Données projet'!$B$9,Paramètres!$A$1:$I$89,3,0)*0.475*44/12</f>
        <v>2.1459960726934898E-12</v>
      </c>
      <c r="AC163" s="22">
        <f t="shared" si="163"/>
        <v>45.150713221727642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3.177547114319168E-13</v>
      </c>
      <c r="P164" s="13">
        <f t="shared" si="141"/>
        <v>4.1725404435445377E-12</v>
      </c>
      <c r="Q164" s="20">
        <f t="shared" si="162"/>
        <v>7.820597394917325E-12</v>
      </c>
      <c r="R164" s="59">
        <f t="shared" si="109"/>
        <v>293.33333333334116</v>
      </c>
      <c r="S164" s="59">
        <f ca="1">AVERAGE(OFFSET($R$3,0,0,'Données projet'!$E$9+1,1))-AVERAGE(OFFSET($H$3,0,0,'Données projet'!$E$9+1,1))</f>
        <v>314.07001555875894</v>
      </c>
      <c r="T164" s="59">
        <f t="shared" si="142"/>
        <v>281.53154885904991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38.059344807060242</v>
      </c>
      <c r="AA164" s="21">
        <f>EXP(-LN(2)/25)*AA163+(1-EXP(-LN(2)/25))/(LN(2)/25)*Calculateur!V164*Calculateur!X164*VLOOKUP('Données projet'!$B$9,Paramètres!$A$1:$I$89,3,0)*0.475*44/12</f>
        <v>6.1570227934744999</v>
      </c>
      <c r="AB164" s="21">
        <f>EXP(-LN(2)/2)*AB163+(1-EXP(-LN(2)/2))/(LN(2)/2)*V164*Y164*VLOOKUP('Données projet'!$B$9,Paramètres!$A$1:$I$89,3,0)*0.475*44/12</f>
        <v>1.5174483754012658E-12</v>
      </c>
      <c r="AC164" s="22">
        <f t="shared" si="163"/>
        <v>44.216367600536259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3.177547114319168E-13</v>
      </c>
      <c r="P165" s="13">
        <f t="shared" si="141"/>
        <v>4.1725404435445377E-12</v>
      </c>
      <c r="Q165" s="20">
        <f t="shared" si="162"/>
        <v>7.820597394917325E-12</v>
      </c>
      <c r="R165" s="59">
        <f t="shared" si="109"/>
        <v>293.33333333334116</v>
      </c>
      <c r="S165" s="59">
        <f ca="1">AVERAGE(OFFSET($R$3,0,0,'Données projet'!$E$9+1,1))-AVERAGE(OFFSET($H$3,0,0,'Données projet'!$E$9+1,1))</f>
        <v>314.07001555875894</v>
      </c>
      <c r="T165" s="59">
        <f t="shared" si="142"/>
        <v>281.53154885904991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37.313024269301941</v>
      </c>
      <c r="AA165" s="21">
        <f>EXP(-LN(2)/25)*AA164+(1-EXP(-LN(2)/25))/(LN(2)/25)*Calculateur!V165*Calculateur!X165*VLOOKUP('Données projet'!$B$9,Paramètres!$A$1:$I$89,3,0)*0.475*44/12</f>
        <v>5.9886586814031828</v>
      </c>
      <c r="AB165" s="21">
        <f>EXP(-LN(2)/2)*AB164+(1-EXP(-LN(2)/2))/(LN(2)/2)*V165*Y165*VLOOKUP('Données projet'!$B$9,Paramètres!$A$1:$I$89,3,0)*0.475*44/12</f>
        <v>1.0729980363467449E-12</v>
      </c>
      <c r="AC165" s="22">
        <f t="shared" si="163"/>
        <v>43.301682950706194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3.177547114319168E-13</v>
      </c>
      <c r="P166" s="13">
        <f t="shared" si="141"/>
        <v>4.1725404435445377E-12</v>
      </c>
      <c r="Q166" s="20">
        <f t="shared" si="162"/>
        <v>7.820597394917325E-12</v>
      </c>
      <c r="R166" s="59">
        <f t="shared" si="109"/>
        <v>293.33333333334116</v>
      </c>
      <c r="S166" s="59">
        <f ca="1">AVERAGE(OFFSET($R$3,0,0,'Données projet'!$E$9+1,1))-AVERAGE(OFFSET($H$3,0,0,'Données projet'!$E$9+1,1))</f>
        <v>314.07001555875894</v>
      </c>
      <c r="T166" s="59">
        <f t="shared" si="142"/>
        <v>281.53154885904991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36.581338622078498</v>
      </c>
      <c r="AA166" s="21">
        <f>EXP(-LN(2)/25)*AA165+(1-EXP(-LN(2)/25))/(LN(2)/25)*Calculateur!V166*Calculateur!X166*VLOOKUP('Données projet'!$B$9,Paramètres!$A$1:$I$89,3,0)*0.475*44/12</f>
        <v>5.8248984948303404</v>
      </c>
      <c r="AB166" s="21">
        <f>EXP(-LN(2)/2)*AB165+(1-EXP(-LN(2)/2))/(LN(2)/2)*V166*Y166*VLOOKUP('Données projet'!$B$9,Paramètres!$A$1:$I$89,3,0)*0.475*44/12</f>
        <v>7.5872418770063292E-13</v>
      </c>
      <c r="AC166" s="22">
        <f t="shared" si="163"/>
        <v>42.406237116909601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3.177547114319168E-13</v>
      </c>
      <c r="P167" s="13">
        <f t="shared" si="141"/>
        <v>4.1725404435445377E-12</v>
      </c>
      <c r="Q167" s="20">
        <f t="shared" si="162"/>
        <v>7.820597394917325E-12</v>
      </c>
      <c r="R167" s="59">
        <f t="shared" si="109"/>
        <v>293.33333333334116</v>
      </c>
      <c r="S167" s="59">
        <f ca="1">AVERAGE(OFFSET($R$3,0,0,'Données projet'!$E$9+1,1))-AVERAGE(OFFSET($H$3,0,0,'Données projet'!$E$9+1,1))</f>
        <v>314.07001555875894</v>
      </c>
      <c r="T167" s="59">
        <f t="shared" si="142"/>
        <v>281.53154885904991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35.864000884112933</v>
      </c>
      <c r="AA167" s="21">
        <f>EXP(-LN(2)/25)*AA166+(1-EXP(-LN(2)/25))/(LN(2)/25)*Calculateur!V167*Calculateur!X167*VLOOKUP('Données projet'!$B$9,Paramètres!$A$1:$I$89,3,0)*0.475*44/12</f>
        <v>5.6656163391711063</v>
      </c>
      <c r="AB167" s="21">
        <f>EXP(-LN(2)/2)*AB166+(1-EXP(-LN(2)/2))/(LN(2)/2)*V167*Y167*VLOOKUP('Données projet'!$B$9,Paramètres!$A$1:$I$89,3,0)*0.475*44/12</f>
        <v>5.3649901817337244E-13</v>
      </c>
      <c r="AC167" s="22">
        <f t="shared" si="163"/>
        <v>41.529617223284582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3.177547114319168E-13</v>
      </c>
      <c r="P168" s="13">
        <f t="shared" si="141"/>
        <v>4.1725404435445377E-12</v>
      </c>
      <c r="Q168" s="20">
        <f t="shared" si="162"/>
        <v>7.820597394917325E-12</v>
      </c>
      <c r="R168" s="59">
        <f t="shared" si="109"/>
        <v>293.33333333334116</v>
      </c>
      <c r="S168" s="59">
        <f ca="1">AVERAGE(OFFSET($R$3,0,0,'Données projet'!$E$9+1,1))-AVERAGE(OFFSET($H$3,0,0,'Données projet'!$E$9+1,1))</f>
        <v>314.07001555875894</v>
      </c>
      <c r="T168" s="59">
        <f t="shared" si="142"/>
        <v>281.53154885904991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35.160729701656052</v>
      </c>
      <c r="AA168" s="21">
        <f>EXP(-LN(2)/25)*AA167+(1-EXP(-LN(2)/25))/(LN(2)/25)*Calculateur!V168*Calculateur!X168*VLOOKUP('Données projet'!$B$9,Paramètres!$A$1:$I$89,3,0)*0.475*44/12</f>
        <v>5.5106897624346578</v>
      </c>
      <c r="AB168" s="21">
        <f>EXP(-LN(2)/2)*AB167+(1-EXP(-LN(2)/2))/(LN(2)/2)*V168*Y168*VLOOKUP('Données projet'!$B$9,Paramètres!$A$1:$I$89,3,0)*0.475*44/12</f>
        <v>3.7936209385031646E-13</v>
      </c>
      <c r="AC168" s="22">
        <f t="shared" si="163"/>
        <v>40.671419464091088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3.177547114319168E-13</v>
      </c>
      <c r="P169" s="13">
        <f t="shared" si="141"/>
        <v>4.1725404435445377E-12</v>
      </c>
      <c r="Q169" s="20">
        <f t="shared" si="162"/>
        <v>7.820597394917325E-12</v>
      </c>
      <c r="R169" s="59">
        <f t="shared" si="109"/>
        <v>293.33333333334116</v>
      </c>
      <c r="S169" s="59">
        <f ca="1">AVERAGE(OFFSET($R$3,0,0,'Données projet'!$E$9+1,1))-AVERAGE(OFFSET($H$3,0,0,'Données projet'!$E$9+1,1))</f>
        <v>314.07001555875894</v>
      </c>
      <c r="T169" s="59">
        <f t="shared" si="142"/>
        <v>281.53154885904991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34.471249238134085</v>
      </c>
      <c r="AA169" s="21">
        <f>EXP(-LN(2)/25)*AA168+(1-EXP(-LN(2)/25))/(LN(2)/25)*Calculateur!V169*Calculateur!X169*VLOOKUP('Données projet'!$B$9,Paramètres!$A$1:$I$89,3,0)*0.475*44/12</f>
        <v>5.3599996610863023</v>
      </c>
      <c r="AB169" s="21">
        <f>EXP(-LN(2)/2)*AB168+(1-EXP(-LN(2)/2))/(LN(2)/2)*V169*Y169*VLOOKUP('Données projet'!$B$9,Paramètres!$A$1:$I$89,3,0)*0.475*44/12</f>
        <v>2.6824950908668622E-13</v>
      </c>
      <c r="AC169" s="22">
        <f t="shared" si="163"/>
        <v>39.831248899220654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3.177547114319168E-13</v>
      </c>
      <c r="P170" s="13">
        <f t="shared" si="141"/>
        <v>4.1725404435445377E-12</v>
      </c>
      <c r="Q170" s="20">
        <f t="shared" si="162"/>
        <v>7.820597394917325E-12</v>
      </c>
      <c r="R170" s="59">
        <f t="shared" si="109"/>
        <v>293.33333333334116</v>
      </c>
      <c r="S170" s="59">
        <f ca="1">AVERAGE(OFFSET($R$3,0,0,'Données projet'!$E$9+1,1))-AVERAGE(OFFSET($H$3,0,0,'Données projet'!$E$9+1,1))</f>
        <v>314.07001555875894</v>
      </c>
      <c r="T170" s="59">
        <f t="shared" si="142"/>
        <v>281.53154885904991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33.795289065960226</v>
      </c>
      <c r="AA170" s="21">
        <f>EXP(-LN(2)/25)*AA169+(1-EXP(-LN(2)/25))/(LN(2)/25)*Calculateur!V170*Calculateur!X170*VLOOKUP('Données projet'!$B$9,Paramètres!$A$1:$I$89,3,0)*0.475*44/12</f>
        <v>5.2134301884837653</v>
      </c>
      <c r="AB170" s="21">
        <f>EXP(-LN(2)/2)*AB169+(1-EXP(-LN(2)/2))/(LN(2)/2)*V170*Y170*VLOOKUP('Données projet'!$B$9,Paramètres!$A$1:$I$89,3,0)*0.475*44/12</f>
        <v>1.8968104692515823E-13</v>
      </c>
      <c r="AC170" s="22">
        <f t="shared" si="163"/>
        <v>39.008719254444181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3.177547114319168E-13</v>
      </c>
      <c r="P171" s="13">
        <f t="shared" si="141"/>
        <v>4.1725404435445377E-12</v>
      </c>
      <c r="Q171" s="20">
        <f t="shared" si="162"/>
        <v>7.820597394917325E-12</v>
      </c>
      <c r="R171" s="59">
        <f t="shared" si="109"/>
        <v>293.33333333334116</v>
      </c>
      <c r="S171" s="59">
        <f ca="1">AVERAGE(OFFSET($R$3,0,0,'Données projet'!$E$9+1,1))-AVERAGE(OFFSET($H$3,0,0,'Données projet'!$E$9+1,1))</f>
        <v>314.07001555875894</v>
      </c>
      <c r="T171" s="59">
        <f t="shared" si="142"/>
        <v>281.53154885904991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33.1325840604677</v>
      </c>
      <c r="AA171" s="21">
        <f>EXP(-LN(2)/25)*AA170+(1-EXP(-LN(2)/25))/(LN(2)/25)*Calculateur!V171*Calculateur!X171*VLOOKUP('Données projet'!$B$9,Paramètres!$A$1:$I$89,3,0)*0.475*44/12</f>
        <v>5.0708686658172981</v>
      </c>
      <c r="AB171" s="21">
        <f>EXP(-LN(2)/2)*AB170+(1-EXP(-LN(2)/2))/(LN(2)/2)*V171*Y171*VLOOKUP('Données projet'!$B$9,Paramètres!$A$1:$I$89,3,0)*0.475*44/12</f>
        <v>1.3412475454334311E-13</v>
      </c>
      <c r="AC171" s="22">
        <f t="shared" si="163"/>
        <v>38.203452726285136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3.177547114319168E-13</v>
      </c>
      <c r="P172" s="13">
        <f t="shared" si="141"/>
        <v>4.1725404435445377E-12</v>
      </c>
      <c r="Q172" s="20">
        <f t="shared" si="162"/>
        <v>7.820597394917325E-12</v>
      </c>
      <c r="R172" s="59">
        <f t="shared" si="109"/>
        <v>293.33333333334116</v>
      </c>
      <c r="S172" s="59">
        <f ca="1">AVERAGE(OFFSET($R$3,0,0,'Données projet'!$E$9+1,1))-AVERAGE(OFFSET($H$3,0,0,'Données projet'!$E$9+1,1))</f>
        <v>314.07001555875894</v>
      </c>
      <c r="T172" s="59">
        <f t="shared" si="142"/>
        <v>281.53154885904991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32.482874295922741</v>
      </c>
      <c r="AA172" s="21">
        <f>EXP(-LN(2)/25)*AA171+(1-EXP(-LN(2)/25))/(LN(2)/25)*Calculateur!V172*Calculateur!X172*VLOOKUP('Données projet'!$B$9,Paramètres!$A$1:$I$89,3,0)*0.475*44/12</f>
        <v>4.9322054954851309</v>
      </c>
      <c r="AB172" s="21">
        <f>EXP(-LN(2)/2)*AB171+(1-EXP(-LN(2)/2))/(LN(2)/2)*V172*Y172*VLOOKUP('Données projet'!$B$9,Paramètres!$A$1:$I$89,3,0)*0.475*44/12</f>
        <v>9.4840523462579115E-14</v>
      </c>
      <c r="AC172" s="22">
        <f t="shared" si="163"/>
        <v>37.415079791407962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3.177547114319168E-13</v>
      </c>
      <c r="P173" s="13">
        <f t="shared" si="141"/>
        <v>4.1725404435445377E-12</v>
      </c>
      <c r="Q173" s="20">
        <f t="shared" si="162"/>
        <v>7.820597394917325E-12</v>
      </c>
      <c r="R173" s="59">
        <f t="shared" si="109"/>
        <v>293.33333333334116</v>
      </c>
      <c r="S173" s="59">
        <f ca="1">AVERAGE(OFFSET($R$3,0,0,'Données projet'!$E$9+1,1))-AVERAGE(OFFSET($H$3,0,0,'Données projet'!$E$9+1,1))</f>
        <v>314.07001555875894</v>
      </c>
      <c r="T173" s="59">
        <f t="shared" si="142"/>
        <v>281.53154885904991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31.845904943576684</v>
      </c>
      <c r="AA173" s="21">
        <f>EXP(-LN(2)/25)*AA172+(1-EXP(-LN(2)/25))/(LN(2)/25)*Calculateur!V173*Calculateur!X173*VLOOKUP('Données projet'!$B$9,Paramètres!$A$1:$I$89,3,0)*0.475*44/12</f>
        <v>4.797334076837676</v>
      </c>
      <c r="AB173" s="21">
        <f>EXP(-LN(2)/2)*AB172+(1-EXP(-LN(2)/2))/(LN(2)/2)*V173*Y173*VLOOKUP('Données projet'!$B$9,Paramètres!$A$1:$I$89,3,0)*0.475*44/12</f>
        <v>6.7062377271671555E-14</v>
      </c>
      <c r="AC173" s="22">
        <f t="shared" si="163"/>
        <v>36.643239020414427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3.177547114319168E-13</v>
      </c>
      <c r="P174" s="13">
        <f t="shared" si="141"/>
        <v>4.1725404435445377E-12</v>
      </c>
      <c r="Q174" s="20">
        <f t="shared" si="162"/>
        <v>7.820597394917325E-12</v>
      </c>
      <c r="R174" s="59">
        <f t="shared" si="109"/>
        <v>293.33333333334116</v>
      </c>
      <c r="S174" s="59">
        <f ca="1">AVERAGE(OFFSET($R$3,0,0,'Données projet'!$E$9+1,1))-AVERAGE(OFFSET($H$3,0,0,'Données projet'!$E$9+1,1))</f>
        <v>314.07001555875894</v>
      </c>
      <c r="T174" s="59">
        <f t="shared" si="142"/>
        <v>281.53154885904991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31.221426171717191</v>
      </c>
      <c r="AA174" s="21">
        <f>EXP(-LN(2)/25)*AA173+(1-EXP(-LN(2)/25))/(LN(2)/25)*Calculateur!V174*Calculateur!X174*VLOOKUP('Données projet'!$B$9,Paramètres!$A$1:$I$89,3,0)*0.475*44/12</f>
        <v>4.666150724225715</v>
      </c>
      <c r="AB174" s="21">
        <f>EXP(-LN(2)/2)*AB173+(1-EXP(-LN(2)/2))/(LN(2)/2)*V174*Y174*VLOOKUP('Données projet'!$B$9,Paramètres!$A$1:$I$89,3,0)*0.475*44/12</f>
        <v>4.7420261731289557E-14</v>
      </c>
      <c r="AC174" s="22">
        <f t="shared" si="163"/>
        <v>35.887576895942956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3.177547114319168E-13</v>
      </c>
      <c r="P175" s="13">
        <f t="shared" si="141"/>
        <v>4.1725404435445377E-12</v>
      </c>
      <c r="Q175" s="20">
        <f t="shared" si="162"/>
        <v>7.820597394917325E-12</v>
      </c>
      <c r="R175" s="59">
        <f t="shared" si="109"/>
        <v>293.33333333334116</v>
      </c>
      <c r="S175" s="59">
        <f ca="1">AVERAGE(OFFSET($R$3,0,0,'Données projet'!$E$9+1,1))-AVERAGE(OFFSET($H$3,0,0,'Données projet'!$E$9+1,1))</f>
        <v>314.07001555875894</v>
      </c>
      <c r="T175" s="59">
        <f t="shared" si="142"/>
        <v>281.53154885904991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30.609193047679423</v>
      </c>
      <c r="AA175" s="21">
        <f>EXP(-LN(2)/25)*AA174+(1-EXP(-LN(2)/25))/(LN(2)/25)*Calculateur!V175*Calculateur!X175*VLOOKUP('Données projet'!$B$9,Paramètres!$A$1:$I$89,3,0)*0.475*44/12</f>
        <v>4.5385545872895605</v>
      </c>
      <c r="AB175" s="21">
        <f>EXP(-LN(2)/2)*AB174+(1-EXP(-LN(2)/2))/(LN(2)/2)*V175*Y175*VLOOKUP('Données projet'!$B$9,Paramètres!$A$1:$I$89,3,0)*0.475*44/12</f>
        <v>3.3531188635835778E-14</v>
      </c>
      <c r="AC175" s="22">
        <f t="shared" si="163"/>
        <v>35.147747634969015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3.177547114319168E-13</v>
      </c>
      <c r="P176" s="13">
        <f t="shared" si="141"/>
        <v>4.1725404435445377E-12</v>
      </c>
      <c r="Q176" s="20">
        <f t="shared" si="162"/>
        <v>7.820597394917325E-12</v>
      </c>
      <c r="R176" s="59">
        <f t="shared" si="109"/>
        <v>293.33333333334116</v>
      </c>
      <c r="S176" s="59">
        <f ca="1">AVERAGE(OFFSET($R$3,0,0,'Données projet'!$E$9+1,1))-AVERAGE(OFFSET($H$3,0,0,'Données projet'!$E$9+1,1))</f>
        <v>314.07001555875894</v>
      </c>
      <c r="T176" s="59">
        <f t="shared" si="142"/>
        <v>281.53154885904991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30.008965441778702</v>
      </c>
      <c r="AA176" s="21">
        <f>EXP(-LN(2)/25)*AA175+(1-EXP(-LN(2)/25))/(LN(2)/25)*Calculateur!V176*Calculateur!X176*VLOOKUP('Données projet'!$B$9,Paramètres!$A$1:$I$89,3,0)*0.475*44/12</f>
        <v>4.4144475734279149</v>
      </c>
      <c r="AB176" s="21">
        <f>EXP(-LN(2)/2)*AB175+(1-EXP(-LN(2)/2))/(LN(2)/2)*V176*Y176*VLOOKUP('Données projet'!$B$9,Paramètres!$A$1:$I$89,3,0)*0.475*44/12</f>
        <v>2.3710130865644779E-14</v>
      </c>
      <c r="AC176" s="22">
        <f t="shared" si="163"/>
        <v>34.423413015206641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3.177547114319168E-13</v>
      </c>
      <c r="P177" s="13">
        <f t="shared" si="141"/>
        <v>4.1725404435445377E-12</v>
      </c>
      <c r="Q177" s="20">
        <f t="shared" si="162"/>
        <v>7.820597394917325E-12</v>
      </c>
      <c r="R177" s="59">
        <f t="shared" si="109"/>
        <v>293.33333333334116</v>
      </c>
      <c r="S177" s="59">
        <f ca="1">AVERAGE(OFFSET($R$3,0,0,'Données projet'!$E$9+1,1))-AVERAGE(OFFSET($H$3,0,0,'Données projet'!$E$9+1,1))</f>
        <v>314.07001555875894</v>
      </c>
      <c r="T177" s="59">
        <f t="shared" si="142"/>
        <v>281.53154885904991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29.420507933127006</v>
      </c>
      <c r="AA177" s="21">
        <f>EXP(-LN(2)/25)*AA176+(1-EXP(-LN(2)/25))/(LN(2)/25)*Calculateur!V177*Calculateur!X177*VLOOKUP('Données projet'!$B$9,Paramètres!$A$1:$I$89,3,0)*0.475*44/12</f>
        <v>4.2937342723868204</v>
      </c>
      <c r="AB177" s="21">
        <f>EXP(-LN(2)/2)*AB176+(1-EXP(-LN(2)/2))/(LN(2)/2)*V177*Y177*VLOOKUP('Données projet'!$B$9,Paramètres!$A$1:$I$89,3,0)*0.475*44/12</f>
        <v>1.6765594317917889E-14</v>
      </c>
      <c r="AC177" s="22">
        <f t="shared" si="163"/>
        <v>33.714242205513841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3.177547114319168E-13</v>
      </c>
      <c r="P178" s="13">
        <f t="shared" si="141"/>
        <v>4.1725404435445377E-12</v>
      </c>
      <c r="Q178" s="20">
        <f t="shared" si="162"/>
        <v>7.820597394917325E-12</v>
      </c>
      <c r="R178" s="59">
        <f t="shared" si="109"/>
        <v>293.33333333334116</v>
      </c>
      <c r="S178" s="59">
        <f ca="1">AVERAGE(OFFSET($R$3,0,0,'Données projet'!$E$9+1,1))-AVERAGE(OFFSET($H$3,0,0,'Données projet'!$E$9+1,1))</f>
        <v>314.07001555875894</v>
      </c>
      <c r="T178" s="59">
        <f t="shared" si="142"/>
        <v>281.53154885904991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28.843589717296329</v>
      </c>
      <c r="AA178" s="21">
        <f>EXP(-LN(2)/25)*AA177+(1-EXP(-LN(2)/25))/(LN(2)/25)*Calculateur!V178*Calculateur!X178*VLOOKUP('Données projet'!$B$9,Paramètres!$A$1:$I$89,3,0)*0.475*44/12</f>
        <v>4.1763218829107309</v>
      </c>
      <c r="AB178" s="21">
        <f>EXP(-LN(2)/2)*AB177+(1-EXP(-LN(2)/2))/(LN(2)/2)*V178*Y178*VLOOKUP('Données projet'!$B$9,Paramètres!$A$1:$I$89,3,0)*0.475*44/12</f>
        <v>1.1855065432822389E-14</v>
      </c>
      <c r="AC178" s="22">
        <f t="shared" si="163"/>
        <v>33.019911600207074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3.177547114319168E-13</v>
      </c>
      <c r="P179" s="13">
        <f t="shared" si="141"/>
        <v>4.1725404435445377E-12</v>
      </c>
      <c r="Q179" s="20">
        <f t="shared" si="162"/>
        <v>7.820597394917325E-12</v>
      </c>
      <c r="R179" s="59">
        <f t="shared" si="109"/>
        <v>293.33333333334116</v>
      </c>
      <c r="S179" s="59">
        <f ca="1">AVERAGE(OFFSET($R$3,0,0,'Données projet'!$E$9+1,1))-AVERAGE(OFFSET($H$3,0,0,'Données projet'!$E$9+1,1))</f>
        <v>314.07001555875894</v>
      </c>
      <c r="T179" s="59">
        <f t="shared" si="142"/>
        <v>281.53154885904991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28.277984515792724</v>
      </c>
      <c r="AA179" s="21">
        <f>EXP(-LN(2)/25)*AA178+(1-EXP(-LN(2)/25))/(LN(2)/25)*Calculateur!V179*Calculateur!X179*VLOOKUP('Données projet'!$B$9,Paramètres!$A$1:$I$89,3,0)*0.475*44/12</f>
        <v>4.0621201413993147</v>
      </c>
      <c r="AB179" s="21">
        <f>EXP(-LN(2)/2)*AB178+(1-EXP(-LN(2)/2))/(LN(2)/2)*V179*Y179*VLOOKUP('Données projet'!$B$9,Paramètres!$A$1:$I$89,3,0)*0.475*44/12</f>
        <v>8.3827971589589444E-15</v>
      </c>
      <c r="AC179" s="22">
        <f t="shared" si="163"/>
        <v>32.340104657192043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3.177547114319168E-13</v>
      </c>
      <c r="P180" s="13">
        <f t="shared" si="141"/>
        <v>4.1725404435445377E-12</v>
      </c>
      <c r="Q180" s="20">
        <f t="shared" si="162"/>
        <v>7.820597394917325E-12</v>
      </c>
      <c r="R180" s="59">
        <f t="shared" si="109"/>
        <v>293.33333333334116</v>
      </c>
      <c r="S180" s="59">
        <f ca="1">AVERAGE(OFFSET($R$3,0,0,'Données projet'!$E$9+1,1))-AVERAGE(OFFSET($H$3,0,0,'Données projet'!$E$9+1,1))</f>
        <v>314.07001555875894</v>
      </c>
      <c r="T180" s="59">
        <f t="shared" si="142"/>
        <v>281.53154885904991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27.723470487305498</v>
      </c>
      <c r="AA180" s="21">
        <f>EXP(-LN(2)/25)*AA179+(1-EXP(-LN(2)/25))/(LN(2)/25)*Calculateur!V180*Calculateur!X180*VLOOKUP('Données projet'!$B$9,Paramètres!$A$1:$I$89,3,0)*0.475*44/12</f>
        <v>3.9510412525151364</v>
      </c>
      <c r="AB180" s="21">
        <f>EXP(-LN(2)/2)*AB179+(1-EXP(-LN(2)/2))/(LN(2)/2)*V180*Y180*VLOOKUP('Données projet'!$B$9,Paramètres!$A$1:$I$89,3,0)*0.475*44/12</f>
        <v>5.9275327164111947E-15</v>
      </c>
      <c r="AC180" s="22">
        <f t="shared" si="163"/>
        <v>31.674511739820641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3.177547114319168E-13</v>
      </c>
      <c r="P181" s="13">
        <f t="shared" si="141"/>
        <v>4.1725404435445377E-12</v>
      </c>
      <c r="Q181" s="20">
        <f t="shared" si="162"/>
        <v>7.820597394917325E-12</v>
      </c>
      <c r="R181" s="59">
        <f t="shared" si="109"/>
        <v>293.33333333334116</v>
      </c>
      <c r="S181" s="59">
        <f ca="1">AVERAGE(OFFSET($R$3,0,0,'Données projet'!$E$9+1,1))-AVERAGE(OFFSET($H$3,0,0,'Données projet'!$E$9+1,1))</f>
        <v>314.07001555875894</v>
      </c>
      <c r="T181" s="59">
        <f t="shared" si="142"/>
        <v>281.53154885904991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27.179830140696744</v>
      </c>
      <c r="AA181" s="21">
        <f>EXP(-LN(2)/25)*AA180+(1-EXP(-LN(2)/25))/(LN(2)/25)*Calculateur!V181*Calculateur!X181*VLOOKUP('Données projet'!$B$9,Paramètres!$A$1:$I$89,3,0)*0.475*44/12</f>
        <v>3.8429998216888808</v>
      </c>
      <c r="AB181" s="21">
        <f>EXP(-LN(2)/2)*AB180+(1-EXP(-LN(2)/2))/(LN(2)/2)*V181*Y181*VLOOKUP('Données projet'!$B$9,Paramètres!$A$1:$I$89,3,0)*0.475*44/12</f>
        <v>4.1913985794794722E-15</v>
      </c>
      <c r="AC181" s="22">
        <f t="shared" si="163"/>
        <v>31.022829962385629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3.177547114319168E-13</v>
      </c>
      <c r="P182" s="13">
        <f t="shared" si="141"/>
        <v>4.1725404435445377E-12</v>
      </c>
      <c r="Q182" s="20">
        <f t="shared" si="162"/>
        <v>7.820597394917325E-12</v>
      </c>
      <c r="R182" s="59">
        <f t="shared" si="109"/>
        <v>293.33333333334116</v>
      </c>
      <c r="S182" s="59">
        <f ca="1">AVERAGE(OFFSET($R$3,0,0,'Données projet'!$E$9+1,1))-AVERAGE(OFFSET($H$3,0,0,'Données projet'!$E$9+1,1))</f>
        <v>314.07001555875894</v>
      </c>
      <c r="T182" s="59">
        <f t="shared" si="142"/>
        <v>281.53154885904991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26.64685024969712</v>
      </c>
      <c r="AA182" s="21">
        <f>EXP(-LN(2)/25)*AA181+(1-EXP(-LN(2)/25))/(LN(2)/25)*Calculateur!V182*Calculateur!X182*VLOOKUP('Données projet'!$B$9,Paramètres!$A$1:$I$89,3,0)*0.475*44/12</f>
        <v>3.7379127894702209</v>
      </c>
      <c r="AB182" s="21">
        <f>EXP(-LN(2)/2)*AB181+(1-EXP(-LN(2)/2))/(LN(2)/2)*V182*Y182*VLOOKUP('Données projet'!$B$9,Paramètres!$A$1:$I$89,3,0)*0.475*44/12</f>
        <v>2.9637663582055973E-15</v>
      </c>
      <c r="AC182" s="22">
        <f t="shared" si="163"/>
        <v>30.384763039167346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3.177547114319168E-13</v>
      </c>
      <c r="P183" s="13">
        <f t="shared" si="141"/>
        <v>4.1725404435445377E-12</v>
      </c>
      <c r="Q183" s="20">
        <f t="shared" si="162"/>
        <v>7.820597394917325E-12</v>
      </c>
      <c r="R183" s="59">
        <f t="shared" si="109"/>
        <v>293.33333333334116</v>
      </c>
      <c r="S183" s="59">
        <f ca="1">AVERAGE(OFFSET($R$3,0,0,'Données projet'!$E$9+1,1))-AVERAGE(OFFSET($H$3,0,0,'Données projet'!$E$9+1,1))</f>
        <v>314.07001555875894</v>
      </c>
      <c r="T183" s="59">
        <f t="shared" si="142"/>
        <v>281.53154885904991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26.124321769274363</v>
      </c>
      <c r="AA183" s="21">
        <f>EXP(-LN(2)/25)*AA182+(1-EXP(-LN(2)/25))/(LN(2)/25)*Calculateur!V183*Calculateur!X183*VLOOKUP('Données projet'!$B$9,Paramètres!$A$1:$I$89,3,0)*0.475*44/12</f>
        <v>3.6356993676738671</v>
      </c>
      <c r="AB183" s="21">
        <f>EXP(-LN(2)/2)*AB182+(1-EXP(-LN(2)/2))/(LN(2)/2)*V183*Y183*VLOOKUP('Données projet'!$B$9,Paramètres!$A$1:$I$89,3,0)*0.475*44/12</f>
        <v>2.0956992897397361E-15</v>
      </c>
      <c r="AC183" s="22">
        <f t="shared" si="163"/>
        <v>29.760021136948236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3.177547114319168E-13</v>
      </c>
      <c r="P184" s="13">
        <f t="shared" si="141"/>
        <v>4.1725404435445377E-12</v>
      </c>
      <c r="Q184" s="20">
        <f t="shared" si="162"/>
        <v>7.820597394917325E-12</v>
      </c>
      <c r="R184" s="59">
        <f t="shared" si="109"/>
        <v>293.33333333334116</v>
      </c>
      <c r="S184" s="59">
        <f ca="1">AVERAGE(OFFSET($R$3,0,0,'Données projet'!$E$9+1,1))-AVERAGE(OFFSET($H$3,0,0,'Données projet'!$E$9+1,1))</f>
        <v>314.07001555875894</v>
      </c>
      <c r="T184" s="59">
        <f t="shared" si="142"/>
        <v>281.53154885904991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25.612039753641795</v>
      </c>
      <c r="AA184" s="21">
        <f>EXP(-LN(2)/25)*AA183+(1-EXP(-LN(2)/25))/(LN(2)/25)*Calculateur!V184*Calculateur!X184*VLOOKUP('Données projet'!$B$9,Paramètres!$A$1:$I$89,3,0)*0.475*44/12</f>
        <v>3.536280977271705</v>
      </c>
      <c r="AB184" s="21">
        <f>EXP(-LN(2)/2)*AB183+(1-EXP(-LN(2)/2))/(LN(2)/2)*V184*Y184*VLOOKUP('Données projet'!$B$9,Paramètres!$A$1:$I$89,3,0)*0.475*44/12</f>
        <v>1.4818831791027987E-15</v>
      </c>
      <c r="AC184" s="22">
        <f t="shared" si="163"/>
        <v>29.1483207309135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3.177547114319168E-13</v>
      </c>
      <c r="P185" s="13">
        <f t="shared" si="141"/>
        <v>4.1725404435445377E-12</v>
      </c>
      <c r="Q185" s="20">
        <f t="shared" si="162"/>
        <v>7.820597394917325E-12</v>
      </c>
      <c r="R185" s="59">
        <f t="shared" si="109"/>
        <v>293.33333333334116</v>
      </c>
      <c r="S185" s="59">
        <f ca="1">AVERAGE(OFFSET($R$3,0,0,'Données projet'!$E$9+1,1))-AVERAGE(OFFSET($H$3,0,0,'Données projet'!$E$9+1,1))</f>
        <v>314.07001555875894</v>
      </c>
      <c r="T185" s="59">
        <f t="shared" si="142"/>
        <v>281.53154885904991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25.109803275874604</v>
      </c>
      <c r="AA185" s="21">
        <f>EXP(-LN(2)/25)*AA184+(1-EXP(-LN(2)/25))/(LN(2)/25)*Calculateur!V185*Calculateur!X185*VLOOKUP('Données projet'!$B$9,Paramètres!$A$1:$I$89,3,0)*0.475*44/12</f>
        <v>3.4395811879832761</v>
      </c>
      <c r="AB185" s="21">
        <f>EXP(-LN(2)/2)*AB184+(1-EXP(-LN(2)/2))/(LN(2)/2)*V185*Y185*VLOOKUP('Données projet'!$B$9,Paramètres!$A$1:$I$89,3,0)*0.475*44/12</f>
        <v>1.047849644869868E-15</v>
      </c>
      <c r="AC185" s="22">
        <f t="shared" si="163"/>
        <v>28.54938446385788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3.177547114319168E-13</v>
      </c>
      <c r="P186" s="13">
        <f t="shared" si="141"/>
        <v>4.1725404435445377E-12</v>
      </c>
      <c r="Q186" s="20">
        <f t="shared" si="162"/>
        <v>7.820597394917325E-12</v>
      </c>
      <c r="R186" s="59">
        <f t="shared" si="109"/>
        <v>293.33333333334116</v>
      </c>
      <c r="S186" s="59">
        <f ca="1">AVERAGE(OFFSET($R$3,0,0,'Données projet'!$E$9+1,1))-AVERAGE(OFFSET($H$3,0,0,'Données projet'!$E$9+1,1))</f>
        <v>314.07001555875894</v>
      </c>
      <c r="T186" s="59">
        <f t="shared" si="142"/>
        <v>281.53154885904991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24.617415349102426</v>
      </c>
      <c r="AA186" s="21">
        <f>EXP(-LN(2)/25)*AA185+(1-EXP(-LN(2)/25))/(LN(2)/25)*Calculateur!V186*Calculateur!X186*VLOOKUP('Données projet'!$B$9,Paramètres!$A$1:$I$89,3,0)*0.475*44/12</f>
        <v>3.3455256595181599</v>
      </c>
      <c r="AB186" s="21">
        <f>EXP(-LN(2)/2)*AB185+(1-EXP(-LN(2)/2))/(LN(2)/2)*V186*Y186*VLOOKUP('Données projet'!$B$9,Paramètres!$A$1:$I$89,3,0)*0.475*44/12</f>
        <v>7.4094158955139933E-16</v>
      </c>
      <c r="AC186" s="22">
        <f t="shared" si="163"/>
        <v>27.962941008620586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3.177547114319168E-13</v>
      </c>
      <c r="P187" s="13">
        <f t="shared" si="141"/>
        <v>4.1725404435445377E-12</v>
      </c>
      <c r="Q187" s="20">
        <f t="shared" si="162"/>
        <v>7.820597394917325E-12</v>
      </c>
      <c r="R187" s="59">
        <f t="shared" si="109"/>
        <v>293.33333333334116</v>
      </c>
      <c r="S187" s="59">
        <f ca="1">AVERAGE(OFFSET($R$3,0,0,'Données projet'!$E$9+1,1))-AVERAGE(OFFSET($H$3,0,0,'Données projet'!$E$9+1,1))</f>
        <v>314.07001555875894</v>
      </c>
      <c r="T187" s="59">
        <f t="shared" si="142"/>
        <v>281.53154885904991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24.13468284924727</v>
      </c>
      <c r="AA187" s="21">
        <f>EXP(-LN(2)/25)*AA186+(1-EXP(-LN(2)/25))/(LN(2)/25)*Calculateur!V187*Calculateur!X187*VLOOKUP('Données projet'!$B$9,Paramètres!$A$1:$I$89,3,0)*0.475*44/12</f>
        <v>3.2540420844250879</v>
      </c>
      <c r="AB187" s="21">
        <f>EXP(-LN(2)/2)*AB186+(1-EXP(-LN(2)/2))/(LN(2)/2)*V187*Y187*VLOOKUP('Données projet'!$B$9,Paramètres!$A$1:$I$89,3,0)*0.475*44/12</f>
        <v>5.2392482243493402E-16</v>
      </c>
      <c r="AC187" s="22">
        <f t="shared" si="163"/>
        <v>27.388724933672357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3.177547114319168E-13</v>
      </c>
      <c r="P188" s="13">
        <f t="shared" si="141"/>
        <v>4.1725404435445377E-12</v>
      </c>
      <c r="Q188" s="20">
        <f t="shared" si="162"/>
        <v>7.820597394917325E-12</v>
      </c>
      <c r="R188" s="59">
        <f t="shared" si="109"/>
        <v>293.33333333334116</v>
      </c>
      <c r="S188" s="59">
        <f ca="1">AVERAGE(OFFSET($R$3,0,0,'Données projet'!$E$9+1,1))-AVERAGE(OFFSET($H$3,0,0,'Données projet'!$E$9+1,1))</f>
        <v>314.07001555875894</v>
      </c>
      <c r="T188" s="59">
        <f t="shared" si="142"/>
        <v>281.53154885904991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23.661416439276518</v>
      </c>
      <c r="AA188" s="21">
        <f>EXP(-LN(2)/25)*AA187+(1-EXP(-LN(2)/25))/(LN(2)/25)*Calculateur!V188*Calculateur!X188*VLOOKUP('Données projet'!$B$9,Paramètres!$A$1:$I$89,3,0)*0.475*44/12</f>
        <v>3.1650601325038479</v>
      </c>
      <c r="AB188" s="21">
        <f>EXP(-LN(2)/2)*AB187+(1-EXP(-LN(2)/2))/(LN(2)/2)*V188*Y188*VLOOKUP('Données projet'!$B$9,Paramètres!$A$1:$I$89,3,0)*0.475*44/12</f>
        <v>3.7047079477569967E-16</v>
      </c>
      <c r="AC188" s="22">
        <f t="shared" si="163"/>
        <v>26.826476571780365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3.177547114319168E-13</v>
      </c>
      <c r="P189" s="13">
        <f t="shared" si="141"/>
        <v>4.1725404435445377E-12</v>
      </c>
      <c r="Q189" s="20">
        <f t="shared" si="162"/>
        <v>7.820597394917325E-12</v>
      </c>
      <c r="R189" s="59">
        <f t="shared" si="109"/>
        <v>293.33333333334116</v>
      </c>
      <c r="S189" s="59">
        <f ca="1">AVERAGE(OFFSET($R$3,0,0,'Données projet'!$E$9+1,1))-AVERAGE(OFFSET($H$3,0,0,'Données projet'!$E$9+1,1))</f>
        <v>314.07001555875894</v>
      </c>
      <c r="T189" s="59">
        <f t="shared" si="142"/>
        <v>281.53154885904991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23.197430494941287</v>
      </c>
      <c r="AA189" s="21">
        <f>EXP(-LN(2)/25)*AA188+(1-EXP(-LN(2)/25))/(LN(2)/25)*Calculateur!V189*Calculateur!X189*VLOOKUP('Données projet'!$B$9,Paramètres!$A$1:$I$89,3,0)*0.475*44/12</f>
        <v>3.0785113967372517</v>
      </c>
      <c r="AB189" s="21">
        <f>EXP(-LN(2)/2)*AB188+(1-EXP(-LN(2)/2))/(LN(2)/2)*V189*Y189*VLOOKUP('Données projet'!$B$9,Paramètres!$A$1:$I$89,3,0)*0.475*44/12</f>
        <v>2.6196241121746701E-16</v>
      </c>
      <c r="AC189" s="22">
        <f t="shared" si="163"/>
        <v>26.275941891678539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3.177547114319168E-13</v>
      </c>
      <c r="P190" s="13">
        <f t="shared" si="141"/>
        <v>4.1725404435445377E-12</v>
      </c>
      <c r="Q190" s="20">
        <f t="shared" si="162"/>
        <v>7.820597394917325E-12</v>
      </c>
      <c r="R190" s="59">
        <f t="shared" si="109"/>
        <v>293.33333333334116</v>
      </c>
      <c r="S190" s="59">
        <f ca="1">AVERAGE(OFFSET($R$3,0,0,'Données projet'!$E$9+1,1))-AVERAGE(OFFSET($H$3,0,0,'Données projet'!$E$9+1,1))</f>
        <v>314.07001555875894</v>
      </c>
      <c r="T190" s="59">
        <f t="shared" si="142"/>
        <v>281.53154885904991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22.742543031970989</v>
      </c>
      <c r="AA190" s="21">
        <f>EXP(-LN(2)/25)*AA189+(1-EXP(-LN(2)/25))/(LN(2)/25)*Calculateur!V190*Calculateur!X190*VLOOKUP('Données projet'!$B$9,Paramètres!$A$1:$I$89,3,0)*0.475*44/12</f>
        <v>2.9943293407015932</v>
      </c>
      <c r="AB190" s="21">
        <f>EXP(-LN(2)/2)*AB189+(1-EXP(-LN(2)/2))/(LN(2)/2)*V190*Y190*VLOOKUP('Données projet'!$B$9,Paramètres!$A$1:$I$89,3,0)*0.475*44/12</f>
        <v>1.8523539738784983E-16</v>
      </c>
      <c r="AC190" s="22">
        <f t="shared" si="163"/>
        <v>25.736872372672583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3.177547114319168E-13</v>
      </c>
      <c r="P191" s="13">
        <f t="shared" si="141"/>
        <v>4.1725404435445377E-12</v>
      </c>
      <c r="Q191" s="20">
        <f t="shared" si="162"/>
        <v>7.820597394917325E-12</v>
      </c>
      <c r="R191" s="59">
        <f t="shared" si="109"/>
        <v>293.33333333334116</v>
      </c>
      <c r="S191" s="59">
        <f ca="1">AVERAGE(OFFSET($R$3,0,0,'Données projet'!$E$9+1,1))-AVERAGE(OFFSET($H$3,0,0,'Données projet'!$E$9+1,1))</f>
        <v>314.07001555875894</v>
      </c>
      <c r="T191" s="59">
        <f t="shared" si="142"/>
        <v>281.53154885904991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22.296575634695582</v>
      </c>
      <c r="AA191" s="21">
        <f>EXP(-LN(2)/25)*AA190+(1-EXP(-LN(2)/25))/(LN(2)/25)*Calculateur!V191*Calculateur!X191*VLOOKUP('Données projet'!$B$9,Paramètres!$A$1:$I$89,3,0)*0.475*44/12</f>
        <v>2.9124492474151715</v>
      </c>
      <c r="AB191" s="21">
        <f>EXP(-LN(2)/2)*AB190+(1-EXP(-LN(2)/2))/(LN(2)/2)*V191*Y191*VLOOKUP('Données projet'!$B$9,Paramètres!$A$1:$I$89,3,0)*0.475*44/12</f>
        <v>1.3098120560873351E-16</v>
      </c>
      <c r="AC191" s="22">
        <f t="shared" si="163"/>
        <v>25.209024882110754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3.177547114319168E-13</v>
      </c>
      <c r="P192" s="13">
        <f t="shared" si="141"/>
        <v>4.1725404435445377E-12</v>
      </c>
      <c r="Q192" s="20">
        <f t="shared" si="162"/>
        <v>7.820597394917325E-12</v>
      </c>
      <c r="R192" s="59">
        <f t="shared" si="109"/>
        <v>293.33333333334116</v>
      </c>
      <c r="S192" s="59">
        <f ca="1">AVERAGE(OFFSET($R$3,0,0,'Données projet'!$E$9+1,1))-AVERAGE(OFFSET($H$3,0,0,'Données projet'!$E$9+1,1))</f>
        <v>314.07001555875894</v>
      </c>
      <c r="T192" s="59">
        <f t="shared" si="142"/>
        <v>281.53154885904991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21.859353386067493</v>
      </c>
      <c r="AA192" s="21">
        <f>EXP(-LN(2)/25)*AA191+(1-EXP(-LN(2)/25))/(LN(2)/25)*Calculateur!V192*Calculateur!X192*VLOOKUP('Données projet'!$B$9,Paramètres!$A$1:$I$89,3,0)*0.475*44/12</f>
        <v>2.832808169585554</v>
      </c>
      <c r="AB192" s="21">
        <f>EXP(-LN(2)/2)*AB191+(1-EXP(-LN(2)/2))/(LN(2)/2)*V192*Y192*VLOOKUP('Données projet'!$B$9,Paramètres!$A$1:$I$89,3,0)*0.475*44/12</f>
        <v>9.2617698693924917E-17</v>
      </c>
      <c r="AC192" s="22">
        <f t="shared" si="163"/>
        <v>24.692161555653048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3.177547114319168E-13</v>
      </c>
      <c r="P193" s="13">
        <f t="shared" si="141"/>
        <v>4.1725404435445377E-12</v>
      </c>
      <c r="Q193" s="20">
        <f t="shared" si="162"/>
        <v>7.820597394917325E-12</v>
      </c>
      <c r="R193" s="59">
        <f t="shared" si="109"/>
        <v>293.33333333334116</v>
      </c>
      <c r="S193" s="59">
        <f ca="1">AVERAGE(OFFSET($R$3,0,0,'Données projet'!$E$9+1,1))-AVERAGE(OFFSET($H$3,0,0,'Données projet'!$E$9+1,1))</f>
        <v>314.07001555875894</v>
      </c>
      <c r="T193" s="59">
        <f t="shared" si="142"/>
        <v>281.53154885904991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21.430704799055761</v>
      </c>
      <c r="AA193" s="21">
        <f>EXP(-LN(2)/25)*AA192+(1-EXP(-LN(2)/25))/(LN(2)/25)*Calculateur!V193*Calculateur!X193*VLOOKUP('Données projet'!$B$9,Paramètres!$A$1:$I$89,3,0)*0.475*44/12</f>
        <v>2.7553448812173298</v>
      </c>
      <c r="AB193" s="21">
        <f>EXP(-LN(2)/2)*AB192+(1-EXP(-LN(2)/2))/(LN(2)/2)*V193*Y193*VLOOKUP('Données projet'!$B$9,Paramètres!$A$1:$I$89,3,0)*0.475*44/12</f>
        <v>6.5490602804366753E-17</v>
      </c>
      <c r="AC193" s="22">
        <f t="shared" si="163"/>
        <v>24.18604968027309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3.177547114319168E-13</v>
      </c>
      <c r="P194" s="13">
        <f t="shared" si="141"/>
        <v>4.1725404435445377E-12</v>
      </c>
      <c r="Q194" s="20">
        <f t="shared" si="162"/>
        <v>7.820597394917325E-12</v>
      </c>
      <c r="R194" s="59">
        <f t="shared" si="109"/>
        <v>293.33333333334116</v>
      </c>
      <c r="S194" s="59">
        <f ca="1">AVERAGE(OFFSET($R$3,0,0,'Données projet'!$E$9+1,1))-AVERAGE(OFFSET($H$3,0,0,'Données projet'!$E$9+1,1))</f>
        <v>314.07001555875894</v>
      </c>
      <c r="T194" s="59">
        <f t="shared" si="142"/>
        <v>281.53154885904991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21.010461749385506</v>
      </c>
      <c r="AA194" s="21">
        <f>EXP(-LN(2)/25)*AA193+(1-EXP(-LN(2)/25))/(LN(2)/25)*Calculateur!V194*Calculateur!X194*VLOOKUP('Données projet'!$B$9,Paramètres!$A$1:$I$89,3,0)*0.475*44/12</f>
        <v>2.6799998305431521</v>
      </c>
      <c r="AB194" s="21">
        <f>EXP(-LN(2)/2)*AB193+(1-EXP(-LN(2)/2))/(LN(2)/2)*V194*Y194*VLOOKUP('Données projet'!$B$9,Paramètres!$A$1:$I$89,3,0)*0.475*44/12</f>
        <v>4.6308849346962458E-17</v>
      </c>
      <c r="AC194" s="22">
        <f t="shared" si="163"/>
        <v>23.690461579928659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3.177547114319168E-13</v>
      </c>
      <c r="P195" s="13">
        <f t="shared" si="141"/>
        <v>4.1725404435445377E-12</v>
      </c>
      <c r="Q195" s="20">
        <f t="shared" si="162"/>
        <v>7.820597394917325E-12</v>
      </c>
      <c r="R195" s="59">
        <f t="shared" ref="R195:R203" si="191">Q195+(I195+J195)*44/12</f>
        <v>293.33333333334116</v>
      </c>
      <c r="S195" s="59">
        <f ca="1">AVERAGE(OFFSET($R$3,0,0,'Données projet'!$E$9+1,1))-AVERAGE(OFFSET($H$3,0,0,'Données projet'!$E$9+1,1))</f>
        <v>314.07001555875894</v>
      </c>
      <c r="T195" s="59">
        <f t="shared" si="142"/>
        <v>281.53154885904991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20.598459409596337</v>
      </c>
      <c r="AA195" s="21">
        <f>EXP(-LN(2)/25)*AA194+(1-EXP(-LN(2)/25))/(LN(2)/25)*Calculateur!V195*Calculateur!X195*VLOOKUP('Données projet'!$B$9,Paramètres!$A$1:$I$89,3,0)*0.475*44/12</f>
        <v>2.6067150942418835</v>
      </c>
      <c r="AB195" s="21">
        <f>EXP(-LN(2)/2)*AB194+(1-EXP(-LN(2)/2))/(LN(2)/2)*V195*Y195*VLOOKUP('Données projet'!$B$9,Paramètres!$A$1:$I$89,3,0)*0.475*44/12</f>
        <v>3.2745301402183376E-17</v>
      </c>
      <c r="AC195" s="22">
        <f t="shared" si="163"/>
        <v>23.205174503838222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3.177547114319168E-13</v>
      </c>
      <c r="P196" s="13">
        <f t="shared" si="141"/>
        <v>4.1725404435445377E-12</v>
      </c>
      <c r="Q196" s="20">
        <f t="shared" si="162"/>
        <v>7.820597394917325E-12</v>
      </c>
      <c r="R196" s="59">
        <f t="shared" si="191"/>
        <v>293.33333333334116</v>
      </c>
      <c r="S196" s="59">
        <f ca="1">AVERAGE(OFFSET($R$3,0,0,'Données projet'!$E$9+1,1))-AVERAGE(OFFSET($H$3,0,0,'Données projet'!$E$9+1,1))</f>
        <v>314.07001555875894</v>
      </c>
      <c r="T196" s="59">
        <f t="shared" si="142"/>
        <v>281.53154885904991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20.194536184393819</v>
      </c>
      <c r="AA196" s="21">
        <f>EXP(-LN(2)/25)*AA195+(1-EXP(-LN(2)/25))/(LN(2)/25)*Calculateur!V196*Calculateur!X196*VLOOKUP('Données projet'!$B$9,Paramètres!$A$1:$I$89,3,0)*0.475*44/12</f>
        <v>2.5354343329086499</v>
      </c>
      <c r="AB196" s="21">
        <f>EXP(-LN(2)/2)*AB195+(1-EXP(-LN(2)/2))/(LN(2)/2)*V196*Y196*VLOOKUP('Données projet'!$B$9,Paramètres!$A$1:$I$89,3,0)*0.475*44/12</f>
        <v>2.3154424673481229E-17</v>
      </c>
      <c r="AC196" s="22">
        <f t="shared" si="163"/>
        <v>22.729970517302469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3.177547114319168E-13</v>
      </c>
      <c r="P197" s="13">
        <f t="shared" ref="P197:P203" si="203">EXP(-1.0587+0.8836*LN(O197)+0.284)</f>
        <v>4.1725404435445377E-12</v>
      </c>
      <c r="Q197" s="20">
        <f t="shared" si="162"/>
        <v>7.820597394917325E-12</v>
      </c>
      <c r="R197" s="59">
        <f t="shared" si="191"/>
        <v>293.33333333334116</v>
      </c>
      <c r="S197" s="59">
        <f ca="1">AVERAGE(OFFSET($R$3,0,0,'Données projet'!$E$9+1,1))-AVERAGE(OFFSET($H$3,0,0,'Données projet'!$E$9+1,1))</f>
        <v>314.07001555875894</v>
      </c>
      <c r="T197" s="59">
        <f t="shared" ref="T197:T203" si="204">$T$3</f>
        <v>281.53154885904991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19.79853364726868</v>
      </c>
      <c r="AA197" s="21">
        <f>EXP(-LN(2)/25)*AA196+(1-EXP(-LN(2)/25))/(LN(2)/25)*Calculateur!V197*Calculateur!X197*VLOOKUP('Données projet'!$B$9,Paramètres!$A$1:$I$89,3,0)*0.475*44/12</f>
        <v>2.4661027477425663</v>
      </c>
      <c r="AB197" s="21">
        <f>EXP(-LN(2)/2)*AB196+(1-EXP(-LN(2)/2))/(LN(2)/2)*V197*Y197*VLOOKUP('Données projet'!$B$9,Paramètres!$A$1:$I$89,3,0)*0.475*44/12</f>
        <v>1.6372650701091688E-17</v>
      </c>
      <c r="AC197" s="22">
        <f t="shared" si="163"/>
        <v>22.264636395011248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3.177547114319168E-13</v>
      </c>
      <c r="P198" s="13">
        <f t="shared" si="203"/>
        <v>4.1725404435445377E-12</v>
      </c>
      <c r="Q198" s="20">
        <f t="shared" si="162"/>
        <v>7.820597394917325E-12</v>
      </c>
      <c r="R198" s="59">
        <f t="shared" si="191"/>
        <v>293.33333333334116</v>
      </c>
      <c r="S198" s="59">
        <f ca="1">AVERAGE(OFFSET($R$3,0,0,'Données projet'!$E$9+1,1))-AVERAGE(OFFSET($H$3,0,0,'Données projet'!$E$9+1,1))</f>
        <v>314.07001555875894</v>
      </c>
      <c r="T198" s="59">
        <f t="shared" si="204"/>
        <v>281.53154885904991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19.41029647835887</v>
      </c>
      <c r="AA198" s="21">
        <f>EXP(-LN(2)/25)*AA197+(1-EXP(-LN(2)/25))/(LN(2)/25)*Calculateur!V198*Calculateur!X198*VLOOKUP('Données projet'!$B$9,Paramètres!$A$1:$I$89,3,0)*0.475*44/12</f>
        <v>2.3986670384188389</v>
      </c>
      <c r="AB198" s="21">
        <f>EXP(-LN(2)/2)*AB197+(1-EXP(-LN(2)/2))/(LN(2)/2)*V198*Y198*VLOOKUP('Données projet'!$B$9,Paramètres!$A$1:$I$89,3,0)*0.475*44/12</f>
        <v>1.1577212336740615E-17</v>
      </c>
      <c r="AC198" s="22">
        <f t="shared" si="163"/>
        <v>21.808963516777709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3.177547114319168E-13</v>
      </c>
      <c r="P199" s="13">
        <f t="shared" si="203"/>
        <v>4.1725404435445377E-12</v>
      </c>
      <c r="Q199" s="20">
        <f t="shared" si="162"/>
        <v>7.820597394917325E-12</v>
      </c>
      <c r="R199" s="59">
        <f t="shared" si="191"/>
        <v>293.33333333334116</v>
      </c>
      <c r="S199" s="59">
        <f ca="1">AVERAGE(OFFSET($R$3,0,0,'Données projet'!$E$9+1,1))-AVERAGE(OFFSET($H$3,0,0,'Données projet'!$E$9+1,1))</f>
        <v>314.07001555875894</v>
      </c>
      <c r="T199" s="59">
        <f t="shared" si="204"/>
        <v>281.53154885904991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19.029672403530089</v>
      </c>
      <c r="AA199" s="21">
        <f>EXP(-LN(2)/25)*AA198+(1-EXP(-LN(2)/25))/(LN(2)/25)*Calculateur!V199*Calculateur!X199*VLOOKUP('Données projet'!$B$9,Paramètres!$A$1:$I$89,3,0)*0.475*44/12</f>
        <v>2.3330753621128584</v>
      </c>
      <c r="AB199" s="21">
        <f>EXP(-LN(2)/2)*AB198+(1-EXP(-LN(2)/2))/(LN(2)/2)*V199*Y199*VLOOKUP('Données projet'!$B$9,Paramètres!$A$1:$I$89,3,0)*0.475*44/12</f>
        <v>8.1863253505458441E-18</v>
      </c>
      <c r="AC199" s="22">
        <f t="shared" si="163"/>
        <v>21.362747765642947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3.177547114319168E-13</v>
      </c>
      <c r="P200" s="13">
        <f t="shared" si="203"/>
        <v>4.1725404435445377E-12</v>
      </c>
      <c r="Q200" s="20">
        <f t="shared" si="162"/>
        <v>7.820597394917325E-12</v>
      </c>
      <c r="R200" s="59">
        <f t="shared" si="191"/>
        <v>293.33333333334116</v>
      </c>
      <c r="S200" s="59">
        <f ca="1">AVERAGE(OFFSET($R$3,0,0,'Données projet'!$E$9+1,1))-AVERAGE(OFFSET($H$3,0,0,'Données projet'!$E$9+1,1))</f>
        <v>314.07001555875894</v>
      </c>
      <c r="T200" s="59">
        <f t="shared" si="204"/>
        <v>281.53154885904991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18.656512134650939</v>
      </c>
      <c r="AA200" s="21">
        <f>EXP(-LN(2)/25)*AA199+(1-EXP(-LN(2)/25))/(LN(2)/25)*Calculateur!V200*Calculateur!X200*VLOOKUP('Données projet'!$B$9,Paramètres!$A$1:$I$89,3,0)*0.475*44/12</f>
        <v>2.2692772936447811</v>
      </c>
      <c r="AB200" s="21">
        <f>EXP(-LN(2)/2)*AB199+(1-EXP(-LN(2)/2))/(LN(2)/2)*V200*Y200*VLOOKUP('Données projet'!$B$9,Paramètres!$A$1:$I$89,3,0)*0.475*44/12</f>
        <v>5.7886061683703073E-18</v>
      </c>
      <c r="AC200" s="22">
        <f t="shared" si="163"/>
        <v>20.925789428295719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3.177547114319168E-13</v>
      </c>
      <c r="P201" s="13">
        <f t="shared" si="203"/>
        <v>4.1725404435445377E-12</v>
      </c>
      <c r="Q201" s="20">
        <f t="shared" si="162"/>
        <v>7.820597394917325E-12</v>
      </c>
      <c r="R201" s="59">
        <f t="shared" si="191"/>
        <v>293.33333333334116</v>
      </c>
      <c r="S201" s="59">
        <f ca="1">AVERAGE(OFFSET($R$3,0,0,'Données projet'!$E$9+1,1))-AVERAGE(OFFSET($H$3,0,0,'Données projet'!$E$9+1,1))</f>
        <v>314.07001555875894</v>
      </c>
      <c r="T201" s="59">
        <f t="shared" si="204"/>
        <v>281.53154885904991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18.290669311039217</v>
      </c>
      <c r="AA201" s="21">
        <f>EXP(-LN(2)/25)*AA200+(1-EXP(-LN(2)/25))/(LN(2)/25)*Calculateur!V201*Calculateur!X201*VLOOKUP('Données projet'!$B$9,Paramètres!$A$1:$I$89,3,0)*0.475*44/12</f>
        <v>2.2072237867139584</v>
      </c>
      <c r="AB201" s="21">
        <f>EXP(-LN(2)/2)*AB200+(1-EXP(-LN(2)/2))/(LN(2)/2)*V201*Y201*VLOOKUP('Données projet'!$B$9,Paramètres!$A$1:$I$89,3,0)*0.475*44/12</f>
        <v>4.0931626752729221E-18</v>
      </c>
      <c r="AC201" s="22">
        <f t="shared" si="163"/>
        <v>20.497893097753174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3.177547114319168E-13</v>
      </c>
      <c r="P202" s="13">
        <f t="shared" si="203"/>
        <v>4.1725404435445377E-12</v>
      </c>
      <c r="Q202" s="20">
        <f t="shared" si="162"/>
        <v>7.820597394917325E-12</v>
      </c>
      <c r="R202" s="59">
        <f t="shared" si="191"/>
        <v>293.33333333334116</v>
      </c>
      <c r="S202" s="59">
        <f ca="1">AVERAGE(OFFSET($R$3,0,0,'Données projet'!$E$9+1,1))-AVERAGE(OFFSET($H$3,0,0,'Données projet'!$E$9+1,1))</f>
        <v>314.07001555875894</v>
      </c>
      <c r="T202" s="59">
        <f t="shared" si="204"/>
        <v>281.53154885904991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17.932000442056435</v>
      </c>
      <c r="AA202" s="21">
        <f>EXP(-LN(2)/25)*AA201+(1-EXP(-LN(2)/25))/(LN(2)/25)*Calculateur!V202*Calculateur!X202*VLOOKUP('Données projet'!$B$9,Paramètres!$A$1:$I$89,3,0)*0.475*44/12</f>
        <v>2.1468671361934111</v>
      </c>
      <c r="AB202" s="21">
        <f>EXP(-LN(2)/2)*AB201+(1-EXP(-LN(2)/2))/(LN(2)/2)*V202*Y202*VLOOKUP('Données projet'!$B$9,Paramètres!$A$1:$I$89,3,0)*0.475*44/12</f>
        <v>2.8943030841851536E-18</v>
      </c>
      <c r="AC202" s="22">
        <f t="shared" si="163"/>
        <v>20.078867578249845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3.177547114319168E-13</v>
      </c>
      <c r="P203" s="13">
        <f t="shared" si="203"/>
        <v>4.1725404435445377E-12</v>
      </c>
      <c r="Q203" s="20">
        <f t="shared" si="162"/>
        <v>7.820597394917325E-12</v>
      </c>
      <c r="R203" s="59">
        <f t="shared" si="191"/>
        <v>293.33333333334116</v>
      </c>
      <c r="S203" s="59">
        <f ca="1">AVERAGE(OFFSET($R$3,0,0,'Données projet'!$E$9+1,1))-AVERAGE(OFFSET($H$3,0,0,'Données projet'!$E$9+1,1))</f>
        <v>314.07001555875894</v>
      </c>
      <c r="T203" s="59">
        <f t="shared" si="204"/>
        <v>281.53154885904991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17.580364850827994</v>
      </c>
      <c r="AA203" s="21">
        <f>EXP(-LN(2)/25)*AA202+(1-EXP(-LN(2)/25))/(LN(2)/25)*Calculateur!V203*Calculateur!X203*VLOOKUP('Données projet'!$B$9,Paramètres!$A$1:$I$89,3,0)*0.475*44/12</f>
        <v>2.0881609414553663</v>
      </c>
      <c r="AB203" s="21">
        <f>EXP(-LN(2)/2)*AB202+(1-EXP(-LN(2)/2))/(LN(2)/2)*V203*Y203*VLOOKUP('Données projet'!$B$9,Paramètres!$A$1:$I$89,3,0)*0.475*44/12</f>
        <v>2.046581337636461E-18</v>
      </c>
      <c r="AC203" s="22">
        <f t="shared" si="163"/>
        <v>19.668525792283361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1.2855297099408214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796875" style="4" bestFit="1" customWidth="1"/>
    <col min="3" max="3" width="11.796875" style="4" bestFit="1" customWidth="1"/>
    <col min="4" max="4" width="40" style="4" bestFit="1" customWidth="1"/>
    <col min="5" max="5" width="11.796875" style="4" bestFit="1" customWidth="1"/>
    <col min="6" max="6" width="13.796875" style="4" bestFit="1" customWidth="1"/>
    <col min="7" max="7" width="11.46484375" style="4" bestFit="1" customWidth="1"/>
    <col min="8" max="8" width="39" style="4" bestFit="1" customWidth="1"/>
    <col min="9" max="9" width="16.79687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M16" sqref="M16"/>
    </sheetView>
  </sheetViews>
  <sheetFormatPr baseColWidth="10" defaultColWidth="11.46484375" defaultRowHeight="14.25" x14ac:dyDescent="0.45"/>
  <cols>
    <col min="1" max="1" width="22.7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Douglas</v>
      </c>
      <c r="B6" s="146">
        <f>'Données projet'!D9</f>
        <v>1.8</v>
      </c>
      <c r="C6" s="147">
        <f ca="1">IF(OR('Données projet'!B9="",'Données projet'!C9="",'Données projet'!C9=0%),0,Calculateur!S3)</f>
        <v>314.07001555875894</v>
      </c>
      <c r="D6" s="147">
        <f>IF(OR('Données projet'!B9="",'Données projet'!C9="",'Données projet'!C9=0%),0,Calculateur!T3)</f>
        <v>281.53154885904991</v>
      </c>
      <c r="E6" s="147">
        <f ca="1">MIN(C6,D6)</f>
        <v>281.53154885904991</v>
      </c>
      <c r="F6" s="147">
        <f ca="1">E6*B6</f>
        <v>506.75678794628982</v>
      </c>
      <c r="G6" s="147">
        <f ca="1">F6*(100%-'Données projet'!$C$24)*(100%-'Données projet'!$C$25)*(100%-'Données projet'!$C$26)*(100%-'Données projet'!$C$27)</f>
        <v>456.08110915166083</v>
      </c>
      <c r="H6" s="148">
        <f>IF(OR('Données projet'!B9="",'Données projet'!C9="",'Données projet'!C9=0%),0,AVERAGE(Calculateur!$AC$3:$AC$33)*B6)</f>
        <v>16.466436134531239</v>
      </c>
      <c r="I6" s="149">
        <f>H6*(100%-'Données projet'!$C$24)*(100%-'Données projet'!$C$25)*(100%-'Données projet'!$C$26)*(100%-'Données projet'!$C$27)</f>
        <v>14.819792521078115</v>
      </c>
      <c r="J6" s="150">
        <f>IF(OR('Données projet'!B9="",'Données projet'!C9="",'Données projet'!C9=0%),0,SUM(Calculateur!$V$3:$V$33)*VLOOKUP('Données projet'!$B$9,Paramètres!$A$1:$I$89,9,0)*B6)</f>
        <v>102.35375999999999</v>
      </c>
      <c r="K6" s="151">
        <f>J6*(100%-'Données projet'!$C$24)*(100%-'Données projet'!$C$25)*(100%-'Données projet'!$C$26)*(100%-'Données projet'!$C$27)</f>
        <v>92.118383999999992</v>
      </c>
      <c r="L6" s="152">
        <f ca="1">G6+I6+K6</f>
        <v>563.01928567273899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506.75678794628982</v>
      </c>
      <c r="G16" s="166">
        <f t="shared" ca="1" si="3"/>
        <v>456.08110915166083</v>
      </c>
      <c r="H16" s="167">
        <f t="shared" si="3"/>
        <v>16.466436134531239</v>
      </c>
      <c r="I16" s="167">
        <f t="shared" si="3"/>
        <v>14.819792521078115</v>
      </c>
      <c r="J16" s="168">
        <f t="shared" si="3"/>
        <v>102.35375999999999</v>
      </c>
      <c r="K16" s="168">
        <f t="shared" si="3"/>
        <v>92.118383999999992</v>
      </c>
      <c r="L16" s="169">
        <f t="shared" ca="1" si="3"/>
        <v>563.01928567273899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R15" zoomScale="77" zoomScaleNormal="55" workbookViewId="0">
      <selection activeCell="I20" sqref="I20:I24"/>
    </sheetView>
  </sheetViews>
  <sheetFormatPr baseColWidth="10" defaultColWidth="11.46484375" defaultRowHeight="14.25" x14ac:dyDescent="0.45"/>
  <cols>
    <col min="1" max="1" width="11.46484375" style="1"/>
    <col min="2" max="2" width="30.796875" style="1" bestFit="1" customWidth="1"/>
    <col min="3" max="3" width="18.19921875" style="1" bestFit="1" customWidth="1"/>
    <col min="4" max="5" width="11.46484375" style="1"/>
    <col min="6" max="6" width="14" style="1" customWidth="1"/>
    <col min="7" max="7" width="17.53125" style="1" customWidth="1"/>
    <col min="8" max="8" width="21.796875" style="1" customWidth="1"/>
    <col min="9" max="9" width="37" style="1" customWidth="1"/>
    <col min="10" max="10" width="11.46484375" style="1"/>
    <col min="11" max="11" width="8.7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9921875" style="1" customWidth="1"/>
    <col min="21" max="21" width="16.46484375" style="1" customWidth="1"/>
    <col min="22" max="22" width="17.7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4278.3425953401147</v>
      </c>
      <c r="U10" s="178">
        <f>'Données projet'!D9</f>
        <v>1.8</v>
      </c>
      <c r="V10" s="177">
        <f>U10*T10</f>
        <v>7701.0166716122067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70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69.999999999999943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699.99999999999943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f>5029.66</f>
        <v>5029.66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350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350</v>
      </c>
      <c r="J22" s="257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21</v>
      </c>
      <c r="B23" s="181">
        <f>'Données projet'!D36</f>
        <v>64.599999999999994</v>
      </c>
      <c r="C23" s="193">
        <v>10.9375</v>
      </c>
      <c r="D23" s="182">
        <f>B23*C23</f>
        <v>706.56249999999989</v>
      </c>
      <c r="E23" s="193">
        <v>60</v>
      </c>
      <c r="F23" s="230"/>
      <c r="H23" s="190">
        <v>4</v>
      </c>
      <c r="I23" s="191">
        <v>350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-3125.3270505839637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28</v>
      </c>
      <c r="B24" s="181">
        <f>'Données projet'!D37</f>
        <v>67.639999999999986</v>
      </c>
      <c r="C24" s="193">
        <v>10.9375</v>
      </c>
      <c r="D24" s="182">
        <f t="shared" ref="D24:D42" si="2">B24*C24</f>
        <v>739.81249999999989</v>
      </c>
      <c r="E24" s="193">
        <v>60</v>
      </c>
      <c r="F24" s="233"/>
      <c r="H24" s="190">
        <v>5</v>
      </c>
      <c r="I24" s="191">
        <v>350</v>
      </c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57.840256979111054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35</v>
      </c>
      <c r="B25" s="181">
        <f>'Données projet'!D38</f>
        <v>86.700000000000045</v>
      </c>
      <c r="C25" s="193">
        <v>41.5</v>
      </c>
      <c r="D25" s="182">
        <f t="shared" si="2"/>
        <v>3598.050000000002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-3183.1673075630747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42</v>
      </c>
      <c r="B26" s="181">
        <f>'Données projet'!D39</f>
        <v>100.04000000000002</v>
      </c>
      <c r="C26" s="193">
        <v>41.5</v>
      </c>
      <c r="D26" s="182">
        <f t="shared" si="2"/>
        <v>4151.6600000000008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49</v>
      </c>
      <c r="B27" s="181">
        <f>'Données projet'!D40</f>
        <v>112.69999999999999</v>
      </c>
      <c r="C27" s="193">
        <v>41.5</v>
      </c>
      <c r="D27" s="182">
        <f t="shared" si="2"/>
        <v>4677.0499999999993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56</v>
      </c>
      <c r="B28" s="181">
        <f>'Données projet'!D41</f>
        <v>94.669999999999959</v>
      </c>
      <c r="C28" s="193">
        <v>41.5</v>
      </c>
      <c r="D28" s="182">
        <f t="shared" si="2"/>
        <v>3928.8049999999985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63</v>
      </c>
      <c r="B29" s="181">
        <f>'Données projet'!D42</f>
        <v>99.599999999999966</v>
      </c>
      <c r="C29" s="193">
        <v>41.5</v>
      </c>
      <c r="D29" s="182">
        <f t="shared" si="2"/>
        <v>4133.3999999999987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70</v>
      </c>
      <c r="B30" s="181">
        <f>'Données projet'!D43</f>
        <v>586.86</v>
      </c>
      <c r="C30" s="193">
        <v>48.5</v>
      </c>
      <c r="D30" s="182">
        <f t="shared" si="2"/>
        <v>28462.71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3C1E7440-675A-4398-8BD6-AF44F9C1A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2023-12-12T08:25:11Z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