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fblgroupe-my.sharepoint.com/personal/vianney_falconnet_cfbl_fr/Documents/Bureau/tAVERNAY/"/>
    </mc:Choice>
  </mc:AlternateContent>
  <xr:revisionPtr revIDLastSave="101" documentId="11_B954B0FA9D2D6785A31326A0F3CC28A890EA51D0" xr6:coauthVersionLast="47" xr6:coauthVersionMax="47" xr10:uidLastSave="{3999261F-5894-47D4-A1CD-A1B289FAE552}"/>
  <bookViews>
    <workbookView xWindow="20370" yWindow="-3375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17" i="6"/>
  <c r="E48" i="6"/>
  <c r="E79" i="6"/>
  <c r="E11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FS113" i="2"/>
  <c r="HI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H144" i="2"/>
  <c r="HG144" i="2"/>
  <c r="EA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HG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HG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X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C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W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82" i="2" a="1"/>
  <c r="BC82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143" i="2" a="1"/>
  <c r="BC143" i="2" s="1"/>
  <c r="BC7" i="2" a="1"/>
  <c r="BC7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84" i="2" l="1" a="1"/>
  <c r="BC84" i="2" s="1"/>
  <c r="BC55" i="2" a="1"/>
  <c r="BC55" i="2" s="1"/>
  <c r="BC114" i="2" a="1"/>
  <c r="BC114" i="2" s="1"/>
  <c r="BC68" i="2" a="1"/>
  <c r="BC68" i="2" s="1"/>
  <c r="BC185" i="2" a="1"/>
  <c r="BC185" i="2" s="1"/>
  <c r="BC32" i="2" a="1"/>
  <c r="BC32" i="2" s="1"/>
  <c r="BC130" i="2" a="1"/>
  <c r="BC130" i="2" s="1"/>
  <c r="BC117" i="2" a="1"/>
  <c r="BC117" i="2" s="1"/>
  <c r="BC126" i="2" a="1"/>
  <c r="BC126" i="2" s="1"/>
  <c r="BC58" i="2" a="1"/>
  <c r="BC58" i="2" s="1"/>
  <c r="BC151" i="2" a="1"/>
  <c r="BC151" i="2" s="1"/>
  <c r="BC31" i="2" a="1"/>
  <c r="BC31" i="2" s="1"/>
  <c r="BC192" i="2" a="1"/>
  <c r="BC192" i="2" s="1"/>
  <c r="BC65" i="2" a="1"/>
  <c r="BC65" i="2" s="1"/>
  <c r="BC47" i="2" a="1"/>
  <c r="BC47" i="2" s="1"/>
  <c r="HG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<sst xmlns="http://schemas.openxmlformats.org/spreadsheetml/2006/main" count="1173" uniqueCount="324">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</sst>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3.0373846637923445</c:v>
                </c:pt>
                <c:pt idx="2">
                  <c:v>3.5780906624925897</c:v>
                </c:pt>
                <c:pt idx="3">
                  <c:v>4.215402172997206</c:v>
                </c:pt>
                <c:pt idx="4">
                  <c:v>4.9666383866319377</c:v>
                </c:pt>
                <c:pt idx="5">
                  <c:v>5.8522333658713634</c:v>
                </c:pt>
                <c:pt idx="6">
                  <c:v>6.8962979189055469</c:v>
                </c:pt>
                <c:pt idx="7">
                  <c:v>8.1272831050814656</c:v>
                </c:pt>
                <c:pt idx="8">
                  <c:v>9.578763800182891</c:v>
                </c:pt>
                <c:pt idx="9">
                  <c:v>11.290364099936896</c:v>
                </c:pt>
                <c:pt idx="10">
                  <c:v>13.308850299577585</c:v>
                </c:pt>
                <c:pt idx="11">
                  <c:v>15.689421868067676</c:v>
                </c:pt>
                <c:pt idx="12">
                  <c:v>18.497236369330697</c:v>
                </c:pt>
                <c:pt idx="13">
                  <c:v>21.809210825304934</c:v>
                </c:pt>
                <c:pt idx="14">
                  <c:v>25.71614975099514</c:v>
                </c:pt>
                <c:pt idx="15">
                  <c:v>30.325259237860919</c:v>
                </c:pt>
                <c:pt idx="16">
                  <c:v>35.763117276597228</c:v>
                </c:pt>
                <c:pt idx="17">
                  <c:v>42.179183298551266</c:v>
                </c:pt>
                <c:pt idx="18">
                  <c:v>49.749945037412488</c:v>
                </c:pt>
                <c:pt idx="19">
                  <c:v>58.683818696173859</c:v>
                </c:pt>
                <c:pt idx="20">
                  <c:v>69.226939553605035</c:v>
                </c:pt>
                <c:pt idx="21">
                  <c:v>81.670005156979485</c:v>
                </c:pt>
                <c:pt idx="22">
                  <c:v>96.356362830373712</c:v>
                </c:pt>
                <c:pt idx="23">
                  <c:v>113.69156821680933</c:v>
                </c:pt>
                <c:pt idx="24">
                  <c:v>134.15468295741289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2.1350786004664535</c:v>
                </c:pt>
                <c:pt idx="2">
                  <c:v>2.6921717481430694</c:v>
                </c:pt>
                <c:pt idx="3">
                  <c:v>3.3951979925602132</c:v>
                </c:pt>
                <c:pt idx="4">
                  <c:v>4.2825271299889929</c:v>
                </c:pt>
                <c:pt idx="5">
                  <c:v>5.4026523830368793</c:v>
                </c:pt>
                <c:pt idx="6">
                  <c:v>6.8168699269517186</c:v>
                </c:pt>
                <c:pt idx="7">
                  <c:v>8.6026697455530794</c:v>
                </c:pt>
                <c:pt idx="8">
                  <c:v>10.858027163519033</c:v>
                </c:pt>
                <c:pt idx="9">
                  <c:v>13.706834927621495</c:v>
                </c:pt>
                <c:pt idx="10">
                  <c:v>17.305779747951522</c:v>
                </c:pt>
                <c:pt idx="11">
                  <c:v>21.853048382275563</c:v>
                </c:pt>
                <c:pt idx="12">
                  <c:v>27.599351245605177</c:v>
                </c:pt>
                <c:pt idx="13">
                  <c:v>34.861881979556053</c:v>
                </c:pt>
                <c:pt idx="14">
                  <c:v>44.041996814142045</c:v>
                </c:pt>
                <c:pt idx="15">
                  <c:v>55.647607276796499</c:v>
                </c:pt>
                <c:pt idx="16">
                  <c:v>50.671605091578876</c:v>
                </c:pt>
                <c:pt idx="17">
                  <c:v>67.602585604870953</c:v>
                </c:pt>
                <c:pt idx="18">
                  <c:v>84.42357654371574</c:v>
                </c:pt>
                <c:pt idx="19">
                  <c:v>101.15975656350798</c:v>
                </c:pt>
                <c:pt idx="20">
                  <c:v>117.82719554138386</c:v>
                </c:pt>
                <c:pt idx="21">
                  <c:v>95.685441973812658</c:v>
                </c:pt>
                <c:pt idx="22">
                  <c:v>113.80965748960364</c:v>
                </c:pt>
                <c:pt idx="23">
                  <c:v>131.86304956724535</c:v>
                </c:pt>
                <c:pt idx="24">
                  <c:v>149.85670075971808</c:v>
                </c:pt>
                <c:pt idx="25">
                  <c:v>167.79880331835713</c:v>
                </c:pt>
                <c:pt idx="26">
                  <c:v>144.72123383801272</c:v>
                </c:pt>
                <c:pt idx="27">
                  <c:v>161.53873896208071</c:v>
                </c:pt>
                <c:pt idx="28">
                  <c:v>178.31479007290753</c:v>
                </c:pt>
                <c:pt idx="29">
                  <c:v>195.05383828243905</c:v>
                </c:pt>
                <c:pt idx="30">
                  <c:v>211.75950715739978</c:v>
                </c:pt>
                <c:pt idx="31">
                  <c:v>187.3979404339226</c:v>
                </c:pt>
                <c:pt idx="32">
                  <c:v>202.70275417831499</c:v>
                </c:pt>
                <c:pt idx="33">
                  <c:v>217.98082037329854</c:v>
                </c:pt>
                <c:pt idx="34">
                  <c:v>233.23427816301728</c:v>
                </c:pt>
                <c:pt idx="35">
                  <c:v>248.46496383915087</c:v>
                </c:pt>
                <c:pt idx="36">
                  <c:v>222.50284096633973</c:v>
                </c:pt>
                <c:pt idx="37">
                  <c:v>236.05644310479695</c:v>
                </c:pt>
                <c:pt idx="38">
                  <c:v>249.59230205465977</c:v>
                </c:pt>
                <c:pt idx="39">
                  <c:v>263.11151589765069</c:v>
                </c:pt>
                <c:pt idx="40">
                  <c:v>276.61506059958816</c:v>
                </c:pt>
                <c:pt idx="41">
                  <c:v>248.7468092558544</c:v>
                </c:pt>
                <c:pt idx="42">
                  <c:v>260.29633594452861</c:v>
                </c:pt>
                <c:pt idx="43">
                  <c:v>271.83429043682321</c:v>
                </c:pt>
                <c:pt idx="44">
                  <c:v>283.36123337871345</c:v>
                </c:pt>
                <c:pt idx="45">
                  <c:v>294.87767605242146</c:v>
                </c:pt>
                <c:pt idx="46">
                  <c:v>274.08429806422936</c:v>
                </c:pt>
                <c:pt idx="47">
                  <c:v>284.20425004649184</c:v>
                </c:pt>
                <c:pt idx="48">
                  <c:v>294.31613475104683</c:v>
                </c:pt>
                <c:pt idx="49">
                  <c:v>304.42026859998879</c:v>
                </c:pt>
                <c:pt idx="50">
                  <c:v>314.51694528188881</c:v>
                </c:pt>
                <c:pt idx="51">
                  <c:v>299.08847869495389</c:v>
                </c:pt>
                <c:pt idx="52">
                  <c:v>307.50614242847166</c:v>
                </c:pt>
                <c:pt idx="53">
                  <c:v>315.91868734548342</c:v>
                </c:pt>
                <c:pt idx="54">
                  <c:v>324.32626909194659</c:v>
                </c:pt>
                <c:pt idx="55">
                  <c:v>332.72903457884439</c:v>
                </c:pt>
                <c:pt idx="56">
                  <c:v>321.80450679845353</c:v>
                </c:pt>
                <c:pt idx="57">
                  <c:v>329.08841844950109</c:v>
                </c:pt>
                <c:pt idx="58">
                  <c:v>336.36877249407797</c:v>
                </c:pt>
                <c:pt idx="59">
                  <c:v>343.64565686779611</c:v>
                </c:pt>
                <c:pt idx="60">
                  <c:v>350.91915547472735</c:v>
                </c:pt>
                <c:pt idx="61">
                  <c:v>340.28752055444613</c:v>
                </c:pt>
                <c:pt idx="62">
                  <c:v>346.44355255688691</c:v>
                </c:pt>
                <c:pt idx="63">
                  <c:v>352.59718287003443</c:v>
                </c:pt>
                <c:pt idx="64">
                  <c:v>358.74845936750694</c:v>
                </c:pt>
                <c:pt idx="65">
                  <c:v>364.89742814550755</c:v>
                </c:pt>
                <c:pt idx="66">
                  <c:v>354.83428056807503</c:v>
                </c:pt>
                <c:pt idx="67">
                  <c:v>360.14615329066805</c:v>
                </c:pt>
                <c:pt idx="68">
                  <c:v>365.45631242252239</c:v>
                </c:pt>
                <c:pt idx="69">
                  <c:v>370.76478640470503</c:v>
                </c:pt>
                <c:pt idx="70">
                  <c:v>376.07160279648701</c:v>
                </c:pt>
                <c:pt idx="71">
                  <c:v>366.85344149976572</c:v>
                </c:pt>
                <c:pt idx="72">
                  <c:v>371.60281428696067</c:v>
                </c:pt>
                <c:pt idx="73">
                  <c:v>376.35086351579002</c:v>
                </c:pt>
                <c:pt idx="74">
                  <c:v>381.09760826078065</c:v>
                </c:pt>
                <c:pt idx="75">
                  <c:v>385.843067081963</c:v>
                </c:pt>
                <c:pt idx="76">
                  <c:v>377.18861860717408</c:v>
                </c:pt>
                <c:pt idx="77">
                  <c:v>381.09760826078065</c:v>
                </c:pt>
                <c:pt idx="78">
                  <c:v>385.00572580895852</c:v>
                </c:pt>
                <c:pt idx="79">
                  <c:v>388.9129813652267</c:v>
                </c:pt>
                <c:pt idx="80">
                  <c:v>392.81938482304832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9" zoomScale="80" zoomScaleNormal="80" workbookViewId="0">
      <selection activeCell="F122" sqref="F12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3.6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12</v>
      </c>
      <c r="C9" s="32">
        <v>0.3</v>
      </c>
      <c r="D9" s="33">
        <f t="shared" ref="D9:D18" si="0">C9*$C$5</f>
        <v>1.08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14</v>
      </c>
      <c r="C10" s="32">
        <v>0.3</v>
      </c>
      <c r="D10" s="33">
        <f t="shared" si="0"/>
        <v>1.08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4</v>
      </c>
      <c r="C11" s="32">
        <v>0.3</v>
      </c>
      <c r="D11" s="33">
        <f t="shared" si="0"/>
        <v>1.08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35</v>
      </c>
      <c r="C12" s="32">
        <v>0.1</v>
      </c>
      <c r="D12" s="33">
        <f t="shared" si="0"/>
        <v>0.36000000000000004</v>
      </c>
      <c r="E12" s="34">
        <v>82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0.99999999999999989</v>
      </c>
      <c r="D19" s="38">
        <f>SUM(D9:D18)</f>
        <v>3.6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pubescent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25</v>
      </c>
      <c r="B36" s="60">
        <v>70</v>
      </c>
      <c r="C36" s="60">
        <v>2</v>
      </c>
      <c r="D36" s="60">
        <v>8</v>
      </c>
      <c r="E36" s="51">
        <v>0.2</v>
      </c>
      <c r="F36" s="51">
        <v>0.2</v>
      </c>
      <c r="G36" s="51">
        <v>0.6</v>
      </c>
      <c r="H36" s="51"/>
      <c r="I36" s="49">
        <f>IFERROR(B36/A36,"")</f>
        <v>2.8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97</v>
      </c>
      <c r="C37" s="60">
        <v>3</v>
      </c>
      <c r="D37" s="60">
        <v>21</v>
      </c>
      <c r="E37" s="51">
        <v>0.3</v>
      </c>
      <c r="F37" s="51">
        <v>0.4</v>
      </c>
      <c r="G37" s="51">
        <v>0.3</v>
      </c>
      <c r="H37" s="51"/>
      <c r="I37" s="53">
        <f t="shared" ref="I37:I55" si="1">IF(A37&lt;&gt;0,(B37-(B36-D36))/(A37-A36),"")</f>
        <v>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35</v>
      </c>
      <c r="B38" s="60">
        <v>116</v>
      </c>
      <c r="C38" s="60">
        <v>4</v>
      </c>
      <c r="D38" s="60">
        <v>21</v>
      </c>
      <c r="E38" s="51"/>
      <c r="F38" s="51"/>
      <c r="G38" s="51"/>
      <c r="H38" s="51"/>
      <c r="I38" s="53">
        <f t="shared" si="1"/>
        <v>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137</v>
      </c>
      <c r="C39" s="60">
        <v>5</v>
      </c>
      <c r="D39" s="60">
        <v>21</v>
      </c>
      <c r="E39" s="51"/>
      <c r="F39" s="51"/>
      <c r="G39" s="51"/>
      <c r="H39" s="51"/>
      <c r="I39" s="49">
        <f t="shared" si="1"/>
        <v>8.4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45</v>
      </c>
      <c r="B40" s="60">
        <v>158</v>
      </c>
      <c r="C40" s="60">
        <v>6</v>
      </c>
      <c r="D40" s="60">
        <v>21</v>
      </c>
      <c r="E40" s="51"/>
      <c r="F40" s="51"/>
      <c r="G40" s="51"/>
      <c r="H40" s="51"/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50</v>
      </c>
      <c r="B41" s="60">
        <v>178</v>
      </c>
      <c r="C41" s="60">
        <v>7</v>
      </c>
      <c r="D41" s="60">
        <v>21</v>
      </c>
      <c r="E41" s="51"/>
      <c r="F41" s="51"/>
      <c r="G41" s="51"/>
      <c r="H41" s="51"/>
      <c r="I41" s="53">
        <f t="shared" si="1"/>
        <v>8.1999999999999993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55</v>
      </c>
      <c r="B42" s="60">
        <v>197</v>
      </c>
      <c r="C42" s="60">
        <v>8</v>
      </c>
      <c r="D42" s="60">
        <v>21</v>
      </c>
      <c r="E42" s="51"/>
      <c r="F42" s="51"/>
      <c r="G42" s="51"/>
      <c r="H42" s="51"/>
      <c r="I42" s="53">
        <f t="shared" si="1"/>
        <v>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60</v>
      </c>
      <c r="B43" s="60">
        <v>214</v>
      </c>
      <c r="C43" s="60">
        <v>9</v>
      </c>
      <c r="D43" s="60">
        <v>21</v>
      </c>
      <c r="E43" s="51"/>
      <c r="F43" s="51"/>
      <c r="G43" s="51"/>
      <c r="H43" s="51"/>
      <c r="I43" s="49">
        <f t="shared" si="1"/>
        <v>7.6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65</v>
      </c>
      <c r="B44" s="60">
        <v>229</v>
      </c>
      <c r="C44" s="60">
        <v>10</v>
      </c>
      <c r="D44" s="60">
        <v>21</v>
      </c>
      <c r="E44" s="51"/>
      <c r="F44" s="51"/>
      <c r="G44" s="51"/>
      <c r="H44" s="51"/>
      <c r="I44" s="49">
        <f t="shared" si="1"/>
        <v>7.2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70</v>
      </c>
      <c r="B45" s="60">
        <v>242</v>
      </c>
      <c r="C45" s="60">
        <v>11</v>
      </c>
      <c r="D45" s="60">
        <v>21</v>
      </c>
      <c r="E45" s="51"/>
      <c r="F45" s="51"/>
      <c r="G45" s="51"/>
      <c r="H45" s="51"/>
      <c r="I45" s="49">
        <f t="shared" si="1"/>
        <v>6.8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75</v>
      </c>
      <c r="B46" s="60">
        <v>252</v>
      </c>
      <c r="C46" s="60">
        <v>12</v>
      </c>
      <c r="D46" s="60">
        <v>21</v>
      </c>
      <c r="E46" s="51"/>
      <c r="F46" s="51"/>
      <c r="G46" s="51"/>
      <c r="H46" s="51"/>
      <c r="I46" s="49">
        <f t="shared" si="1"/>
        <v>6.2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80</v>
      </c>
      <c r="B47" s="60">
        <v>261</v>
      </c>
      <c r="C47" s="60">
        <v>13</v>
      </c>
      <c r="D47" s="60">
        <v>21</v>
      </c>
      <c r="E47" s="51"/>
      <c r="F47" s="51"/>
      <c r="G47" s="51"/>
      <c r="H47" s="51"/>
      <c r="I47" s="49">
        <f t="shared" si="1"/>
        <v>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85</v>
      </c>
      <c r="B48" s="60">
        <v>269</v>
      </c>
      <c r="C48" s="60">
        <v>14</v>
      </c>
      <c r="D48" s="60">
        <v>21</v>
      </c>
      <c r="E48" s="51"/>
      <c r="F48" s="51"/>
      <c r="G48" s="51"/>
      <c r="H48" s="51"/>
      <c r="I48" s="49">
        <f t="shared" si="1"/>
        <v>5.8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90</v>
      </c>
      <c r="B49" s="60">
        <v>275</v>
      </c>
      <c r="C49" s="60">
        <v>15</v>
      </c>
      <c r="D49" s="60">
        <v>21</v>
      </c>
      <c r="E49" s="51"/>
      <c r="F49" s="51"/>
      <c r="G49" s="51"/>
      <c r="H49" s="51"/>
      <c r="I49" s="49">
        <f t="shared" si="1"/>
        <v>5.4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95</v>
      </c>
      <c r="B50" s="50">
        <v>279</v>
      </c>
      <c r="C50" s="50">
        <v>16</v>
      </c>
      <c r="D50" s="50">
        <v>21</v>
      </c>
      <c r="E50" s="51"/>
      <c r="F50" s="51"/>
      <c r="G50" s="51"/>
      <c r="H50" s="51"/>
      <c r="I50" s="49">
        <f t="shared" si="1"/>
        <v>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100</v>
      </c>
      <c r="B51" s="50">
        <v>282</v>
      </c>
      <c r="C51" s="50">
        <v>17</v>
      </c>
      <c r="D51" s="50">
        <v>282</v>
      </c>
      <c r="E51" s="51"/>
      <c r="F51" s="51"/>
      <c r="G51" s="51"/>
      <c r="H51" s="51"/>
      <c r="I51" s="49">
        <f t="shared" si="1"/>
        <v>4.8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25</v>
      </c>
      <c r="B62" s="60">
        <v>70</v>
      </c>
      <c r="C62" s="60">
        <v>2</v>
      </c>
      <c r="D62" s="60">
        <v>8</v>
      </c>
      <c r="E62" s="51">
        <v>0.2</v>
      </c>
      <c r="F62" s="51">
        <v>0.2</v>
      </c>
      <c r="G62" s="51">
        <v>0.6</v>
      </c>
      <c r="H62" s="51"/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97</v>
      </c>
      <c r="C63" s="60">
        <v>3</v>
      </c>
      <c r="D63" s="60">
        <v>21</v>
      </c>
      <c r="E63" s="51">
        <v>0.3</v>
      </c>
      <c r="F63" s="51">
        <v>0.4</v>
      </c>
      <c r="G63" s="51">
        <v>0.3</v>
      </c>
      <c r="H63" s="51"/>
      <c r="I63" s="49">
        <f>IF(A63&lt;&gt;0,(B63-(B62-D62))/(A63-A62),"")</f>
        <v>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35</v>
      </c>
      <c r="B64" s="60">
        <v>116</v>
      </c>
      <c r="C64" s="60">
        <v>4</v>
      </c>
      <c r="D64" s="60">
        <v>21</v>
      </c>
      <c r="E64" s="51"/>
      <c r="F64" s="51"/>
      <c r="G64" s="51"/>
      <c r="H64" s="51"/>
      <c r="I64" s="49">
        <f>IF(A64&lt;&gt;0,(B64-(B63-D63))/(A64-A63),"")</f>
        <v>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137</v>
      </c>
      <c r="C65" s="60">
        <v>5</v>
      </c>
      <c r="D65" s="60">
        <v>21</v>
      </c>
      <c r="E65" s="51"/>
      <c r="F65" s="51"/>
      <c r="G65" s="51"/>
      <c r="H65" s="51"/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45</v>
      </c>
      <c r="B66" s="60">
        <v>158</v>
      </c>
      <c r="C66" s="60">
        <v>6</v>
      </c>
      <c r="D66" s="60">
        <v>21</v>
      </c>
      <c r="E66" s="51"/>
      <c r="F66" s="51"/>
      <c r="G66" s="51"/>
      <c r="H66" s="51"/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50</v>
      </c>
      <c r="B67" s="60">
        <v>178</v>
      </c>
      <c r="C67" s="60">
        <v>7</v>
      </c>
      <c r="D67" s="60">
        <v>21</v>
      </c>
      <c r="E67" s="51"/>
      <c r="F67" s="51"/>
      <c r="G67" s="51"/>
      <c r="H67" s="51"/>
      <c r="I67" s="49">
        <f t="shared" si="2"/>
        <v>8.1999999999999993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55</v>
      </c>
      <c r="B68" s="60">
        <v>197</v>
      </c>
      <c r="C68" s="60">
        <v>8</v>
      </c>
      <c r="D68" s="60">
        <v>21</v>
      </c>
      <c r="E68" s="51"/>
      <c r="F68" s="51"/>
      <c r="G68" s="51"/>
      <c r="H68" s="51"/>
      <c r="I68" s="49">
        <f t="shared" si="2"/>
        <v>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60</v>
      </c>
      <c r="B69" s="50">
        <v>214</v>
      </c>
      <c r="C69" s="50"/>
      <c r="D69" s="50">
        <v>21</v>
      </c>
      <c r="E69" s="51"/>
      <c r="F69" s="51"/>
      <c r="G69" s="51"/>
      <c r="H69" s="51"/>
      <c r="I69" s="49">
        <f t="shared" si="2"/>
        <v>7.6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65</v>
      </c>
      <c r="B70" s="50">
        <v>229</v>
      </c>
      <c r="C70" s="50">
        <v>10</v>
      </c>
      <c r="D70" s="50">
        <v>21</v>
      </c>
      <c r="E70" s="51"/>
      <c r="F70" s="51"/>
      <c r="G70" s="51"/>
      <c r="H70" s="51"/>
      <c r="I70" s="49">
        <f t="shared" si="2"/>
        <v>7.2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70</v>
      </c>
      <c r="B71" s="50">
        <v>242</v>
      </c>
      <c r="C71" s="50">
        <v>11</v>
      </c>
      <c r="D71" s="50">
        <v>21</v>
      </c>
      <c r="E71" s="51"/>
      <c r="F71" s="51"/>
      <c r="G71" s="51"/>
      <c r="H71" s="51"/>
      <c r="I71" s="49">
        <f t="shared" si="2"/>
        <v>6.8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75</v>
      </c>
      <c r="B72" s="50">
        <v>252</v>
      </c>
      <c r="C72" s="50">
        <v>12</v>
      </c>
      <c r="D72" s="50">
        <v>21</v>
      </c>
      <c r="E72" s="51"/>
      <c r="F72" s="51"/>
      <c r="G72" s="51"/>
      <c r="H72" s="51"/>
      <c r="I72" s="49">
        <f t="shared" si="2"/>
        <v>6.2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80</v>
      </c>
      <c r="B73" s="50">
        <v>261</v>
      </c>
      <c r="C73" s="50">
        <v>13</v>
      </c>
      <c r="D73" s="50">
        <v>21</v>
      </c>
      <c r="E73" s="51"/>
      <c r="F73" s="51"/>
      <c r="G73" s="51"/>
      <c r="H73" s="51"/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85</v>
      </c>
      <c r="B74" s="50">
        <v>269</v>
      </c>
      <c r="C74" s="50">
        <v>14</v>
      </c>
      <c r="D74" s="50">
        <v>21</v>
      </c>
      <c r="E74" s="51"/>
      <c r="F74" s="51"/>
      <c r="G74" s="51"/>
      <c r="H74" s="51"/>
      <c r="I74" s="49">
        <f t="shared" si="2"/>
        <v>5.8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90</v>
      </c>
      <c r="B75" s="50">
        <v>275</v>
      </c>
      <c r="C75" s="50">
        <v>15</v>
      </c>
      <c r="D75" s="50">
        <v>21</v>
      </c>
      <c r="E75" s="51"/>
      <c r="F75" s="51"/>
      <c r="G75" s="51"/>
      <c r="H75" s="51"/>
      <c r="I75" s="49">
        <f t="shared" si="2"/>
        <v>5.4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95</v>
      </c>
      <c r="B76" s="50">
        <v>279</v>
      </c>
      <c r="C76" s="50">
        <v>16</v>
      </c>
      <c r="D76" s="50">
        <v>21</v>
      </c>
      <c r="E76" s="51"/>
      <c r="F76" s="51"/>
      <c r="G76" s="51"/>
      <c r="H76" s="51"/>
      <c r="I76" s="49">
        <f t="shared" si="2"/>
        <v>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100</v>
      </c>
      <c r="B77" s="50">
        <v>282</v>
      </c>
      <c r="C77" s="50">
        <v>17</v>
      </c>
      <c r="D77" s="50">
        <v>282</v>
      </c>
      <c r="E77" s="51"/>
      <c r="F77" s="51"/>
      <c r="G77" s="51"/>
      <c r="H77" s="51"/>
      <c r="I77" s="49">
        <f t="shared" si="2"/>
        <v>4.8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Aulne glutineux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15</v>
      </c>
      <c r="B88" s="60">
        <v>37</v>
      </c>
      <c r="C88" s="60">
        <v>1</v>
      </c>
      <c r="D88" s="60">
        <v>15</v>
      </c>
      <c r="E88" s="51"/>
      <c r="F88" s="51"/>
      <c r="G88" s="51"/>
      <c r="H88" s="87">
        <v>1</v>
      </c>
      <c r="I88" s="53">
        <f>IFERROR(B88/A88,"")</f>
        <v>2.4666666666666668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80</v>
      </c>
      <c r="C89" s="60">
        <v>2</v>
      </c>
      <c r="D89" s="60">
        <v>28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25</v>
      </c>
      <c r="B90" s="60">
        <v>115</v>
      </c>
      <c r="C90" s="60">
        <v>3</v>
      </c>
      <c r="D90" s="60">
        <v>28</v>
      </c>
      <c r="E90" s="87">
        <v>0.1</v>
      </c>
      <c r="F90" s="87">
        <v>0.5</v>
      </c>
      <c r="G90" s="87">
        <v>0.4</v>
      </c>
      <c r="H90" s="87"/>
      <c r="I90" s="53">
        <f t="shared" si="3"/>
        <v>12.6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30</v>
      </c>
      <c r="B91" s="60">
        <v>146</v>
      </c>
      <c r="C91" s="60">
        <v>4</v>
      </c>
      <c r="D91" s="60">
        <v>28</v>
      </c>
      <c r="E91" s="87">
        <v>0.1</v>
      </c>
      <c r="F91" s="87">
        <v>0.5</v>
      </c>
      <c r="G91" s="87">
        <v>0.4</v>
      </c>
      <c r="H91" s="87"/>
      <c r="I91" s="53">
        <f t="shared" si="3"/>
        <v>11.8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35</v>
      </c>
      <c r="B92" s="60">
        <v>172</v>
      </c>
      <c r="C92" s="60">
        <v>5</v>
      </c>
      <c r="D92" s="60">
        <v>28</v>
      </c>
      <c r="E92" s="87"/>
      <c r="F92" s="87"/>
      <c r="G92" s="87"/>
      <c r="H92" s="87"/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40</v>
      </c>
      <c r="B93" s="60">
        <v>192</v>
      </c>
      <c r="C93" s="60">
        <v>6</v>
      </c>
      <c r="D93" s="60">
        <v>28</v>
      </c>
      <c r="E93" s="87"/>
      <c r="F93" s="87"/>
      <c r="G93" s="87"/>
      <c r="H93" s="87"/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45</v>
      </c>
      <c r="B94" s="60">
        <v>205</v>
      </c>
      <c r="C94" s="60">
        <v>7</v>
      </c>
      <c r="D94" s="60">
        <v>22</v>
      </c>
      <c r="E94" s="87"/>
      <c r="F94" s="87"/>
      <c r="G94" s="87"/>
      <c r="H94" s="87"/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50</v>
      </c>
      <c r="B95" s="60">
        <v>219</v>
      </c>
      <c r="C95" s="60">
        <v>8</v>
      </c>
      <c r="D95" s="60">
        <v>17</v>
      </c>
      <c r="E95" s="87"/>
      <c r="F95" s="87"/>
      <c r="G95" s="87"/>
      <c r="H95" s="87"/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55</v>
      </c>
      <c r="B96" s="60">
        <v>232</v>
      </c>
      <c r="C96" s="60">
        <v>9</v>
      </c>
      <c r="D96" s="60">
        <v>13</v>
      </c>
      <c r="E96" s="87"/>
      <c r="F96" s="87"/>
      <c r="G96" s="87"/>
      <c r="H96" s="87"/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60</v>
      </c>
      <c r="B97" s="60">
        <v>245</v>
      </c>
      <c r="C97" s="60">
        <v>10</v>
      </c>
      <c r="D97" s="60">
        <v>12</v>
      </c>
      <c r="E97" s="87"/>
      <c r="F97" s="87"/>
      <c r="G97" s="87"/>
      <c r="H97" s="87"/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65</v>
      </c>
      <c r="B98" s="60">
        <v>255</v>
      </c>
      <c r="C98" s="60">
        <v>11</v>
      </c>
      <c r="D98" s="60">
        <v>11</v>
      </c>
      <c r="E98" s="87"/>
      <c r="F98" s="87"/>
      <c r="G98" s="87"/>
      <c r="H98" s="87"/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70</v>
      </c>
      <c r="B99" s="60">
        <v>263</v>
      </c>
      <c r="C99" s="60">
        <v>12</v>
      </c>
      <c r="D99" s="60">
        <v>10</v>
      </c>
      <c r="E99" s="87"/>
      <c r="F99" s="87"/>
      <c r="G99" s="87"/>
      <c r="H99" s="87"/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75</v>
      </c>
      <c r="B100" s="60">
        <v>270</v>
      </c>
      <c r="C100" s="60">
        <v>13</v>
      </c>
      <c r="D100" s="60">
        <v>9</v>
      </c>
      <c r="E100" s="65"/>
      <c r="F100" s="65"/>
      <c r="G100" s="65"/>
      <c r="H100" s="65"/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80</v>
      </c>
      <c r="B101" s="60">
        <v>275</v>
      </c>
      <c r="C101" s="60">
        <v>14</v>
      </c>
      <c r="D101" s="60">
        <v>275</v>
      </c>
      <c r="E101" s="65"/>
      <c r="F101" s="65"/>
      <c r="G101" s="65"/>
      <c r="H101" s="65"/>
      <c r="I101" s="53">
        <f t="shared" si="3"/>
        <v>2.8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Pin laricio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22</v>
      </c>
      <c r="B114" s="60">
        <v>123</v>
      </c>
      <c r="C114" s="50">
        <v>1</v>
      </c>
      <c r="D114" s="60">
        <v>16</v>
      </c>
      <c r="E114" s="51"/>
      <c r="F114" s="51">
        <v>0.3</v>
      </c>
      <c r="G114" s="51">
        <v>0.3</v>
      </c>
      <c r="H114" s="51">
        <v>0.4</v>
      </c>
      <c r="I114" s="53">
        <f>IFERROR(B114/A114,"")</f>
        <v>5.5909090909090908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25</v>
      </c>
      <c r="B115" s="60">
        <v>144</v>
      </c>
      <c r="C115" s="50">
        <v>2</v>
      </c>
      <c r="D115" s="60">
        <v>17</v>
      </c>
      <c r="E115" s="51"/>
      <c r="F115" s="51">
        <v>0.3</v>
      </c>
      <c r="G115" s="51">
        <v>0.3</v>
      </c>
      <c r="H115" s="51">
        <v>0.4</v>
      </c>
      <c r="I115" s="53">
        <f t="shared" ref="I115:I133" si="4">IF(A115&lt;&gt;0,(B115-(B114-D114))/(A115-A114),"")</f>
        <v>12.333333333333334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194</v>
      </c>
      <c r="C116" s="50">
        <v>3</v>
      </c>
      <c r="D116" s="60">
        <v>34</v>
      </c>
      <c r="E116" s="51">
        <v>0.1</v>
      </c>
      <c r="F116" s="51">
        <v>0.3</v>
      </c>
      <c r="G116" s="51">
        <v>0.3</v>
      </c>
      <c r="H116" s="51">
        <v>0.3</v>
      </c>
      <c r="I116" s="53">
        <f t="shared" si="4"/>
        <v>13.4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35</v>
      </c>
      <c r="B117" s="60">
        <v>233</v>
      </c>
      <c r="C117" s="50">
        <v>4</v>
      </c>
      <c r="D117" s="60">
        <v>41</v>
      </c>
      <c r="E117" s="51"/>
      <c r="F117" s="51"/>
      <c r="G117" s="51"/>
      <c r="H117" s="51"/>
      <c r="I117" s="53">
        <f t="shared" si="4"/>
        <v>14.6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40</v>
      </c>
      <c r="B118" s="60">
        <v>264</v>
      </c>
      <c r="C118" s="50">
        <v>5</v>
      </c>
      <c r="D118" s="60">
        <v>41</v>
      </c>
      <c r="E118" s="51"/>
      <c r="F118" s="51"/>
      <c r="G118" s="51"/>
      <c r="H118" s="51"/>
      <c r="I118" s="53">
        <f t="shared" si="4"/>
        <v>14.4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45</v>
      </c>
      <c r="B119" s="60">
        <v>318</v>
      </c>
      <c r="C119" s="50">
        <v>6</v>
      </c>
      <c r="D119" s="60">
        <v>53</v>
      </c>
      <c r="E119" s="51"/>
      <c r="F119" s="51"/>
      <c r="G119" s="51"/>
      <c r="H119" s="51"/>
      <c r="I119" s="53">
        <f t="shared" si="4"/>
        <v>19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50</v>
      </c>
      <c r="B120" s="60">
        <v>352</v>
      </c>
      <c r="C120" s="60">
        <v>7</v>
      </c>
      <c r="D120" s="60">
        <v>53</v>
      </c>
      <c r="E120" s="87"/>
      <c r="F120" s="87"/>
      <c r="G120" s="87"/>
      <c r="H120" s="87"/>
      <c r="I120" s="53">
        <f t="shared" si="4"/>
        <v>17.399999999999999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58</v>
      </c>
      <c r="B121" s="60">
        <v>440</v>
      </c>
      <c r="C121" s="60">
        <v>8</v>
      </c>
      <c r="D121" s="60">
        <v>78</v>
      </c>
      <c r="E121" s="87"/>
      <c r="F121" s="87"/>
      <c r="G121" s="87"/>
      <c r="H121" s="87"/>
      <c r="I121" s="53">
        <f t="shared" si="4"/>
        <v>17.625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66</v>
      </c>
      <c r="B122" s="60">
        <v>495</v>
      </c>
      <c r="C122" s="60">
        <v>9</v>
      </c>
      <c r="D122" s="60">
        <v>65</v>
      </c>
      <c r="E122" s="87"/>
      <c r="F122" s="87"/>
      <c r="G122" s="87"/>
      <c r="H122" s="87"/>
      <c r="I122" s="53">
        <f t="shared" si="4"/>
        <v>16.625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74</v>
      </c>
      <c r="B123" s="60">
        <v>533</v>
      </c>
      <c r="C123" s="60">
        <v>10</v>
      </c>
      <c r="D123" s="60">
        <v>37</v>
      </c>
      <c r="E123" s="87"/>
      <c r="F123" s="87"/>
      <c r="G123" s="87"/>
      <c r="H123" s="87"/>
      <c r="I123" s="53">
        <f t="shared" si="4"/>
        <v>12.875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82</v>
      </c>
      <c r="B124" s="60">
        <v>567</v>
      </c>
      <c r="C124" s="60">
        <v>11</v>
      </c>
      <c r="D124" s="60">
        <v>567</v>
      </c>
      <c r="E124" s="87"/>
      <c r="F124" s="87"/>
      <c r="G124" s="87"/>
      <c r="H124" s="87"/>
      <c r="I124" s="53">
        <f t="shared" si="4"/>
        <v>8.875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pubescent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Aulne glutineux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272.93635583300755</v>
      </c>
      <c r="T3" s="59">
        <f>IF('Données projet'!E9&gt;30,$R$33-$H$33,LOOKUP('Données projet'!$E$9,$A$3:$A$203,R3:R203)-LOOKUP('Données projet'!$E$9,$A$3:$A$203,$H$3:$H$203))</f>
        <v>179.56041631665812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237.64646718446005</v>
      </c>
      <c r="AO3" s="59">
        <f>IF('Données projet'!E10&gt;30,$AM$33-$H$33,LOOKUP('Données projet'!$E$10,$A$3:$A$203,AM3:AM203)-LOOKUP('Données projet'!$E$10,$A$3:$A$203,$H$3:$H$203))</f>
        <v>156.67965022779907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172.9177436650786</v>
      </c>
      <c r="BJ3" s="59">
        <f>IF('Données projet'!E11&gt;30,$BH$33-$H$33,LOOKUP('Données projet'!$E$11,$A$3:$A$203,BH3:BH203)-LOOKUP('Données projet'!$E$11,$A$3:$A$203,$H$3:$H$203))</f>
        <v>173.73622806725865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289.07218105343333</v>
      </c>
      <c r="CE3" s="59">
        <f>IF('Données projet'!E12&gt;30,$CC$33-$H$33,LOOKUP('Données projet'!$E$12,$A$3:$A$203,CC3:CC203)-LOOKUP('Données projet'!$E$12,$A$3:$A$203,$H$3:$H$203))</f>
        <v>217.57508587672368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</v>
      </c>
      <c r="N4" s="13">
        <f>IF('Données projet'!$A$36&gt;35,N3+M4-V3,IF(A4&lt;'Données projet'!$A$36,$K$205^A4,IF(A4='Données projet'!$A$36,'Données projet'!$B$36,N3+M4-V3)))</f>
        <v>1.1852335095914694</v>
      </c>
      <c r="O4" s="13">
        <f>N4*VLOOKUP('Données projet'!$B$9,Paramètres!$A$1:$I$89,3,0)*VLOOKUP('Données projet'!$B$9,Paramètres!$A$1:$I$89,5,0)</f>
        <v>1.2018267787257499</v>
      </c>
      <c r="P4" s="13">
        <f>EXP(-1.0587+0.8836*LN(O4)+0.284)</f>
        <v>0.5421261382842083</v>
      </c>
      <c r="Q4" s="20">
        <f t="shared" ref="Q4:Q34" si="2">(O4+P4)*0.475*44/12</f>
        <v>3.0373846637923445</v>
      </c>
      <c r="R4" s="59">
        <f t="shared" si="0"/>
        <v>296.37071799712567</v>
      </c>
      <c r="S4" s="59">
        <f ca="1">AVERAGE(OFFSET($R$3,0,0,'Données projet'!$E$9+1,1))-AVERAGE(OFFSET($H$3,0,0,'Données projet'!$E$9+1,1))</f>
        <v>272.93635583300755</v>
      </c>
      <c r="T4" s="59">
        <f>$T$3</f>
        <v>179.56041631665812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1.1852335095914694</v>
      </c>
      <c r="AJ4" s="13">
        <f>AI4*VLOOKUP('Données projet'!$B$10,Paramètres!$A$1:$I$89,3,0)*VLOOKUP('Données projet'!$B$10,Paramètres!$A$1:$I$89,5,0)</f>
        <v>1.0723992794783614</v>
      </c>
      <c r="AK4" s="13">
        <f>EXP(-1.0587+0.8836*LN(AJ4)+0.284)</f>
        <v>0.49020200157376026</v>
      </c>
      <c r="AL4" s="20">
        <f t="shared" ref="AL4:AL67" si="4">(AJ4+AK4)*0.475*44/12</f>
        <v>2.7215305644991119</v>
      </c>
      <c r="AM4" s="59">
        <f t="shared" ref="AM4:AM67" si="5">AL4+(AD4+AE4)*44/12</f>
        <v>296.05486389783243</v>
      </c>
      <c r="AN4" s="59">
        <f ca="1">AVERAGE(OFFSET($AM$3,0,0,'Données projet'!$E$10+1,1))-AVERAGE(OFFSET($H$3,0,0,'Données projet'!$E$10+1,1))</f>
        <v>237.64646718446005</v>
      </c>
      <c r="AO4" s="59">
        <f>$AO$3</f>
        <v>156.67965022779907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2.4666666666666668</v>
      </c>
      <c r="BD4" s="12">
        <f>IF('Données projet'!$A$88&gt;35,BD3+BC4-BL3,IF(A4&lt;'Données projet'!$A$88,$BA$205^A4,IF(A4='Données projet'!$A$88,'Données projet'!$B$88,BD3+BC4-BL3)))</f>
        <v>1.2721747796233518</v>
      </c>
      <c r="BE4" s="13">
        <f>BD4*VLOOKUP('Données projet'!$B$11,Paramètres!$A$1:$I$89,3,0)*VLOOKUP('Données projet'!$B$11,Paramètres!$A$1:$I$89,5,0)</f>
        <v>0.83352891560922016</v>
      </c>
      <c r="BF4" s="13">
        <f>EXP(-1.0587+0.8836*LN(BE4)+0.284)</f>
        <v>0.39235353441936577</v>
      </c>
      <c r="BG4" s="20">
        <f t="shared" ref="BG4:BG67" si="7">(BE4+BF4)*0.475*44/12</f>
        <v>2.1350786004664535</v>
      </c>
      <c r="BH4" s="59">
        <f t="shared" ref="BH4:BH67" si="8">BG4+(AY4+AZ4)*44/12</f>
        <v>295.46841193379976</v>
      </c>
      <c r="BI4" s="59">
        <f ca="1">AVERAGE(OFFSET($BH$3,0,0,'Données projet'!$E$11+1,1))-AVERAGE(OFFSET($H$3,0,0,'Données projet'!$E$11+1,1))</f>
        <v>172.9177436650786</v>
      </c>
      <c r="BJ4" s="59">
        <f>$BJ$3</f>
        <v>173.73622806725865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5.5909090909090908</v>
      </c>
      <c r="BY4" s="12">
        <f>IF('Données projet'!$A$114&gt;35,BY3+BX4-CG3,IF(A4&lt;'Données projet'!$A$114,$BV$205^A4,IF(A4='Données projet'!$A$114,'Données projet'!$B$114,BY3+BX4-CG3)))</f>
        <v>1.244502252163008</v>
      </c>
      <c r="BZ4" s="13">
        <f>BY4*VLOOKUP('Données projet'!$B$12,Paramètres!$A$1:$I$89,3,0)*VLOOKUP('Données projet'!$B$12,Paramètres!$A$1:$I$89,5,0)</f>
        <v>0.74421234679347892</v>
      </c>
      <c r="CA4" s="13">
        <f>EXP(-1.0587+0.8836*LN(BZ4)+0.284)</f>
        <v>0.3549632728022305</v>
      </c>
      <c r="CB4" s="20">
        <f t="shared" ref="CB4:CB67" si="10">(BZ4+CA4)*0.475*44/12</f>
        <v>1.9143975374625271</v>
      </c>
      <c r="CC4" s="59">
        <f t="shared" ref="CC4:CC67" si="11">CB4+(BT4+BU4)*44/12</f>
        <v>295.24773087079586</v>
      </c>
      <c r="CD4" s="59">
        <f ca="1">AVERAGE(OFFSET($CC$3,0,0,'Données projet'!$E$12+1,1))-AVERAGE(OFFSET($H$3,0,0,'Données projet'!$E$12+1,1))</f>
        <v>289.07218105343333</v>
      </c>
      <c r="CE4" s="59">
        <f>$CE$3</f>
        <v>217.57508587672368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</v>
      </c>
      <c r="N5" s="13">
        <f>IF('Données projet'!$A$36&gt;35,N4+M5-V4,IF(A5&lt;'Données projet'!$A$36,$K$205^A5,IF(A5='Données projet'!$A$36,'Données projet'!$B$36,N4+M5-V4)))</f>
        <v>1.4047784722585119</v>
      </c>
      <c r="O5" s="13">
        <f>N5*VLOOKUP('Données projet'!$B$9,Paramètres!$A$1:$I$89,3,0)*VLOOKUP('Données projet'!$B$9,Paramètres!$A$1:$I$89,5,0)</f>
        <v>1.4244453708701312</v>
      </c>
      <c r="P5" s="13">
        <f t="shared" ref="P5:P68" si="33">EXP(-1.0587+0.8836*LN(O5)+0.284)</f>
        <v>0.62996075113518346</v>
      </c>
      <c r="Q5" s="20">
        <f t="shared" si="2"/>
        <v>3.5780906624925897</v>
      </c>
      <c r="R5" s="59">
        <f t="shared" si="0"/>
        <v>296.91142399582588</v>
      </c>
      <c r="S5" s="59">
        <f ca="1">AVERAGE(OFFSET($R$3,0,0,'Données projet'!$E$9+1,1))-AVERAGE(OFFSET($H$3,0,0,'Données projet'!$E$9+1,1))</f>
        <v>272.93635583300755</v>
      </c>
      <c r="T5" s="59">
        <f t="shared" ref="T5:T68" si="34">$T$3</f>
        <v>179.56041631665812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1.4047784722585119</v>
      </c>
      <c r="AJ5" s="13">
        <f>AI5*VLOOKUP('Données projet'!$B$10,Paramètres!$A$1:$I$89,3,0)*VLOOKUP('Données projet'!$B$10,Paramètres!$A$1:$I$89,5,0)</f>
        <v>1.2710435616995015</v>
      </c>
      <c r="AK5" s="13">
        <f t="shared" ref="AK5:AK68" si="35">EXP(-1.0587+0.8836*LN(AJ5)+0.284)</f>
        <v>0.56962392939903683</v>
      </c>
      <c r="AL5" s="20">
        <f t="shared" si="4"/>
        <v>3.2058292136632871</v>
      </c>
      <c r="AM5" s="59">
        <f t="shared" si="5"/>
        <v>296.53916254699658</v>
      </c>
      <c r="AN5" s="59">
        <f ca="1">AVERAGE(OFFSET($AM$3,0,0,'Données projet'!$E$10+1,1))-AVERAGE(OFFSET($H$3,0,0,'Données projet'!$E$10+1,1))</f>
        <v>237.64646718446005</v>
      </c>
      <c r="AO5" s="59">
        <f t="shared" ref="AO5:AO68" si="36">$AO$3</f>
        <v>156.67965022779907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2.4666666666666668</v>
      </c>
      <c r="BD5" s="12">
        <f>IF('Données projet'!$A$88&gt;35,BD4+BC5-BL4,IF(A5&lt;'Données projet'!$A$88,$BA$205^A5,IF(A5='Données projet'!$A$88,'Données projet'!$B$88,BD4+BC5-BL4)))</f>
        <v>1.6184286699097237</v>
      </c>
      <c r="BE5" s="13">
        <f>BD5*VLOOKUP('Données projet'!$B$11,Paramètres!$A$1:$I$89,3,0)*VLOOKUP('Données projet'!$B$11,Paramètres!$A$1:$I$89,5,0)</f>
        <v>1.0603944645248509</v>
      </c>
      <c r="BF5" s="13">
        <f t="shared" ref="BF5:BF68" si="37">EXP(-1.0587+0.8836*LN(BE5)+0.284)</f>
        <v>0.48535007986351425</v>
      </c>
      <c r="BG5" s="20">
        <f t="shared" si="7"/>
        <v>2.6921717481430694</v>
      </c>
      <c r="BH5" s="59">
        <f t="shared" si="8"/>
        <v>296.02550508147641</v>
      </c>
      <c r="BI5" s="59">
        <f ca="1">AVERAGE(OFFSET($BH$3,0,0,'Données projet'!$E$11+1,1))-AVERAGE(OFFSET($H$3,0,0,'Données projet'!$E$11+1,1))</f>
        <v>172.9177436650786</v>
      </c>
      <c r="BJ5" s="59">
        <f t="shared" ref="BJ5:BJ68" si="38">$BJ$3</f>
        <v>173.73622806725865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5.5909090909090908</v>
      </c>
      <c r="BY5" s="12">
        <f>IF('Données projet'!$A$114&gt;35,BY4+BX5-CG4,IF(A5&lt;'Données projet'!$A$114,$BV$205^A5,IF(A5='Données projet'!$A$114,'Données projet'!$B$114,BY4+BX5-CG4)))</f>
        <v>1.5487858556387992</v>
      </c>
      <c r="BZ5" s="13">
        <f>BY5*VLOOKUP('Données projet'!$B$12,Paramètres!$A$1:$I$89,3,0)*VLOOKUP('Données projet'!$B$12,Paramètres!$A$1:$I$89,5,0)</f>
        <v>0.92617394167200195</v>
      </c>
      <c r="CA5" s="13">
        <f t="shared" ref="CA5:CA68" si="39">EXP(-1.0587+0.8836*LN(BZ5)+0.284)</f>
        <v>0.43064718121421069</v>
      </c>
      <c r="CB5" s="20">
        <f t="shared" si="10"/>
        <v>2.3631301223601535</v>
      </c>
      <c r="CC5" s="59">
        <f t="shared" si="11"/>
        <v>295.69646345569345</v>
      </c>
      <c r="CD5" s="59">
        <f ca="1">AVERAGE(OFFSET($CC$3,0,0,'Données projet'!$E$12+1,1))-AVERAGE(OFFSET($H$3,0,0,'Données projet'!$E$12+1,1))</f>
        <v>289.07218105343333</v>
      </c>
      <c r="CE5" s="59">
        <f t="shared" ref="CE5:CE68" si="40">$CE$3</f>
        <v>217.57508587672368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</v>
      </c>
      <c r="N6" s="13">
        <f>IF('Données projet'!$A$36&gt;35,N5+M6-V5,IF(A6&lt;'Données projet'!$A$36,$K$205^A6,IF(A6='Données projet'!$A$36,'Données projet'!$B$36,N5+M6-V5)))</f>
        <v>1.6649905188734988</v>
      </c>
      <c r="O6" s="13">
        <f>N6*VLOOKUP('Données projet'!$B$9,Paramètres!$A$1:$I$89,3,0)*VLOOKUP('Données projet'!$B$9,Paramètres!$A$1:$I$89,5,0)</f>
        <v>1.6883003861377279</v>
      </c>
      <c r="P6" s="13">
        <f t="shared" si="33"/>
        <v>0.7320262203678447</v>
      </c>
      <c r="Q6" s="20">
        <f t="shared" si="2"/>
        <v>4.215402172997206</v>
      </c>
      <c r="R6" s="59">
        <f t="shared" si="0"/>
        <v>297.5487355063305</v>
      </c>
      <c r="S6" s="59">
        <f ca="1">AVERAGE(OFFSET($R$3,0,0,'Données projet'!$E$9+1,1))-AVERAGE(OFFSET($H$3,0,0,'Données projet'!$E$9+1,1))</f>
        <v>272.93635583300755</v>
      </c>
      <c r="T6" s="59">
        <f t="shared" si="34"/>
        <v>179.56041631665812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1.6649905188734988</v>
      </c>
      <c r="AJ6" s="13">
        <f>AI6*VLOOKUP('Données projet'!$B$10,Paramètres!$A$1:$I$89,3,0)*VLOOKUP('Données projet'!$B$10,Paramètres!$A$1:$I$89,5,0)</f>
        <v>1.5064834214767417</v>
      </c>
      <c r="AK6" s="13">
        <f t="shared" si="35"/>
        <v>0.66191370068319888</v>
      </c>
      <c r="AL6" s="20">
        <f t="shared" si="4"/>
        <v>3.7766249877618967</v>
      </c>
      <c r="AM6" s="59">
        <f t="shared" si="5"/>
        <v>297.10995832109523</v>
      </c>
      <c r="AN6" s="59">
        <f ca="1">AVERAGE(OFFSET($AM$3,0,0,'Données projet'!$E$10+1,1))-AVERAGE(OFFSET($H$3,0,0,'Données projet'!$E$10+1,1))</f>
        <v>237.64646718446005</v>
      </c>
      <c r="AO6" s="59">
        <f t="shared" si="36"/>
        <v>156.67965022779907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2.4666666666666668</v>
      </c>
      <c r="BD6" s="12">
        <f>IF('Données projet'!$A$88&gt;35,BD5+BC6-BL5,IF(A6&lt;'Données projet'!$A$88,$BA$205^A6,IF(A6='Données projet'!$A$88,'Données projet'!$B$88,BD5+BC6-BL5)))</f>
        <v>2.0589241364785171</v>
      </c>
      <c r="BE6" s="13">
        <f>BD6*VLOOKUP('Données projet'!$B$11,Paramètres!$A$1:$I$89,3,0)*VLOOKUP('Données projet'!$B$11,Paramètres!$A$1:$I$89,5,0)</f>
        <v>1.3490070942207244</v>
      </c>
      <c r="BF6" s="13">
        <f t="shared" si="37"/>
        <v>0.60038888236887178</v>
      </c>
      <c r="BG6" s="20">
        <f t="shared" si="7"/>
        <v>3.3951979925602132</v>
      </c>
      <c r="BH6" s="59">
        <f t="shared" si="8"/>
        <v>296.72853132589353</v>
      </c>
      <c r="BI6" s="59">
        <f ca="1">AVERAGE(OFFSET($BH$3,0,0,'Données projet'!$E$11+1,1))-AVERAGE(OFFSET($H$3,0,0,'Données projet'!$E$11+1,1))</f>
        <v>172.9177436650786</v>
      </c>
      <c r="BJ6" s="59">
        <f t="shared" si="38"/>
        <v>173.73622806725865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5.5909090909090908</v>
      </c>
      <c r="BY6" s="12">
        <f>IF('Données projet'!$A$114&gt;35,BY5+BX6-CG5,IF(A6&lt;'Données projet'!$A$114,$BV$205^A6,IF(A6='Données projet'!$A$114,'Données projet'!$B$114,BY5+BX6-CG5)))</f>
        <v>1.927467485460697</v>
      </c>
      <c r="BZ6" s="13">
        <f>BY6*VLOOKUP('Données projet'!$B$12,Paramètres!$A$1:$I$89,3,0)*VLOOKUP('Données projet'!$B$12,Paramètres!$A$1:$I$89,5,0)</f>
        <v>1.152625556305497</v>
      </c>
      <c r="CA6" s="13">
        <f t="shared" si="39"/>
        <v>0.52246812247269758</v>
      </c>
      <c r="CB6" s="20">
        <f t="shared" si="10"/>
        <v>2.9174548238720219</v>
      </c>
      <c r="CC6" s="59">
        <f t="shared" si="11"/>
        <v>296.25078815720536</v>
      </c>
      <c r="CD6" s="59">
        <f ca="1">AVERAGE(OFFSET($CC$3,0,0,'Données projet'!$E$12+1,1))-AVERAGE(OFFSET($H$3,0,0,'Données projet'!$E$12+1,1))</f>
        <v>289.07218105343333</v>
      </c>
      <c r="CE6" s="59">
        <f t="shared" si="40"/>
        <v>217.57508587672368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</v>
      </c>
      <c r="N7" s="13">
        <f>IF('Données projet'!$A$36&gt;35,N6+M7-V6,IF(A7&lt;'Données projet'!$A$36,$K$205^A7,IF(A7='Données projet'!$A$36,'Données projet'!$B$36,N6+M7-V6)))</f>
        <v>1.9734025561209587</v>
      </c>
      <c r="O7" s="13">
        <f>N7*VLOOKUP('Données projet'!$B$9,Paramètres!$A$1:$I$89,3,0)*VLOOKUP('Données projet'!$B$9,Paramètres!$A$1:$I$89,5,0)</f>
        <v>2.001030191906652</v>
      </c>
      <c r="P7" s="13">
        <f t="shared" si="33"/>
        <v>0.85062821190115911</v>
      </c>
      <c r="Q7" s="20">
        <f t="shared" si="2"/>
        <v>4.9666383866319377</v>
      </c>
      <c r="R7" s="59">
        <f t="shared" si="0"/>
        <v>298.29997171996524</v>
      </c>
      <c r="S7" s="59">
        <f ca="1">AVERAGE(OFFSET($R$3,0,0,'Données projet'!$E$9+1,1))-AVERAGE(OFFSET($H$3,0,0,'Données projet'!$E$9+1,1))</f>
        <v>272.93635583300755</v>
      </c>
      <c r="T7" s="59">
        <f t="shared" si="34"/>
        <v>179.56041631665812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1.9734025561209587</v>
      </c>
      <c r="AJ7" s="13">
        <f>AI7*VLOOKUP('Données projet'!$B$10,Paramètres!$A$1:$I$89,3,0)*VLOOKUP('Données projet'!$B$10,Paramètres!$A$1:$I$89,5,0)</f>
        <v>1.7855346327782433</v>
      </c>
      <c r="AK7" s="13">
        <f t="shared" si="35"/>
        <v>0.7691561476610751</v>
      </c>
      <c r="AL7" s="20">
        <f t="shared" si="4"/>
        <v>4.4494197759318128</v>
      </c>
      <c r="AM7" s="59">
        <f t="shared" si="5"/>
        <v>297.78275310926512</v>
      </c>
      <c r="AN7" s="59">
        <f ca="1">AVERAGE(OFFSET($AM$3,0,0,'Données projet'!$E$10+1,1))-AVERAGE(OFFSET($H$3,0,0,'Données projet'!$E$10+1,1))</f>
        <v>237.64646718446005</v>
      </c>
      <c r="AO7" s="59">
        <f t="shared" si="36"/>
        <v>156.67965022779907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2.4666666666666668</v>
      </c>
      <c r="BD7" s="12">
        <f>IF('Données projet'!$A$88&gt;35,BD6+BC7-BL6,IF(A7&lt;'Données projet'!$A$88,$BA$205^A7,IF(A7='Données projet'!$A$88,'Données projet'!$B$88,BD6+BC7-BL6)))</f>
        <v>2.6193113595857573</v>
      </c>
      <c r="BE7" s="13">
        <f>BD7*VLOOKUP('Données projet'!$B$11,Paramètres!$A$1:$I$89,3,0)*VLOOKUP('Données projet'!$B$11,Paramètres!$A$1:$I$89,5,0)</f>
        <v>1.7161728028005883</v>
      </c>
      <c r="BF7" s="13">
        <f t="shared" si="37"/>
        <v>0.74269444886773317</v>
      </c>
      <c r="BG7" s="20">
        <f t="shared" si="7"/>
        <v>4.2825271299889929</v>
      </c>
      <c r="BH7" s="59">
        <f t="shared" si="8"/>
        <v>297.61586046332229</v>
      </c>
      <c r="BI7" s="59">
        <f ca="1">AVERAGE(OFFSET($BH$3,0,0,'Données projet'!$E$11+1,1))-AVERAGE(OFFSET($H$3,0,0,'Données projet'!$E$11+1,1))</f>
        <v>172.9177436650786</v>
      </c>
      <c r="BJ7" s="59">
        <f t="shared" si="38"/>
        <v>173.73622806725865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5.5909090909090908</v>
      </c>
      <c r="BY7" s="12">
        <f>IF('Données projet'!$A$114&gt;35,BY6+BX7-CG6,IF(A7&lt;'Données projet'!$A$114,$BV$205^A7,IF(A7='Données projet'!$A$114,'Données projet'!$B$114,BY6+BX7-CG6)))</f>
        <v>2.3987376266268075</v>
      </c>
      <c r="BZ7" s="13">
        <f>BY7*VLOOKUP('Données projet'!$B$12,Paramètres!$A$1:$I$89,3,0)*VLOOKUP('Données projet'!$B$12,Paramètres!$A$1:$I$89,5,0)</f>
        <v>1.4344451007228309</v>
      </c>
      <c r="CA7" s="13">
        <f t="shared" si="39"/>
        <v>0.63386677286612625</v>
      </c>
      <c r="CB7" s="20">
        <f t="shared" si="10"/>
        <v>3.6023098465007668</v>
      </c>
      <c r="CC7" s="59">
        <f t="shared" si="11"/>
        <v>296.93564317983407</v>
      </c>
      <c r="CD7" s="59">
        <f ca="1">AVERAGE(OFFSET($CC$3,0,0,'Données projet'!$E$12+1,1))-AVERAGE(OFFSET($H$3,0,0,'Données projet'!$E$12+1,1))</f>
        <v>289.07218105343333</v>
      </c>
      <c r="CE7" s="59">
        <f t="shared" si="40"/>
        <v>217.57508587672368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</v>
      </c>
      <c r="N8" s="13">
        <f>IF('Données projet'!$A$36&gt;35,N7+M8-V7,IF(A8&lt;'Données projet'!$A$36,$K$205^A8,IF(A8='Données projet'!$A$36,'Données projet'!$B$36,N7+M8-V7)))</f>
        <v>2.3389428374280206</v>
      </c>
      <c r="O8" s="13">
        <f>N8*VLOOKUP('Données projet'!$B$9,Paramètres!$A$1:$I$89,3,0)*VLOOKUP('Données projet'!$B$9,Paramètres!$A$1:$I$89,5,0)</f>
        <v>2.3716880371520133</v>
      </c>
      <c r="P8" s="13">
        <f t="shared" si="33"/>
        <v>0.98844595282197545</v>
      </c>
      <c r="Q8" s="20">
        <f t="shared" si="2"/>
        <v>5.8522333658713634</v>
      </c>
      <c r="R8" s="59">
        <f t="shared" si="0"/>
        <v>299.18556669920468</v>
      </c>
      <c r="S8" s="59">
        <f ca="1">AVERAGE(OFFSET($R$3,0,0,'Données projet'!$E$9+1,1))-AVERAGE(OFFSET($H$3,0,0,'Données projet'!$E$9+1,1))</f>
        <v>272.93635583300755</v>
      </c>
      <c r="T8" s="59">
        <f t="shared" si="34"/>
        <v>179.56041631665812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2.3389428374280206</v>
      </c>
      <c r="AJ8" s="13">
        <f>AI8*VLOOKUP('Données projet'!$B$10,Paramètres!$A$1:$I$89,3,0)*VLOOKUP('Données projet'!$B$10,Paramètres!$A$1:$I$89,5,0)</f>
        <v>2.1162754793048726</v>
      </c>
      <c r="AK8" s="13">
        <f t="shared" si="35"/>
        <v>0.89377388453237949</v>
      </c>
      <c r="AL8" s="20">
        <f t="shared" si="4"/>
        <v>5.2425026420165475</v>
      </c>
      <c r="AM8" s="59">
        <f t="shared" si="5"/>
        <v>298.57583597534989</v>
      </c>
      <c r="AN8" s="59">
        <f ca="1">AVERAGE(OFFSET($AM$3,0,0,'Données projet'!$E$10+1,1))-AVERAGE(OFFSET($H$3,0,0,'Données projet'!$E$10+1,1))</f>
        <v>237.64646718446005</v>
      </c>
      <c r="AO8" s="59">
        <f t="shared" si="36"/>
        <v>156.67965022779907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2.4666666666666668</v>
      </c>
      <c r="BD8" s="12">
        <f>IF('Données projet'!$A$88&gt;35,BD7+BC8-BL7,IF(A8&lt;'Données projet'!$A$88,$BA$205^A8,IF(A8='Données projet'!$A$88,'Données projet'!$B$88,BD7+BC8-BL7)))</f>
        <v>3.332221851645953</v>
      </c>
      <c r="BE8" s="13">
        <f>BD8*VLOOKUP('Données projet'!$B$11,Paramètres!$A$1:$I$89,3,0)*VLOOKUP('Données projet'!$B$11,Paramètres!$A$1:$I$89,5,0)</f>
        <v>2.1832717571984284</v>
      </c>
      <c r="BF8" s="13">
        <f t="shared" si="37"/>
        <v>0.91872961105241191</v>
      </c>
      <c r="BG8" s="20">
        <f t="shared" si="7"/>
        <v>5.4026523830368793</v>
      </c>
      <c r="BH8" s="59">
        <f t="shared" si="8"/>
        <v>298.73598571637018</v>
      </c>
      <c r="BI8" s="59">
        <f ca="1">AVERAGE(OFFSET($BH$3,0,0,'Données projet'!$E$11+1,1))-AVERAGE(OFFSET($H$3,0,0,'Données projet'!$E$11+1,1))</f>
        <v>172.9177436650786</v>
      </c>
      <c r="BJ8" s="59">
        <f t="shared" si="38"/>
        <v>173.73622806725865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5.5909090909090908</v>
      </c>
      <c r="BY8" s="12">
        <f>IF('Données projet'!$A$114&gt;35,BY7+BX8-CG7,IF(A8&lt;'Données projet'!$A$114,$BV$205^A8,IF(A8='Données projet'!$A$114,'Données projet'!$B$114,BY7+BX8-CG7)))</f>
        <v>2.9852343786852105</v>
      </c>
      <c r="BZ8" s="13">
        <f>BY8*VLOOKUP('Données projet'!$B$12,Paramètres!$A$1:$I$89,3,0)*VLOOKUP('Données projet'!$B$12,Paramètres!$A$1:$I$89,5,0)</f>
        <v>1.785170158453756</v>
      </c>
      <c r="CA8" s="13">
        <f t="shared" si="39"/>
        <v>0.7690174164926461</v>
      </c>
      <c r="CB8" s="20">
        <f t="shared" si="10"/>
        <v>4.4485433596983173</v>
      </c>
      <c r="CC8" s="59">
        <f t="shared" si="11"/>
        <v>297.78187669303162</v>
      </c>
      <c r="CD8" s="59">
        <f ca="1">AVERAGE(OFFSET($CC$3,0,0,'Données projet'!$E$12+1,1))-AVERAGE(OFFSET($H$3,0,0,'Données projet'!$E$12+1,1))</f>
        <v>289.07218105343333</v>
      </c>
      <c r="CE8" s="59">
        <f t="shared" si="40"/>
        <v>217.57508587672368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</v>
      </c>
      <c r="N9" s="13">
        <f>IF('Données projet'!$A$36&gt;35,N8+M9-V8,IF(A9&lt;'Données projet'!$A$36,$K$205^A9,IF(A9='Données projet'!$A$36,'Données projet'!$B$36,N8+M9-V8)))</f>
        <v>2.7721934279386429</v>
      </c>
      <c r="O9" s="13">
        <f>N9*VLOOKUP('Données projet'!$B$9,Paramètres!$A$1:$I$89,3,0)*VLOOKUP('Données projet'!$B$9,Paramètres!$A$1:$I$89,5,0)</f>
        <v>2.8110041359297839</v>
      </c>
      <c r="P9" s="13">
        <f t="shared" si="33"/>
        <v>1.1485927553078508</v>
      </c>
      <c r="Q9" s="20">
        <f t="shared" si="2"/>
        <v>6.8962979189055469</v>
      </c>
      <c r="R9" s="59">
        <f t="shared" si="0"/>
        <v>300.22963125223885</v>
      </c>
      <c r="S9" s="59">
        <f ca="1">AVERAGE(OFFSET($R$3,0,0,'Données projet'!$E$9+1,1))-AVERAGE(OFFSET($H$3,0,0,'Données projet'!$E$9+1,1))</f>
        <v>272.93635583300755</v>
      </c>
      <c r="T9" s="59">
        <f t="shared" si="34"/>
        <v>179.56041631665812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2.7721934279386429</v>
      </c>
      <c r="AJ9" s="13">
        <f>AI9*VLOOKUP('Données projet'!$B$10,Paramètres!$A$1:$I$89,3,0)*VLOOKUP('Données projet'!$B$10,Paramètres!$A$1:$I$89,5,0)</f>
        <v>2.5082806135988838</v>
      </c>
      <c r="AK9" s="13">
        <f t="shared" si="35"/>
        <v>1.0385820344818992</v>
      </c>
      <c r="AL9" s="20">
        <f t="shared" si="4"/>
        <v>6.1774524454073623</v>
      </c>
      <c r="AM9" s="59">
        <f t="shared" si="5"/>
        <v>299.51078577874068</v>
      </c>
      <c r="AN9" s="59">
        <f ca="1">AVERAGE(OFFSET($AM$3,0,0,'Données projet'!$E$10+1,1))-AVERAGE(OFFSET($H$3,0,0,'Données projet'!$E$10+1,1))</f>
        <v>237.64646718446005</v>
      </c>
      <c r="AO9" s="59">
        <f t="shared" si="36"/>
        <v>156.67965022779907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2.4666666666666668</v>
      </c>
      <c r="BD9" s="12">
        <f>IF('Données projet'!$A$88&gt;35,BD8+BC9-BL8,IF(A9&lt;'Données projet'!$A$88,$BA$205^A9,IF(A9='Données projet'!$A$88,'Données projet'!$B$88,BD8+BC9-BL8)))</f>
        <v>4.2391685997738069</v>
      </c>
      <c r="BE9" s="13">
        <f>BD9*VLOOKUP('Données projet'!$B$11,Paramètres!$A$1:$I$89,3,0)*VLOOKUP('Données projet'!$B$11,Paramètres!$A$1:$I$89,5,0)</f>
        <v>2.7775032665717982</v>
      </c>
      <c r="BF9" s="13">
        <f t="shared" si="37"/>
        <v>1.1364890359842124</v>
      </c>
      <c r="BG9" s="20">
        <f t="shared" si="7"/>
        <v>6.8168699269517186</v>
      </c>
      <c r="BH9" s="59">
        <f t="shared" si="8"/>
        <v>300.15020326028502</v>
      </c>
      <c r="BI9" s="59">
        <f ca="1">AVERAGE(OFFSET($BH$3,0,0,'Données projet'!$E$11+1,1))-AVERAGE(OFFSET($H$3,0,0,'Données projet'!$E$11+1,1))</f>
        <v>172.9177436650786</v>
      </c>
      <c r="BJ9" s="59">
        <f t="shared" si="38"/>
        <v>173.73622806725865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5.5909090909090908</v>
      </c>
      <c r="BY9" s="12">
        <f>IF('Données projet'!$A$114&gt;35,BY8+BX9-CG8,IF(A9&lt;'Données projet'!$A$114,$BV$205^A9,IF(A9='Données projet'!$A$114,'Données projet'!$B$114,BY8+BX9-CG8)))</f>
        <v>3.7151309075081826</v>
      </c>
      <c r="BZ9" s="13">
        <f>BY9*VLOOKUP('Données projet'!$B$12,Paramètres!$A$1:$I$89,3,0)*VLOOKUP('Données projet'!$B$12,Paramètres!$A$1:$I$89,5,0)</f>
        <v>2.2216482826898933</v>
      </c>
      <c r="CA9" s="13">
        <f t="shared" si="39"/>
        <v>0.93298436230530435</v>
      </c>
      <c r="CB9" s="20">
        <f t="shared" si="10"/>
        <v>5.4943185233666361</v>
      </c>
      <c r="CC9" s="59">
        <f t="shared" si="11"/>
        <v>298.82765185669996</v>
      </c>
      <c r="CD9" s="59">
        <f ca="1">AVERAGE(OFFSET($CC$3,0,0,'Données projet'!$E$12+1,1))-AVERAGE(OFFSET($H$3,0,0,'Données projet'!$E$12+1,1))</f>
        <v>289.07218105343333</v>
      </c>
      <c r="CE9" s="59">
        <f t="shared" si="40"/>
        <v>217.57508587672368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</v>
      </c>
      <c r="N10" s="13">
        <f>IF('Données projet'!$A$36&gt;35,N9+M10-V9,IF(A10&lt;'Données projet'!$A$36,$K$205^A10,IF(A10='Données projet'!$A$36,'Données projet'!$B$36,N9+M10-V9)))</f>
        <v>3.2856965458621241</v>
      </c>
      <c r="O10" s="13">
        <f>N10*VLOOKUP('Données projet'!$B$9,Paramètres!$A$1:$I$89,3,0)*VLOOKUP('Données projet'!$B$9,Paramètres!$A$1:$I$89,5,0)</f>
        <v>3.3316962975041937</v>
      </c>
      <c r="P10" s="13">
        <f t="shared" si="33"/>
        <v>1.3346863465617191</v>
      </c>
      <c r="Q10" s="20">
        <f t="shared" si="2"/>
        <v>8.1272831050814656</v>
      </c>
      <c r="R10" s="59">
        <f t="shared" si="0"/>
        <v>301.46061643841477</v>
      </c>
      <c r="S10" s="59">
        <f ca="1">AVERAGE(OFFSET($R$3,0,0,'Données projet'!$E$9+1,1))-AVERAGE(OFFSET($H$3,0,0,'Données projet'!$E$9+1,1))</f>
        <v>272.93635583300755</v>
      </c>
      <c r="T10" s="59">
        <f t="shared" si="34"/>
        <v>179.56041631665812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3.2856965458621241</v>
      </c>
      <c r="AJ10" s="13">
        <f>AI10*VLOOKUP('Données projet'!$B$10,Paramètres!$A$1:$I$89,3,0)*VLOOKUP('Données projet'!$B$10,Paramètres!$A$1:$I$89,5,0)</f>
        <v>2.9728982346960495</v>
      </c>
      <c r="AK10" s="13">
        <f t="shared" si="35"/>
        <v>1.2068518235044534</v>
      </c>
      <c r="AL10" s="20">
        <f t="shared" si="4"/>
        <v>7.279731351365875</v>
      </c>
      <c r="AM10" s="59">
        <f t="shared" si="5"/>
        <v>300.61306468469917</v>
      </c>
      <c r="AN10" s="59">
        <f ca="1">AVERAGE(OFFSET($AM$3,0,0,'Données projet'!$E$10+1,1))-AVERAGE(OFFSET($H$3,0,0,'Données projet'!$E$10+1,1))</f>
        <v>237.64646718446005</v>
      </c>
      <c r="AO10" s="59">
        <f t="shared" si="36"/>
        <v>156.67965022779907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2.4666666666666668</v>
      </c>
      <c r="BD10" s="12">
        <f>IF('Données projet'!$A$88&gt;35,BD9+BC10-BL9,IF(A10&lt;'Données projet'!$A$88,$BA$205^A10,IF(A10='Données projet'!$A$88,'Données projet'!$B$88,BD9+BC10-BL9)))</f>
        <v>5.3929633792034757</v>
      </c>
      <c r="BE10" s="13">
        <f>BD10*VLOOKUP('Données projet'!$B$11,Paramètres!$A$1:$I$89,3,0)*VLOOKUP('Données projet'!$B$11,Paramètres!$A$1:$I$89,5,0)</f>
        <v>3.5334696060541173</v>
      </c>
      <c r="BF10" s="13">
        <f t="shared" si="37"/>
        <v>1.4058623052682262</v>
      </c>
      <c r="BG10" s="20">
        <f t="shared" si="7"/>
        <v>8.6026697455530794</v>
      </c>
      <c r="BH10" s="59">
        <f t="shared" si="8"/>
        <v>301.93600307888642</v>
      </c>
      <c r="BI10" s="59">
        <f ca="1">AVERAGE(OFFSET($BH$3,0,0,'Données projet'!$E$11+1,1))-AVERAGE(OFFSET($H$3,0,0,'Données projet'!$E$11+1,1))</f>
        <v>172.9177436650786</v>
      </c>
      <c r="BJ10" s="59">
        <f t="shared" si="38"/>
        <v>173.73622806725865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5.5909090909090908</v>
      </c>
      <c r="BY10" s="12">
        <f>IF('Données projet'!$A$114&gt;35,BY9+BX10-CG9,IF(A10&lt;'Données projet'!$A$114,$BV$205^A10,IF(A10='Données projet'!$A$114,'Données projet'!$B$114,BY9+BX10-CG9)))</f>
        <v>4.6234887814743333</v>
      </c>
      <c r="BZ10" s="13">
        <f>BY10*VLOOKUP('Données projet'!$B$12,Paramètres!$A$1:$I$89,3,0)*VLOOKUP('Données projet'!$B$12,Paramètres!$A$1:$I$89,5,0)</f>
        <v>2.7648462913216516</v>
      </c>
      <c r="CA10" s="13">
        <f t="shared" si="39"/>
        <v>1.1319117118000401</v>
      </c>
      <c r="CB10" s="20">
        <f t="shared" si="10"/>
        <v>6.7868535221036126</v>
      </c>
      <c r="CC10" s="59">
        <f t="shared" si="11"/>
        <v>300.12018685543694</v>
      </c>
      <c r="CD10" s="59">
        <f ca="1">AVERAGE(OFFSET($CC$3,0,0,'Données projet'!$E$12+1,1))-AVERAGE(OFFSET($H$3,0,0,'Données projet'!$E$12+1,1))</f>
        <v>289.07218105343333</v>
      </c>
      <c r="CE10" s="59">
        <f t="shared" si="40"/>
        <v>217.57508587672368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</v>
      </c>
      <c r="N11" s="13">
        <f>IF('Données projet'!$A$36&gt;35,N10+M11-V10,IF(A11&lt;'Données projet'!$A$36,$K$205^A11,IF(A11='Données projet'!$A$36,'Données projet'!$B$36,N10+M11-V10)))</f>
        <v>3.8943176485047335</v>
      </c>
      <c r="O11" s="13">
        <f>N11*VLOOKUP('Données projet'!$B$9,Paramètres!$A$1:$I$89,3,0)*VLOOKUP('Données projet'!$B$9,Paramètres!$A$1:$I$89,5,0)</f>
        <v>3.9488380955837998</v>
      </c>
      <c r="P11" s="13">
        <f t="shared" si="33"/>
        <v>1.5509305935164246</v>
      </c>
      <c r="Q11" s="20">
        <f t="shared" si="2"/>
        <v>9.578763800182891</v>
      </c>
      <c r="R11" s="59">
        <f t="shared" si="0"/>
        <v>302.91209713351623</v>
      </c>
      <c r="S11" s="59">
        <f ca="1">AVERAGE(OFFSET($R$3,0,0,'Données projet'!$E$9+1,1))-AVERAGE(OFFSET($H$3,0,0,'Données projet'!$E$9+1,1))</f>
        <v>272.93635583300755</v>
      </c>
      <c r="T11" s="59">
        <f t="shared" si="34"/>
        <v>179.56041631665812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3.8943176485047335</v>
      </c>
      <c r="AJ11" s="13">
        <f>AI11*VLOOKUP('Données projet'!$B$10,Paramètres!$A$1:$I$89,3,0)*VLOOKUP('Données projet'!$B$10,Paramètres!$A$1:$I$89,5,0)</f>
        <v>3.5235786083670826</v>
      </c>
      <c r="AK11" s="13">
        <f t="shared" si="35"/>
        <v>1.4023844776234748</v>
      </c>
      <c r="AL11" s="20">
        <f t="shared" si="4"/>
        <v>8.5793857081002205</v>
      </c>
      <c r="AM11" s="59">
        <f t="shared" si="5"/>
        <v>301.91271904143355</v>
      </c>
      <c r="AN11" s="59">
        <f ca="1">AVERAGE(OFFSET($AM$3,0,0,'Données projet'!$E$10+1,1))-AVERAGE(OFFSET($H$3,0,0,'Données projet'!$E$10+1,1))</f>
        <v>237.64646718446005</v>
      </c>
      <c r="AO11" s="59">
        <f t="shared" si="36"/>
        <v>156.67965022779907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2.4666666666666668</v>
      </c>
      <c r="BD11" s="12">
        <f>IF('Données projet'!$A$88&gt;35,BD10+BC11-BL10,IF(A11&lt;'Données projet'!$A$88,$BA$205^A11,IF(A11='Données projet'!$A$88,'Données projet'!$B$88,BD10+BC11-BL10)))</f>
        <v>6.8607919984549888</v>
      </c>
      <c r="BE11" s="13">
        <f>BD11*VLOOKUP('Données projet'!$B$11,Paramètres!$A$1:$I$89,3,0)*VLOOKUP('Données projet'!$B$11,Paramètres!$A$1:$I$89,5,0)</f>
        <v>4.4951909173877089</v>
      </c>
      <c r="BF11" s="13">
        <f t="shared" si="37"/>
        <v>1.7390830520969034</v>
      </c>
      <c r="BG11" s="20">
        <f t="shared" si="7"/>
        <v>10.858027163519033</v>
      </c>
      <c r="BH11" s="59">
        <f t="shared" si="8"/>
        <v>304.19136049685233</v>
      </c>
      <c r="BI11" s="59">
        <f ca="1">AVERAGE(OFFSET($BH$3,0,0,'Données projet'!$E$11+1,1))-AVERAGE(OFFSET($H$3,0,0,'Données projet'!$E$11+1,1))</f>
        <v>172.9177436650786</v>
      </c>
      <c r="BJ11" s="59">
        <f t="shared" si="38"/>
        <v>173.73622806725865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5.5909090909090908</v>
      </c>
      <c r="BY11" s="12">
        <f>IF('Données projet'!$A$114&gt;35,BY10+BX11-CG10,IF(A11&lt;'Données projet'!$A$114,$BV$205^A11,IF(A11='Données projet'!$A$114,'Données projet'!$B$114,BY10+BX11-CG10)))</f>
        <v>5.7539422013952093</v>
      </c>
      <c r="BZ11" s="13">
        <f>BY11*VLOOKUP('Données projet'!$B$12,Paramètres!$A$1:$I$89,3,0)*VLOOKUP('Données projet'!$B$12,Paramètres!$A$1:$I$89,5,0)</f>
        <v>3.4408574364343356</v>
      </c>
      <c r="CA11" s="13">
        <f t="shared" si="39"/>
        <v>1.3732535882427113</v>
      </c>
      <c r="CB11" s="20">
        <f t="shared" si="10"/>
        <v>8.3845767013125236</v>
      </c>
      <c r="CC11" s="59">
        <f t="shared" si="11"/>
        <v>301.71791003464585</v>
      </c>
      <c r="CD11" s="59">
        <f ca="1">AVERAGE(OFFSET($CC$3,0,0,'Données projet'!$E$12+1,1))-AVERAGE(OFFSET($H$3,0,0,'Données projet'!$E$12+1,1))</f>
        <v>289.07218105343333</v>
      </c>
      <c r="CE11" s="59">
        <f t="shared" si="40"/>
        <v>217.57508587672368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</v>
      </c>
      <c r="N12" s="13">
        <f>IF('Données projet'!$A$36&gt;35,N11+M12-V11,IF(A12&lt;'Données projet'!$A$36,$K$205^A12,IF(A12='Données projet'!$A$36,'Données projet'!$B$36,N11+M12-V11)))</f>
        <v>4.6156757740012635</v>
      </c>
      <c r="O12" s="13">
        <f>N12*VLOOKUP('Données projet'!$B$9,Paramètres!$A$1:$I$89,3,0)*VLOOKUP('Données projet'!$B$9,Paramètres!$A$1:$I$89,5,0)</f>
        <v>4.6802952348372813</v>
      </c>
      <c r="P12" s="13">
        <f t="shared" si="33"/>
        <v>1.8022104684757689</v>
      </c>
      <c r="Q12" s="20">
        <f t="shared" si="2"/>
        <v>11.290364099936896</v>
      </c>
      <c r="R12" s="59">
        <f t="shared" si="0"/>
        <v>304.62369743327019</v>
      </c>
      <c r="S12" s="59">
        <f ca="1">AVERAGE(OFFSET($R$3,0,0,'Données projet'!$E$9+1,1))-AVERAGE(OFFSET($H$3,0,0,'Données projet'!$E$9+1,1))</f>
        <v>272.93635583300755</v>
      </c>
      <c r="T12" s="59">
        <f t="shared" si="34"/>
        <v>179.56041631665812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4.6156757740012635</v>
      </c>
      <c r="AJ12" s="13">
        <f>AI12*VLOOKUP('Données projet'!$B$10,Paramètres!$A$1:$I$89,3,0)*VLOOKUP('Données projet'!$B$10,Paramètres!$A$1:$I$89,5,0)</f>
        <v>4.176263440316343</v>
      </c>
      <c r="AK12" s="13">
        <f t="shared" si="35"/>
        <v>1.6295970928464274</v>
      </c>
      <c r="AL12" s="20">
        <f t="shared" si="4"/>
        <v>10.111873761925157</v>
      </c>
      <c r="AM12" s="59">
        <f t="shared" si="5"/>
        <v>303.44520709525847</v>
      </c>
      <c r="AN12" s="59">
        <f ca="1">AVERAGE(OFFSET($AM$3,0,0,'Données projet'!$E$10+1,1))-AVERAGE(OFFSET($H$3,0,0,'Données projet'!$E$10+1,1))</f>
        <v>237.64646718446005</v>
      </c>
      <c r="AO12" s="59">
        <f t="shared" si="36"/>
        <v>156.67965022779907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2.4666666666666668</v>
      </c>
      <c r="BD12" s="12">
        <f>IF('Données projet'!$A$88&gt;35,BD11+BC12-BL11,IF(A12&lt;'Données projet'!$A$88,$BA$205^A12,IF(A12='Données projet'!$A$88,'Données projet'!$B$88,BD11+BC12-BL11)))</f>
        <v>8.7281265486761299</v>
      </c>
      <c r="BE12" s="13">
        <f>BD12*VLOOKUP('Données projet'!$B$11,Paramètres!$A$1:$I$89,3,0)*VLOOKUP('Données projet'!$B$11,Paramètres!$A$1:$I$89,5,0)</f>
        <v>5.7186685146926006</v>
      </c>
      <c r="BF12" s="13">
        <f t="shared" si="37"/>
        <v>2.1512845537982104</v>
      </c>
      <c r="BG12" s="20">
        <f t="shared" si="7"/>
        <v>13.706834927621495</v>
      </c>
      <c r="BH12" s="59">
        <f t="shared" si="8"/>
        <v>307.04016826095483</v>
      </c>
      <c r="BI12" s="59">
        <f ca="1">AVERAGE(OFFSET($BH$3,0,0,'Données projet'!$E$11+1,1))-AVERAGE(OFFSET($H$3,0,0,'Données projet'!$E$11+1,1))</f>
        <v>172.9177436650786</v>
      </c>
      <c r="BJ12" s="59">
        <f t="shared" si="38"/>
        <v>173.73622806725865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5.5909090909090908</v>
      </c>
      <c r="BY12" s="12">
        <f>IF('Données projet'!$A$114&gt;35,BY11+BX12-CG11,IF(A12&lt;'Données projet'!$A$114,$BV$205^A12,IF(A12='Données projet'!$A$114,'Données projet'!$B$114,BY11+BX12-CG11)))</f>
        <v>7.1607940284521145</v>
      </c>
      <c r="BZ12" s="13">
        <f>BY12*VLOOKUP('Données projet'!$B$12,Paramètres!$A$1:$I$89,3,0)*VLOOKUP('Données projet'!$B$12,Paramètres!$A$1:$I$89,5,0)</f>
        <v>4.2821548290143649</v>
      </c>
      <c r="CA12" s="13">
        <f t="shared" si="39"/>
        <v>1.6660534544894132</v>
      </c>
      <c r="CB12" s="20">
        <f t="shared" si="10"/>
        <v>10.359796093769079</v>
      </c>
      <c r="CC12" s="59">
        <f t="shared" si="11"/>
        <v>303.69312942710241</v>
      </c>
      <c r="CD12" s="59">
        <f ca="1">AVERAGE(OFFSET($CC$3,0,0,'Données projet'!$E$12+1,1))-AVERAGE(OFFSET($H$3,0,0,'Données projet'!$E$12+1,1))</f>
        <v>289.07218105343333</v>
      </c>
      <c r="CE12" s="59">
        <f t="shared" si="40"/>
        <v>217.57508587672368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</v>
      </c>
      <c r="N13" s="13">
        <f>IF('Données projet'!$A$36&gt;35,N12+M13-V12,IF(A13&lt;'Données projet'!$A$36,$K$205^A13,IF(A13='Données projet'!$A$36,'Données projet'!$B$36,N12+M13-V12)))</f>
        <v>5.4706535967558398</v>
      </c>
      <c r="O13" s="13">
        <f>N13*VLOOKUP('Données projet'!$B$9,Paramètres!$A$1:$I$89,3,0)*VLOOKUP('Données projet'!$B$9,Paramètres!$A$1:$I$89,5,0)</f>
        <v>5.5472427471104222</v>
      </c>
      <c r="P13" s="13">
        <f t="shared" si="33"/>
        <v>2.0942024009724034</v>
      </c>
      <c r="Q13" s="20">
        <f t="shared" si="2"/>
        <v>13.308850299577585</v>
      </c>
      <c r="R13" s="59">
        <f t="shared" si="0"/>
        <v>306.64218363291093</v>
      </c>
      <c r="S13" s="59">
        <f ca="1">AVERAGE(OFFSET($R$3,0,0,'Données projet'!$E$9+1,1))-AVERAGE(OFFSET($H$3,0,0,'Données projet'!$E$9+1,1))</f>
        <v>272.93635583300755</v>
      </c>
      <c r="T13" s="59">
        <f t="shared" si="34"/>
        <v>179.56041631665812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5.4706535967558398</v>
      </c>
      <c r="AJ13" s="13">
        <f>AI13*VLOOKUP('Données projet'!$B$10,Paramètres!$A$1:$I$89,3,0)*VLOOKUP('Données projet'!$B$10,Paramètres!$A$1:$I$89,5,0)</f>
        <v>4.9498473743446834</v>
      </c>
      <c r="AK13" s="13">
        <f t="shared" si="35"/>
        <v>1.8936224176652101</v>
      </c>
      <c r="AL13" s="20">
        <f t="shared" si="4"/>
        <v>11.919043221083896</v>
      </c>
      <c r="AM13" s="59">
        <f t="shared" si="5"/>
        <v>305.2523765544172</v>
      </c>
      <c r="AN13" s="59">
        <f ca="1">AVERAGE(OFFSET($AM$3,0,0,'Données projet'!$E$10+1,1))-AVERAGE(OFFSET($H$3,0,0,'Données projet'!$E$10+1,1))</f>
        <v>237.64646718446005</v>
      </c>
      <c r="AO13" s="59">
        <f t="shared" si="36"/>
        <v>156.67965022779907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2.4666666666666668</v>
      </c>
      <c r="BD13" s="12">
        <f>IF('Données projet'!$A$88&gt;35,BD12+BC13-BL12,IF(A13&lt;'Données projet'!$A$88,$BA$205^A13,IF(A13='Données projet'!$A$88,'Données projet'!$B$88,BD12+BC13-BL12)))</f>
        <v>11.103702468586782</v>
      </c>
      <c r="BE13" s="13">
        <f>BD13*VLOOKUP('Données projet'!$B$11,Paramètres!$A$1:$I$89,3,0)*VLOOKUP('Données projet'!$B$11,Paramètres!$A$1:$I$89,5,0)</f>
        <v>7.2751458574180594</v>
      </c>
      <c r="BF13" s="13">
        <f t="shared" si="37"/>
        <v>2.6611870122191768</v>
      </c>
      <c r="BG13" s="20">
        <f t="shared" si="7"/>
        <v>17.305779747951522</v>
      </c>
      <c r="BH13" s="59">
        <f t="shared" si="8"/>
        <v>310.63911308128485</v>
      </c>
      <c r="BI13" s="59">
        <f ca="1">AVERAGE(OFFSET($BH$3,0,0,'Données projet'!$E$11+1,1))-AVERAGE(OFFSET($H$3,0,0,'Données projet'!$E$11+1,1))</f>
        <v>172.9177436650786</v>
      </c>
      <c r="BJ13" s="59">
        <f t="shared" si="38"/>
        <v>173.73622806725865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5.5909090909090908</v>
      </c>
      <c r="BY13" s="12">
        <f>IF('Données projet'!$A$114&gt;35,BY12+BX13-CG12,IF(A13&lt;'Données projet'!$A$114,$BV$205^A13,IF(A13='Données projet'!$A$114,'Données projet'!$B$114,BY12+BX13-CG12)))</f>
        <v>8.9116242956840761</v>
      </c>
      <c r="BZ13" s="13">
        <f>BY13*VLOOKUP('Données projet'!$B$12,Paramètres!$A$1:$I$89,3,0)*VLOOKUP('Données projet'!$B$12,Paramètres!$A$1:$I$89,5,0)</f>
        <v>5.3291513288190782</v>
      </c>
      <c r="CA13" s="13">
        <f t="shared" si="39"/>
        <v>2.0212829858817885</v>
      </c>
      <c r="CB13" s="20">
        <f t="shared" si="10"/>
        <v>12.802006431437341</v>
      </c>
      <c r="CC13" s="59">
        <f t="shared" si="11"/>
        <v>306.13533976477066</v>
      </c>
      <c r="CD13" s="59">
        <f ca="1">AVERAGE(OFFSET($CC$3,0,0,'Données projet'!$E$12+1,1))-AVERAGE(OFFSET($H$3,0,0,'Données projet'!$E$12+1,1))</f>
        <v>289.07218105343333</v>
      </c>
      <c r="CE13" s="59">
        <f t="shared" si="40"/>
        <v>217.57508587672368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</v>
      </c>
      <c r="N14" s="13">
        <f>IF('Données projet'!$A$36&gt;35,N13+M14-V13,IF(A14&lt;'Données projet'!$A$36,$K$205^A14,IF(A14='Données projet'!$A$36,'Données projet'!$B$36,N13+M14-V13)))</f>
        <v>6.4840019622421199</v>
      </c>
      <c r="O14" s="13">
        <f>N14*VLOOKUP('Données projet'!$B$9,Paramètres!$A$1:$I$89,3,0)*VLOOKUP('Données projet'!$B$9,Paramètres!$A$1:$I$89,5,0)</f>
        <v>6.5747779897135095</v>
      </c>
      <c r="P14" s="13">
        <f t="shared" si="33"/>
        <v>2.4335025086985533</v>
      </c>
      <c r="Q14" s="20">
        <f t="shared" si="2"/>
        <v>15.689421868067676</v>
      </c>
      <c r="R14" s="59">
        <f t="shared" si="0"/>
        <v>309.02275520140097</v>
      </c>
      <c r="S14" s="59">
        <f ca="1">AVERAGE(OFFSET($R$3,0,0,'Données projet'!$E$9+1,1))-AVERAGE(OFFSET($H$3,0,0,'Données projet'!$E$9+1,1))</f>
        <v>272.93635583300755</v>
      </c>
      <c r="T14" s="59">
        <f t="shared" si="34"/>
        <v>179.56041631665812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6.4840019622421199</v>
      </c>
      <c r="AJ14" s="13">
        <f>AI14*VLOOKUP('Données projet'!$B$10,Paramètres!$A$1:$I$89,3,0)*VLOOKUP('Données projet'!$B$10,Paramètres!$A$1:$I$89,5,0)</f>
        <v>5.8667249754366697</v>
      </c>
      <c r="AK14" s="13">
        <f t="shared" si="35"/>
        <v>2.2004248021950543</v>
      </c>
      <c r="AL14" s="20">
        <f t="shared" si="4"/>
        <v>14.050285862708584</v>
      </c>
      <c r="AM14" s="59">
        <f t="shared" si="5"/>
        <v>307.38361919604188</v>
      </c>
      <c r="AN14" s="59">
        <f ca="1">AVERAGE(OFFSET($AM$3,0,0,'Données projet'!$E$10+1,1))-AVERAGE(OFFSET($H$3,0,0,'Données projet'!$E$10+1,1))</f>
        <v>237.64646718446005</v>
      </c>
      <c r="AO14" s="59">
        <f t="shared" si="36"/>
        <v>156.67965022779907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2.4666666666666668</v>
      </c>
      <c r="BD14" s="12">
        <f>IF('Données projet'!$A$88&gt;35,BD13+BC14-BL13,IF(A14&lt;'Données projet'!$A$88,$BA$205^A14,IF(A14='Données projet'!$A$88,'Données projet'!$B$88,BD13+BC14-BL13)))</f>
        <v>14.125850240977657</v>
      </c>
      <c r="BE14" s="13">
        <f>BD14*VLOOKUP('Données projet'!$B$11,Paramètres!$A$1:$I$89,3,0)*VLOOKUP('Données projet'!$B$11,Paramètres!$A$1:$I$89,5,0)</f>
        <v>9.2552570778885617</v>
      </c>
      <c r="BF14" s="13">
        <f t="shared" si="37"/>
        <v>3.2919477349012349</v>
      </c>
      <c r="BG14" s="20">
        <f t="shared" si="7"/>
        <v>21.853048382275563</v>
      </c>
      <c r="BH14" s="59">
        <f t="shared" si="8"/>
        <v>315.18638171560889</v>
      </c>
      <c r="BI14" s="59">
        <f ca="1">AVERAGE(OFFSET($BH$3,0,0,'Données projet'!$E$11+1,1))-AVERAGE(OFFSET($H$3,0,0,'Données projet'!$E$11+1,1))</f>
        <v>172.9177436650786</v>
      </c>
      <c r="BJ14" s="59">
        <f t="shared" si="38"/>
        <v>173.73622806725865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5.5909090909090908</v>
      </c>
      <c r="BY14" s="12">
        <f>IF('Données projet'!$A$114&gt;35,BY13+BX14-CG13,IF(A14&lt;'Données projet'!$A$114,$BV$205^A14,IF(A14='Données projet'!$A$114,'Données projet'!$B$114,BY13+BX14-CG13)))</f>
        <v>11.090536506409412</v>
      </c>
      <c r="BZ14" s="13">
        <f>BY14*VLOOKUP('Données projet'!$B$12,Paramètres!$A$1:$I$89,3,0)*VLOOKUP('Données projet'!$B$12,Paramètres!$A$1:$I$89,5,0)</f>
        <v>6.6321408308328289</v>
      </c>
      <c r="CA14" s="13">
        <f t="shared" si="39"/>
        <v>2.4522531963221348</v>
      </c>
      <c r="CB14" s="20">
        <f t="shared" si="10"/>
        <v>15.821986263961561</v>
      </c>
      <c r="CC14" s="59">
        <f t="shared" si="11"/>
        <v>309.15531959729486</v>
      </c>
      <c r="CD14" s="59">
        <f ca="1">AVERAGE(OFFSET($CC$3,0,0,'Données projet'!$E$12+1,1))-AVERAGE(OFFSET($H$3,0,0,'Données projet'!$E$12+1,1))</f>
        <v>289.07218105343333</v>
      </c>
      <c r="CE14" s="59">
        <f t="shared" si="40"/>
        <v>217.57508587672368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</v>
      </c>
      <c r="N15" s="13">
        <f>IF('Données projet'!$A$36&gt;35,N14+M15-V14,IF(A15&lt;'Données projet'!$A$36,$K$205^A15,IF(A15='Données projet'!$A$36,'Données projet'!$B$36,N14+M15-V14)))</f>
        <v>7.685056401906202</v>
      </c>
      <c r="O15" s="13">
        <f>N15*VLOOKUP('Données projet'!$B$9,Paramètres!$A$1:$I$89,3,0)*VLOOKUP('Données projet'!$B$9,Paramètres!$A$1:$I$89,5,0)</f>
        <v>7.7926471915328897</v>
      </c>
      <c r="P15" s="13">
        <f t="shared" si="33"/>
        <v>2.827775604255069</v>
      </c>
      <c r="Q15" s="20">
        <f t="shared" si="2"/>
        <v>18.497236369330697</v>
      </c>
      <c r="R15" s="59">
        <f t="shared" si="0"/>
        <v>311.83056970266404</v>
      </c>
      <c r="S15" s="59">
        <f ca="1">AVERAGE(OFFSET($R$3,0,0,'Données projet'!$E$9+1,1))-AVERAGE(OFFSET($H$3,0,0,'Données projet'!$E$9+1,1))</f>
        <v>272.93635583300755</v>
      </c>
      <c r="T15" s="59">
        <f t="shared" si="34"/>
        <v>179.56041631665812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7.685056401906202</v>
      </c>
      <c r="AJ15" s="13">
        <f>AI15*VLOOKUP('Données projet'!$B$10,Paramètres!$A$1:$I$89,3,0)*VLOOKUP('Données projet'!$B$10,Paramètres!$A$1:$I$89,5,0)</f>
        <v>6.9534390324447317</v>
      </c>
      <c r="AK15" s="13">
        <f t="shared" si="35"/>
        <v>2.55693493325087</v>
      </c>
      <c r="AL15" s="20">
        <f t="shared" si="4"/>
        <v>16.563901323586503</v>
      </c>
      <c r="AM15" s="59">
        <f t="shared" si="5"/>
        <v>309.89723465691981</v>
      </c>
      <c r="AN15" s="59">
        <f ca="1">AVERAGE(OFFSET($AM$3,0,0,'Données projet'!$E$10+1,1))-AVERAGE(OFFSET($H$3,0,0,'Données projet'!$E$10+1,1))</f>
        <v>237.64646718446005</v>
      </c>
      <c r="AO15" s="59">
        <f t="shared" si="36"/>
        <v>156.67965022779907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2.4666666666666668</v>
      </c>
      <c r="BD15" s="12">
        <f>IF('Données projet'!$A$88&gt;35,BD14+BC15-BL14,IF(A15&lt;'Données projet'!$A$88,$BA$205^A15,IF(A15='Données projet'!$A$88,'Données projet'!$B$88,BD14+BC15-BL14)))</f>
        <v>17.970550417308221</v>
      </c>
      <c r="BE15" s="13">
        <f>BD15*VLOOKUP('Données projet'!$B$11,Paramètres!$A$1:$I$89,3,0)*VLOOKUP('Données projet'!$B$11,Paramètres!$A$1:$I$89,5,0)</f>
        <v>11.774304633420346</v>
      </c>
      <c r="BF15" s="13">
        <f t="shared" si="37"/>
        <v>4.0722128281711418</v>
      </c>
      <c r="BG15" s="20">
        <f t="shared" si="7"/>
        <v>27.599351245605177</v>
      </c>
      <c r="BH15" s="59">
        <f t="shared" si="8"/>
        <v>320.93268457893851</v>
      </c>
      <c r="BI15" s="59">
        <f ca="1">AVERAGE(OFFSET($BH$3,0,0,'Données projet'!$E$11+1,1))-AVERAGE(OFFSET($H$3,0,0,'Données projet'!$E$11+1,1))</f>
        <v>172.9177436650786</v>
      </c>
      <c r="BJ15" s="59">
        <f t="shared" si="38"/>
        <v>173.73622806725865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5.5909090909090908</v>
      </c>
      <c r="BY15" s="12">
        <f>IF('Données projet'!$A$114&gt;35,BY14+BX15-CG14,IF(A15&lt;'Données projet'!$A$114,$BV$205^A15,IF(A15='Données projet'!$A$114,'Données projet'!$B$114,BY14+BX15-CG14)))</f>
        <v>13.802197659922571</v>
      </c>
      <c r="BZ15" s="13">
        <f>BY15*VLOOKUP('Données projet'!$B$12,Paramètres!$A$1:$I$89,3,0)*VLOOKUP('Données projet'!$B$12,Paramètres!$A$1:$I$89,5,0)</f>
        <v>8.2537142006336985</v>
      </c>
      <c r="CA15" s="13">
        <f t="shared" si="39"/>
        <v>2.9751132230743558</v>
      </c>
      <c r="CB15" s="20">
        <f t="shared" si="10"/>
        <v>19.556874429624859</v>
      </c>
      <c r="CC15" s="59">
        <f t="shared" si="11"/>
        <v>312.8902077629582</v>
      </c>
      <c r="CD15" s="59">
        <f ca="1">AVERAGE(OFFSET($CC$3,0,0,'Données projet'!$E$12+1,1))-AVERAGE(OFFSET($H$3,0,0,'Données projet'!$E$12+1,1))</f>
        <v>289.07218105343333</v>
      </c>
      <c r="CE15" s="59">
        <f t="shared" si="40"/>
        <v>217.57508587672368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</v>
      </c>
      <c r="N16" s="13">
        <f>IF('Données projet'!$A$36&gt;35,N15+M16-V15,IF(A16&lt;'Données projet'!$A$36,$K$205^A16,IF(A16='Données projet'!$A$36,'Données projet'!$B$36,N15+M16-V15)))</f>
        <v>9.1085863706396779</v>
      </c>
      <c r="O16" s="13">
        <f>N16*VLOOKUP('Données projet'!$B$9,Paramètres!$A$1:$I$89,3,0)*VLOOKUP('Données projet'!$B$9,Paramètres!$A$1:$I$89,5,0)</f>
        <v>9.2361065798286326</v>
      </c>
      <c r="P16" s="13">
        <f t="shared" si="33"/>
        <v>3.2859283437914253</v>
      </c>
      <c r="Q16" s="20">
        <f t="shared" si="2"/>
        <v>21.809210825304934</v>
      </c>
      <c r="R16" s="59">
        <f t="shared" si="0"/>
        <v>315.14254415863826</v>
      </c>
      <c r="S16" s="59">
        <f ca="1">AVERAGE(OFFSET($R$3,0,0,'Données projet'!$E$9+1,1))-AVERAGE(OFFSET($H$3,0,0,'Données projet'!$E$9+1,1))</f>
        <v>272.93635583300755</v>
      </c>
      <c r="T16" s="59">
        <f t="shared" si="34"/>
        <v>179.56041631665812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9.1085863706396779</v>
      </c>
      <c r="AJ16" s="13">
        <f>AI16*VLOOKUP('Données projet'!$B$10,Paramètres!$A$1:$I$89,3,0)*VLOOKUP('Données projet'!$B$10,Paramètres!$A$1:$I$89,5,0)</f>
        <v>8.2414489481547797</v>
      </c>
      <c r="AK16" s="13">
        <f t="shared" si="35"/>
        <v>2.971206399035617</v>
      </c>
      <c r="AL16" s="20">
        <f t="shared" si="4"/>
        <v>19.528708063023274</v>
      </c>
      <c r="AM16" s="59">
        <f t="shared" si="5"/>
        <v>312.86204139635657</v>
      </c>
      <c r="AN16" s="59">
        <f ca="1">AVERAGE(OFFSET($AM$3,0,0,'Données projet'!$E$10+1,1))-AVERAGE(OFFSET($H$3,0,0,'Données projet'!$E$10+1,1))</f>
        <v>237.64646718446005</v>
      </c>
      <c r="AO16" s="59">
        <f t="shared" si="36"/>
        <v>156.67965022779907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2.4666666666666668</v>
      </c>
      <c r="BD16" s="12">
        <f>IF('Données projet'!$A$88&gt;35,BD15+BC16-BL15,IF(A16&lt;'Données projet'!$A$88,$BA$205^A16,IF(A16='Données projet'!$A$88,'Données projet'!$B$88,BD15+BC16-BL15)))</f>
        <v>22.86168101684942</v>
      </c>
      <c r="BE16" s="13">
        <f>BD16*VLOOKUP('Données projet'!$B$11,Paramètres!$A$1:$I$89,3,0)*VLOOKUP('Données projet'!$B$11,Paramètres!$A$1:$I$89,5,0)</f>
        <v>14.97897340223974</v>
      </c>
      <c r="BF16" s="13">
        <f t="shared" si="37"/>
        <v>5.0374181649694805</v>
      </c>
      <c r="BG16" s="20">
        <f t="shared" si="7"/>
        <v>34.861881979556053</v>
      </c>
      <c r="BH16" s="59">
        <f t="shared" si="8"/>
        <v>328.19521531288939</v>
      </c>
      <c r="BI16" s="59">
        <f ca="1">AVERAGE(OFFSET($BH$3,0,0,'Données projet'!$E$11+1,1))-AVERAGE(OFFSET($H$3,0,0,'Données projet'!$E$11+1,1))</f>
        <v>172.9177436650786</v>
      </c>
      <c r="BJ16" s="59">
        <f t="shared" si="38"/>
        <v>173.73622806725865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5.5909090909090908</v>
      </c>
      <c r="BY16" s="12">
        <f>IF('Données projet'!$A$114&gt;35,BY15+BX16-CG15,IF(A16&lt;'Données projet'!$A$114,$BV$205^A16,IF(A16='Données projet'!$A$114,'Données projet'!$B$114,BY15+BX16-CG15)))</f>
        <v>17.17686607257264</v>
      </c>
      <c r="BZ16" s="13">
        <f>BY16*VLOOKUP('Données projet'!$B$12,Paramètres!$A$1:$I$89,3,0)*VLOOKUP('Données projet'!$B$12,Paramètres!$A$1:$I$89,5,0)</f>
        <v>10.27176591139844</v>
      </c>
      <c r="CA16" s="13">
        <f t="shared" si="39"/>
        <v>3.609455460548272</v>
      </c>
      <c r="CB16" s="20">
        <f t="shared" si="10"/>
        <v>24.176460556140523</v>
      </c>
      <c r="CC16" s="59">
        <f t="shared" si="11"/>
        <v>317.50979388947383</v>
      </c>
      <c r="CD16" s="59">
        <f ca="1">AVERAGE(OFFSET($CC$3,0,0,'Données projet'!$E$12+1,1))-AVERAGE(OFFSET($H$3,0,0,'Données projet'!$E$12+1,1))</f>
        <v>289.07218105343333</v>
      </c>
      <c r="CE16" s="59">
        <f t="shared" si="40"/>
        <v>217.57508587672368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</v>
      </c>
      <c r="N17" s="13">
        <f>IF('Données projet'!$A$36&gt;35,N16+M17-V16,IF(A17&lt;'Données projet'!$A$36,$K$205^A17,IF(A17='Données projet'!$A$36,'Données projet'!$B$36,N16+M17-V16)))</f>
        <v>10.795801791490293</v>
      </c>
      <c r="O17" s="13">
        <f>N17*VLOOKUP('Données projet'!$B$9,Paramètres!$A$1:$I$89,3,0)*VLOOKUP('Données projet'!$B$9,Paramètres!$A$1:$I$89,5,0)</f>
        <v>10.946943016571158</v>
      </c>
      <c r="P17" s="13">
        <f t="shared" si="33"/>
        <v>3.8183104289762917</v>
      </c>
      <c r="Q17" s="20">
        <f t="shared" si="2"/>
        <v>25.71614975099514</v>
      </c>
      <c r="R17" s="59">
        <f t="shared" si="0"/>
        <v>319.04948308432847</v>
      </c>
      <c r="S17" s="59">
        <f ca="1">AVERAGE(OFFSET($R$3,0,0,'Données projet'!$E$9+1,1))-AVERAGE(OFFSET($H$3,0,0,'Données projet'!$E$9+1,1))</f>
        <v>272.93635583300755</v>
      </c>
      <c r="T17" s="59">
        <f t="shared" si="34"/>
        <v>179.56041631665812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10.795801791490293</v>
      </c>
      <c r="AJ17" s="13">
        <f>AI17*VLOOKUP('Données projet'!$B$10,Paramètres!$A$1:$I$89,3,0)*VLOOKUP('Données projet'!$B$10,Paramètres!$A$1:$I$89,5,0)</f>
        <v>9.7680414609404167</v>
      </c>
      <c r="AK17" s="13">
        <f t="shared" si="35"/>
        <v>3.4525976202477158</v>
      </c>
      <c r="AL17" s="20">
        <f t="shared" si="4"/>
        <v>23.025946399735997</v>
      </c>
      <c r="AM17" s="59">
        <f t="shared" si="5"/>
        <v>316.35927973306929</v>
      </c>
      <c r="AN17" s="59">
        <f ca="1">AVERAGE(OFFSET($AM$3,0,0,'Données projet'!$E$10+1,1))-AVERAGE(OFFSET($H$3,0,0,'Données projet'!$E$10+1,1))</f>
        <v>237.64646718446005</v>
      </c>
      <c r="AO17" s="59">
        <f t="shared" si="36"/>
        <v>156.67965022779907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2.4666666666666668</v>
      </c>
      <c r="BD17" s="12">
        <f>IF('Données projet'!$A$88&gt;35,BD16+BC17-BL16,IF(A17&lt;'Données projet'!$A$88,$BA$205^A17,IF(A17='Données projet'!$A$88,'Données projet'!$B$88,BD16+BC17-BL16)))</f>
        <v>29.084054009429774</v>
      </c>
      <c r="BE17" s="13">
        <f>BD17*VLOOKUP('Données projet'!$B$11,Paramètres!$A$1:$I$89,3,0)*VLOOKUP('Données projet'!$B$11,Paramètres!$A$1:$I$89,5,0)</f>
        <v>19.055872186978391</v>
      </c>
      <c r="BF17" s="13">
        <f t="shared" si="37"/>
        <v>6.231398711093604</v>
      </c>
      <c r="BG17" s="20">
        <f t="shared" si="7"/>
        <v>44.041996814142045</v>
      </c>
      <c r="BH17" s="59">
        <f t="shared" si="8"/>
        <v>337.37533014747538</v>
      </c>
      <c r="BI17" s="59">
        <f ca="1">AVERAGE(OFFSET($BH$3,0,0,'Données projet'!$E$11+1,1))-AVERAGE(OFFSET($H$3,0,0,'Données projet'!$E$11+1,1))</f>
        <v>172.9177436650786</v>
      </c>
      <c r="BJ17" s="59">
        <f t="shared" si="38"/>
        <v>173.73622806725865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5.5909090909090908</v>
      </c>
      <c r="BY17" s="12">
        <f>IF('Données projet'!$A$114&gt;35,BY16+BX17-CG16,IF(A17&lt;'Données projet'!$A$114,$BV$205^A17,IF(A17='Données projet'!$A$114,'Données projet'!$B$114,BY16+BX17-CG16)))</f>
        <v>21.376648512419013</v>
      </c>
      <c r="BZ17" s="13">
        <f>BY17*VLOOKUP('Données projet'!$B$12,Paramètres!$A$1:$I$89,3,0)*VLOOKUP('Données projet'!$B$12,Paramètres!$A$1:$I$89,5,0)</f>
        <v>12.783235810426572</v>
      </c>
      <c r="CA17" s="13">
        <f t="shared" si="39"/>
        <v>4.3790497183898731</v>
      </c>
      <c r="CB17" s="20">
        <f t="shared" si="10"/>
        <v>29.890980629355308</v>
      </c>
      <c r="CC17" s="59">
        <f t="shared" si="11"/>
        <v>323.2243139626886</v>
      </c>
      <c r="CD17" s="59">
        <f ca="1">AVERAGE(OFFSET($CC$3,0,0,'Données projet'!$E$12+1,1))-AVERAGE(OFFSET($H$3,0,0,'Données projet'!$E$12+1,1))</f>
        <v>289.07218105343333</v>
      </c>
      <c r="CE17" s="59">
        <f t="shared" si="40"/>
        <v>217.57508587672368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</v>
      </c>
      <c r="N18" s="13">
        <f>IF('Données projet'!$A$36&gt;35,N17+M18-V17,IF(A18&lt;'Données projet'!$A$36,$K$205^A18,IF(A18='Données projet'!$A$36,'Données projet'!$B$36,N17+M18-V17)))</f>
        <v>12.795546046181913</v>
      </c>
      <c r="O18" s="13">
        <f>N18*VLOOKUP('Données projet'!$B$9,Paramètres!$A$1:$I$89,3,0)*VLOOKUP('Données projet'!$B$9,Paramètres!$A$1:$I$89,5,0)</f>
        <v>12.974683690828462</v>
      </c>
      <c r="P18" s="13">
        <f t="shared" si="33"/>
        <v>4.4369484074648931</v>
      </c>
      <c r="Q18" s="20">
        <f t="shared" si="2"/>
        <v>30.325259237860919</v>
      </c>
      <c r="R18" s="59">
        <f t="shared" si="0"/>
        <v>323.65859257119422</v>
      </c>
      <c r="S18" s="59">
        <f ca="1">AVERAGE(OFFSET($R$3,0,0,'Données projet'!$E$9+1,1))-AVERAGE(OFFSET($H$3,0,0,'Données projet'!$E$9+1,1))</f>
        <v>272.93635583300755</v>
      </c>
      <c r="T18" s="59">
        <f t="shared" si="34"/>
        <v>179.56041631665812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12.795546046181913</v>
      </c>
      <c r="AJ18" s="13">
        <f>AI18*VLOOKUP('Données projet'!$B$10,Paramètres!$A$1:$I$89,3,0)*VLOOKUP('Données projet'!$B$10,Paramètres!$A$1:$I$89,5,0)</f>
        <v>11.577410062585395</v>
      </c>
      <c r="AK18" s="13">
        <f t="shared" si="35"/>
        <v>4.0119832574435987</v>
      </c>
      <c r="AL18" s="20">
        <f t="shared" si="4"/>
        <v>27.151526699050493</v>
      </c>
      <c r="AM18" s="59">
        <f t="shared" si="5"/>
        <v>320.48486003238384</v>
      </c>
      <c r="AN18" s="59">
        <f ca="1">AVERAGE(OFFSET($AM$3,0,0,'Données projet'!$E$10+1,1))-AVERAGE(OFFSET($H$3,0,0,'Données projet'!$E$10+1,1))</f>
        <v>237.64646718446005</v>
      </c>
      <c r="AO18" s="59">
        <f t="shared" si="36"/>
        <v>156.67965022779907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37</v>
      </c>
      <c r="BB18" s="12">
        <f>VLOOKUP(A18,'Données projet'!$A$87:$I$107,9,0)</f>
        <v>2.4666666666666668</v>
      </c>
      <c r="BC18" s="12">
        <f t="array" ref="BC18">INDEX(BB:BB,MIN(IF(ISNUMBER(BB18:BB214),ROW(BB18:BB214),"")))</f>
        <v>2.4666666666666668</v>
      </c>
      <c r="BD18" s="12">
        <f>IF('Données projet'!$A$88&gt;35,BD17+BC18-BL17,IF(A18&lt;'Données projet'!$A$88,$BA$205^A18,IF(A18='Données projet'!$A$88,'Données projet'!$B$88,BD17+BC18-BL17)))</f>
        <v>37</v>
      </c>
      <c r="BE18" s="13">
        <f>BD18*VLOOKUP('Données projet'!$B$11,Paramètres!$A$1:$I$89,3,0)*VLOOKUP('Données projet'!$B$11,Paramètres!$A$1:$I$89,5,0)</f>
        <v>24.2424</v>
      </c>
      <c r="BF18" s="13">
        <f t="shared" si="37"/>
        <v>7.7083792976822032</v>
      </c>
      <c r="BG18" s="20">
        <f t="shared" si="7"/>
        <v>55.647607276796499</v>
      </c>
      <c r="BH18" s="59">
        <f t="shared" si="8"/>
        <v>348.98094061012984</v>
      </c>
      <c r="BI18" s="59">
        <f ca="1">AVERAGE(OFFSET($BH$3,0,0,'Données projet'!$E$11+1,1))-AVERAGE(OFFSET($H$3,0,0,'Données projet'!$E$11+1,1))</f>
        <v>172.9177436650786</v>
      </c>
      <c r="BJ18" s="59">
        <f t="shared" si="38"/>
        <v>173.73622806725865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5.5909090909090908</v>
      </c>
      <c r="BY18" s="12">
        <f>IF('Données projet'!$A$114&gt;35,BY17+BX18-CG17,IF(A18&lt;'Données projet'!$A$114,$BV$205^A18,IF(A18='Données projet'!$A$114,'Données projet'!$B$114,BY17+BX18-CG17)))</f>
        <v>26.603287217402478</v>
      </c>
      <c r="BZ18" s="13">
        <f>BY18*VLOOKUP('Données projet'!$B$12,Paramètres!$A$1:$I$89,3,0)*VLOOKUP('Données projet'!$B$12,Paramètres!$A$1:$I$89,5,0)</f>
        <v>15.908765756006684</v>
      </c>
      <c r="CA18" s="13">
        <f t="shared" si="39"/>
        <v>5.312733913945455</v>
      </c>
      <c r="CB18" s="20">
        <f t="shared" si="10"/>
        <v>36.960778591833304</v>
      </c>
      <c r="CC18" s="59">
        <f t="shared" si="11"/>
        <v>330.29411192516659</v>
      </c>
      <c r="CD18" s="59">
        <f ca="1">AVERAGE(OFFSET($CC$3,0,0,'Données projet'!$E$12+1,1))-AVERAGE(OFFSET($H$3,0,0,'Données projet'!$E$12+1,1))</f>
        <v>289.07218105343333</v>
      </c>
      <c r="CE18" s="59">
        <f t="shared" si="40"/>
        <v>217.57508587672368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</v>
      </c>
      <c r="N19" s="13">
        <f>IF('Données projet'!$A$36&gt;35,N18+M19-V18,IF(A19&lt;'Données projet'!$A$36,$K$205^A19,IF(A19='Données projet'!$A$36,'Données projet'!$B$36,N18+M19-V18)))</f>
        <v>15.165709947455436</v>
      </c>
      <c r="O19" s="13">
        <f>N19*VLOOKUP('Données projet'!$B$9,Paramètres!$A$1:$I$89,3,0)*VLOOKUP('Données projet'!$B$9,Paramètres!$A$1:$I$89,5,0)</f>
        <v>15.378029886719814</v>
      </c>
      <c r="P19" s="13">
        <f t="shared" si="33"/>
        <v>5.1558173534317051</v>
      </c>
      <c r="Q19" s="20">
        <f t="shared" si="2"/>
        <v>35.763117276597228</v>
      </c>
      <c r="R19" s="59">
        <f t="shared" si="0"/>
        <v>329.09645060993057</v>
      </c>
      <c r="S19" s="59">
        <f ca="1">AVERAGE(OFFSET($R$3,0,0,'Données projet'!$E$9+1,1))-AVERAGE(OFFSET($H$3,0,0,'Données projet'!$E$9+1,1))</f>
        <v>272.93635583300755</v>
      </c>
      <c r="T19" s="59">
        <f t="shared" si="34"/>
        <v>179.56041631665812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</v>
      </c>
      <c r="AI19" s="13">
        <f>IF('Données projet'!$A$62&gt;35,AI18+AH19-AQ18,IF(A19&lt;'Données projet'!$A$62,$AF$205^A19,IF(A19='Données projet'!$A$62,'Données projet'!$B$62,AI18+AH19-AQ18)))</f>
        <v>15.165709947455436</v>
      </c>
      <c r="AJ19" s="13">
        <f>AI19*VLOOKUP('Données projet'!$B$10,Paramètres!$A$1:$I$89,3,0)*VLOOKUP('Données projet'!$B$10,Paramètres!$A$1:$I$89,5,0)</f>
        <v>13.721934360457679</v>
      </c>
      <c r="AK19" s="13">
        <f t="shared" si="35"/>
        <v>4.6619998703622194</v>
      </c>
      <c r="AL19" s="20">
        <f t="shared" si="4"/>
        <v>32.018685452011319</v>
      </c>
      <c r="AM19" s="59">
        <f t="shared" si="5"/>
        <v>325.35201878534463</v>
      </c>
      <c r="AN19" s="59">
        <f ca="1">AVERAGE(OFFSET($AM$3,0,0,'Données projet'!$E$10+1,1))-AVERAGE(OFFSET($H$3,0,0,'Données projet'!$E$10+1,1))</f>
        <v>237.64646718446005</v>
      </c>
      <c r="AO19" s="59">
        <f t="shared" si="36"/>
        <v>156.67965022779907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11.6</v>
      </c>
      <c r="BD19" s="12">
        <f>IF('Données projet'!$A$88&gt;35,BD18+BC19-BL18,IF(A19&lt;'Données projet'!$A$88,$BA$205^A19,IF(A19='Données projet'!$A$88,'Données projet'!$B$88,BD18+BC19-BL18)))</f>
        <v>33.6</v>
      </c>
      <c r="BE19" s="13">
        <f>BD19*VLOOKUP('Données projet'!$B$11,Paramètres!$A$1:$I$89,3,0)*VLOOKUP('Données projet'!$B$11,Paramètres!$A$1:$I$89,5,0)</f>
        <v>22.014720000000001</v>
      </c>
      <c r="BF19" s="13">
        <f t="shared" si="37"/>
        <v>7.0790245501888318</v>
      </c>
      <c r="BG19" s="20">
        <f t="shared" si="7"/>
        <v>50.671605091578876</v>
      </c>
      <c r="BH19" s="59">
        <f t="shared" si="8"/>
        <v>344.00493842491221</v>
      </c>
      <c r="BI19" s="59">
        <f ca="1">AVERAGE(OFFSET($BH$3,0,0,'Données projet'!$E$11+1,1))-AVERAGE(OFFSET($H$3,0,0,'Données projet'!$E$11+1,1))</f>
        <v>172.9177436650786</v>
      </c>
      <c r="BJ19" s="59">
        <f t="shared" si="38"/>
        <v>173.73622806725865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5.5909090909090908</v>
      </c>
      <c r="BY19" s="12">
        <f>IF('Données projet'!$A$114&gt;35,BY18+BX19-CG18,IF(A19&lt;'Données projet'!$A$114,$BV$205^A19,IF(A19='Données projet'!$A$114,'Données projet'!$B$114,BY18+BX19-CG18)))</f>
        <v>33.107850856996748</v>
      </c>
      <c r="BZ19" s="13">
        <f>BY19*VLOOKUP('Données projet'!$B$12,Paramètres!$A$1:$I$89,3,0)*VLOOKUP('Données projet'!$B$12,Paramètres!$A$1:$I$89,5,0)</f>
        <v>19.798494812484059</v>
      </c>
      <c r="CA19" s="13">
        <f t="shared" si="39"/>
        <v>6.4454946747588586</v>
      </c>
      <c r="CB19" s="20">
        <f t="shared" si="10"/>
        <v>45.70828169028141</v>
      </c>
      <c r="CC19" s="59">
        <f t="shared" si="11"/>
        <v>339.04161502361472</v>
      </c>
      <c r="CD19" s="59">
        <f ca="1">AVERAGE(OFFSET($CC$3,0,0,'Données projet'!$E$12+1,1))-AVERAGE(OFFSET($H$3,0,0,'Données projet'!$E$12+1,1))</f>
        <v>289.07218105343333</v>
      </c>
      <c r="CE19" s="59">
        <f t="shared" si="40"/>
        <v>217.57508587672368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</v>
      </c>
      <c r="N20" s="13">
        <f>IF('Données projet'!$A$36&gt;35,N19+M20-V19,IF(A20&lt;'Données projet'!$A$36,$K$205^A20,IF(A20='Données projet'!$A$36,'Données projet'!$B$36,N19+M20-V19)))</f>
        <v>17.974907626468866</v>
      </c>
      <c r="O20" s="13">
        <f>N20*VLOOKUP('Données projet'!$B$9,Paramètres!$A$1:$I$89,3,0)*VLOOKUP('Données projet'!$B$9,Paramètres!$A$1:$I$89,5,0)</f>
        <v>18.226556333239429</v>
      </c>
      <c r="P20" s="13">
        <f t="shared" si="33"/>
        <v>5.9911565654502983</v>
      </c>
      <c r="Q20" s="20">
        <f t="shared" si="2"/>
        <v>42.179183298551266</v>
      </c>
      <c r="R20" s="59">
        <f t="shared" si="0"/>
        <v>335.51251663188458</v>
      </c>
      <c r="S20" s="59">
        <f ca="1">AVERAGE(OFFSET($R$3,0,0,'Données projet'!$E$9+1,1))-AVERAGE(OFFSET($H$3,0,0,'Données projet'!$E$9+1,1))</f>
        <v>272.93635583300755</v>
      </c>
      <c r="T20" s="59">
        <f t="shared" si="34"/>
        <v>179.56041631665812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</v>
      </c>
      <c r="AI20" s="13">
        <f>IF('Données projet'!$A$62&gt;35,AI19+AH20-AQ19,IF(A20&lt;'Données projet'!$A$62,$AF$205^A20,IF(A20='Données projet'!$A$62,'Données projet'!$B$62,AI19+AH20-AQ19)))</f>
        <v>17.974907626468866</v>
      </c>
      <c r="AJ20" s="13">
        <f>AI20*VLOOKUP('Données projet'!$B$10,Paramètres!$A$1:$I$89,3,0)*VLOOKUP('Données projet'!$B$10,Paramètres!$A$1:$I$89,5,0)</f>
        <v>16.263696420429028</v>
      </c>
      <c r="AK20" s="13">
        <f t="shared" si="35"/>
        <v>5.4173313786723556</v>
      </c>
      <c r="AL20" s="20">
        <f t="shared" si="4"/>
        <v>37.761123416768235</v>
      </c>
      <c r="AM20" s="59">
        <f t="shared" si="5"/>
        <v>331.09445675010153</v>
      </c>
      <c r="AN20" s="59">
        <f ca="1">AVERAGE(OFFSET($AM$3,0,0,'Données projet'!$E$10+1,1))-AVERAGE(OFFSET($H$3,0,0,'Données projet'!$E$10+1,1))</f>
        <v>237.64646718446005</v>
      </c>
      <c r="AO20" s="59">
        <f t="shared" si="36"/>
        <v>156.67965022779907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11.6</v>
      </c>
      <c r="BD20" s="12">
        <f>IF('Données projet'!$A$88&gt;35,BD19+BC20-BL19,IF(A20&lt;'Données projet'!$A$88,$BA$205^A20,IF(A20='Données projet'!$A$88,'Données projet'!$B$88,BD19+BC20-BL19)))</f>
        <v>45.2</v>
      </c>
      <c r="BE20" s="13">
        <f>BD20*VLOOKUP('Données projet'!$B$11,Paramètres!$A$1:$I$89,3,0)*VLOOKUP('Données projet'!$B$11,Paramètres!$A$1:$I$89,5,0)</f>
        <v>29.615040000000004</v>
      </c>
      <c r="BF20" s="13">
        <f t="shared" si="37"/>
        <v>9.1998416870072379</v>
      </c>
      <c r="BG20" s="20">
        <f t="shared" si="7"/>
        <v>67.602585604870953</v>
      </c>
      <c r="BH20" s="59">
        <f t="shared" si="8"/>
        <v>360.93591893820428</v>
      </c>
      <c r="BI20" s="59">
        <f ca="1">AVERAGE(OFFSET($BH$3,0,0,'Données projet'!$E$11+1,1))-AVERAGE(OFFSET($H$3,0,0,'Données projet'!$E$11+1,1))</f>
        <v>172.9177436650786</v>
      </c>
      <c r="BJ20" s="59">
        <f t="shared" si="38"/>
        <v>173.73622806725865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5.5909090909090908</v>
      </c>
      <c r="BY20" s="12">
        <f>IF('Données projet'!$A$114&gt;35,BY19+BX20-CG19,IF(A20&lt;'Données projet'!$A$114,$BV$205^A20,IF(A20='Données projet'!$A$114,'Données projet'!$B$114,BY19+BX20-CG19)))</f>
        <v>41.202794955809431</v>
      </c>
      <c r="BZ20" s="13">
        <f>BY20*VLOOKUP('Données projet'!$B$12,Paramètres!$A$1:$I$89,3,0)*VLOOKUP('Données projet'!$B$12,Paramètres!$A$1:$I$89,5,0)</f>
        <v>24.639271383574041</v>
      </c>
      <c r="CA20" s="13">
        <f t="shared" si="39"/>
        <v>7.8197783429910519</v>
      </c>
      <c r="CB20" s="20">
        <f t="shared" si="10"/>
        <v>56.532844940434195</v>
      </c>
      <c r="CC20" s="59">
        <f t="shared" si="11"/>
        <v>349.8661782737675</v>
      </c>
      <c r="CD20" s="59">
        <f ca="1">AVERAGE(OFFSET($CC$3,0,0,'Données projet'!$E$12+1,1))-AVERAGE(OFFSET($H$3,0,0,'Données projet'!$E$12+1,1))</f>
        <v>289.07218105343333</v>
      </c>
      <c r="CE20" s="59">
        <f t="shared" si="40"/>
        <v>217.57508587672368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</v>
      </c>
      <c r="N21" s="13">
        <f>IF('Données projet'!$A$36&gt;35,N20+M21-V20,IF(A21&lt;'Données projet'!$A$36,$K$205^A21,IF(A21='Données projet'!$A$36,'Données projet'!$B$36,N20+M21-V20)))</f>
        <v>21.304462850702166</v>
      </c>
      <c r="O21" s="13">
        <f>N21*VLOOKUP('Données projet'!$B$9,Paramètres!$A$1:$I$89,3,0)*VLOOKUP('Données projet'!$B$9,Paramètres!$A$1:$I$89,5,0)</f>
        <v>21.602725330612</v>
      </c>
      <c r="P21" s="13">
        <f t="shared" si="33"/>
        <v>6.9618364133568926</v>
      </c>
      <c r="Q21" s="20">
        <f t="shared" si="2"/>
        <v>49.749945037412488</v>
      </c>
      <c r="R21" s="59">
        <f t="shared" si="0"/>
        <v>343.0832783707458</v>
      </c>
      <c r="S21" s="59">
        <f ca="1">AVERAGE(OFFSET($R$3,0,0,'Données projet'!$E$9+1,1))-AVERAGE(OFFSET($H$3,0,0,'Données projet'!$E$9+1,1))</f>
        <v>272.93635583300755</v>
      </c>
      <c r="T21" s="59">
        <f t="shared" si="34"/>
        <v>179.56041631665812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</v>
      </c>
      <c r="AI21" s="13">
        <f>IF('Données projet'!$A$62&gt;35,AI20+AH21-AQ20,IF(A21&lt;'Données projet'!$A$62,$AF$205^A21,IF(A21='Données projet'!$A$62,'Données projet'!$B$62,AI20+AH21-AQ20)))</f>
        <v>21.304462850702166</v>
      </c>
      <c r="AJ21" s="13">
        <f>AI21*VLOOKUP('Données projet'!$B$10,Paramètres!$A$1:$I$89,3,0)*VLOOKUP('Données projet'!$B$10,Paramètres!$A$1:$I$89,5,0)</f>
        <v>19.276277987315318</v>
      </c>
      <c r="AK21" s="13">
        <f t="shared" si="35"/>
        <v>6.2950407727205615</v>
      </c>
      <c r="AL21" s="20">
        <f t="shared" si="4"/>
        <v>44.536713507062494</v>
      </c>
      <c r="AM21" s="59">
        <f t="shared" si="5"/>
        <v>337.87004684039579</v>
      </c>
      <c r="AN21" s="59">
        <f ca="1">AVERAGE(OFFSET($AM$3,0,0,'Données projet'!$E$10+1,1))-AVERAGE(OFFSET($H$3,0,0,'Données projet'!$E$10+1,1))</f>
        <v>237.64646718446005</v>
      </c>
      <c r="AO21" s="59">
        <f t="shared" si="36"/>
        <v>156.67965022779907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11.6</v>
      </c>
      <c r="BD21" s="12">
        <f>IF('Données projet'!$A$88&gt;35,BD20+BC21-BL20,IF(A21&lt;'Données projet'!$A$88,$BA$205^A21,IF(A21='Données projet'!$A$88,'Données projet'!$B$88,BD20+BC21-BL20)))</f>
        <v>56.800000000000004</v>
      </c>
      <c r="BE21" s="13">
        <f>BD21*VLOOKUP('Données projet'!$B$11,Paramètres!$A$1:$I$89,3,0)*VLOOKUP('Données projet'!$B$11,Paramètres!$A$1:$I$89,5,0)</f>
        <v>37.215360000000004</v>
      </c>
      <c r="BF21" s="13">
        <f t="shared" si="37"/>
        <v>11.257506915052097</v>
      </c>
      <c r="BG21" s="20">
        <f t="shared" si="7"/>
        <v>84.42357654371574</v>
      </c>
      <c r="BH21" s="59">
        <f t="shared" si="8"/>
        <v>377.75690987704905</v>
      </c>
      <c r="BI21" s="59">
        <f ca="1">AVERAGE(OFFSET($BH$3,0,0,'Données projet'!$E$11+1,1))-AVERAGE(OFFSET($H$3,0,0,'Données projet'!$E$11+1,1))</f>
        <v>172.9177436650786</v>
      </c>
      <c r="BJ21" s="59">
        <f t="shared" si="38"/>
        <v>173.73622806725865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5.5909090909090908</v>
      </c>
      <c r="BY21" s="12">
        <f>IF('Données projet'!$A$114&gt;35,BY20+BX21-CG20,IF(A21&lt;'Données projet'!$A$114,$BV$205^A21,IF(A21='Données projet'!$A$114,'Données projet'!$B$114,BY20+BX21-CG20)))</f>
        <v>51.276971117915458</v>
      </c>
      <c r="BZ21" s="13">
        <f>BY21*VLOOKUP('Données projet'!$B$12,Paramètres!$A$1:$I$89,3,0)*VLOOKUP('Données projet'!$B$12,Paramètres!$A$1:$I$89,5,0)</f>
        <v>30.663628728513448</v>
      </c>
      <c r="CA21" s="13">
        <f t="shared" si="39"/>
        <v>9.4870815071768995</v>
      </c>
      <c r="CB21" s="20">
        <f t="shared" si="10"/>
        <v>69.929153660494023</v>
      </c>
      <c r="CC21" s="59">
        <f t="shared" si="11"/>
        <v>363.26248699382734</v>
      </c>
      <c r="CD21" s="59">
        <f ca="1">AVERAGE(OFFSET($CC$3,0,0,'Données projet'!$E$12+1,1))-AVERAGE(OFFSET($H$3,0,0,'Données projet'!$E$12+1,1))</f>
        <v>289.07218105343333</v>
      </c>
      <c r="CE21" s="59">
        <f t="shared" si="40"/>
        <v>217.57508587672368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</v>
      </c>
      <c r="N22" s="13">
        <f>IF('Données projet'!$A$36&gt;35,N21+M22-V21,IF(A22&lt;'Données projet'!$A$36,$K$205^A22,IF(A22='Données projet'!$A$36,'Données projet'!$B$36,N21+M22-V21)))</f>
        <v>25.250763274498809</v>
      </c>
      <c r="O22" s="13">
        <f>N22*VLOOKUP('Données projet'!$B$9,Paramètres!$A$1:$I$89,3,0)*VLOOKUP('Données projet'!$B$9,Paramètres!$A$1:$I$89,5,0)</f>
        <v>25.604273960341793</v>
      </c>
      <c r="P22" s="13">
        <f t="shared" si="33"/>
        <v>8.0897846211934414</v>
      </c>
      <c r="Q22" s="20">
        <f t="shared" si="2"/>
        <v>58.683818696173859</v>
      </c>
      <c r="R22" s="59">
        <f t="shared" si="0"/>
        <v>352.0171520295072</v>
      </c>
      <c r="S22" s="59">
        <f ca="1">AVERAGE(OFFSET($R$3,0,0,'Données projet'!$E$9+1,1))-AVERAGE(OFFSET($H$3,0,0,'Données projet'!$E$9+1,1))</f>
        <v>272.93635583300755</v>
      </c>
      <c r="T22" s="59">
        <f t="shared" si="34"/>
        <v>179.56041631665812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</v>
      </c>
      <c r="AI22" s="13">
        <f>IF('Données projet'!$A$62&gt;35,AI21+AH22-AQ21,IF(A22&lt;'Données projet'!$A$62,$AF$205^A22,IF(A22='Données projet'!$A$62,'Données projet'!$B$62,AI21+AH22-AQ21)))</f>
        <v>25.250763274498809</v>
      </c>
      <c r="AJ22" s="13">
        <f>AI22*VLOOKUP('Données projet'!$B$10,Paramètres!$A$1:$I$89,3,0)*VLOOKUP('Données projet'!$B$10,Paramètres!$A$1:$I$89,5,0)</f>
        <v>22.846890610766522</v>
      </c>
      <c r="AK22" s="13">
        <f t="shared" si="35"/>
        <v>7.3149555676481315</v>
      </c>
      <c r="AL22" s="20">
        <f t="shared" si="4"/>
        <v>52.531882094072188</v>
      </c>
      <c r="AM22" s="59">
        <f t="shared" si="5"/>
        <v>345.86521542740547</v>
      </c>
      <c r="AN22" s="59">
        <f ca="1">AVERAGE(OFFSET($AM$3,0,0,'Données projet'!$E$10+1,1))-AVERAGE(OFFSET($H$3,0,0,'Données projet'!$E$10+1,1))</f>
        <v>237.64646718446005</v>
      </c>
      <c r="AO22" s="59">
        <f t="shared" si="36"/>
        <v>156.67965022779907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11.6</v>
      </c>
      <c r="BD22" s="12">
        <f>IF('Données projet'!$A$88&gt;35,BD21+BC22-BL21,IF(A22&lt;'Données projet'!$A$88,$BA$205^A22,IF(A22='Données projet'!$A$88,'Données projet'!$B$88,BD21+BC22-BL21)))</f>
        <v>68.400000000000006</v>
      </c>
      <c r="BE22" s="13">
        <f>BD22*VLOOKUP('Données projet'!$B$11,Paramètres!$A$1:$I$89,3,0)*VLOOKUP('Données projet'!$B$11,Paramètres!$A$1:$I$89,5,0)</f>
        <v>44.81568</v>
      </c>
      <c r="BF22" s="13">
        <f t="shared" si="37"/>
        <v>13.266476878569183</v>
      </c>
      <c r="BG22" s="20">
        <f t="shared" si="7"/>
        <v>101.15975656350798</v>
      </c>
      <c r="BH22" s="59">
        <f t="shared" si="8"/>
        <v>394.4930898968413</v>
      </c>
      <c r="BI22" s="59">
        <f ca="1">AVERAGE(OFFSET($BH$3,0,0,'Données projet'!$E$11+1,1))-AVERAGE(OFFSET($H$3,0,0,'Données projet'!$E$11+1,1))</f>
        <v>172.9177436650786</v>
      </c>
      <c r="BJ22" s="59">
        <f t="shared" si="38"/>
        <v>173.73622806725865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5.5909090909090908</v>
      </c>
      <c r="BY22" s="12">
        <f>IF('Données projet'!$A$114&gt;35,BY21+BX22-CG21,IF(A22&lt;'Données projet'!$A$114,$BV$205^A22,IF(A22='Données projet'!$A$114,'Données projet'!$B$114,BY21+BX22-CG21)))</f>
        <v>63.814306040343304</v>
      </c>
      <c r="BZ22" s="13">
        <f>BY22*VLOOKUP('Données projet'!$B$12,Paramètres!$A$1:$I$89,3,0)*VLOOKUP('Données projet'!$B$12,Paramètres!$A$1:$I$89,5,0)</f>
        <v>38.160955012125299</v>
      </c>
      <c r="CA22" s="13">
        <f t="shared" si="39"/>
        <v>11.509880661066306</v>
      </c>
      <c r="CB22" s="20">
        <f t="shared" si="10"/>
        <v>86.510038797475374</v>
      </c>
      <c r="CC22" s="59">
        <f t="shared" si="11"/>
        <v>379.84337213080869</v>
      </c>
      <c r="CD22" s="59">
        <f ca="1">AVERAGE(OFFSET($CC$3,0,0,'Données projet'!$E$12+1,1))-AVERAGE(OFFSET($H$3,0,0,'Données projet'!$E$12+1,1))</f>
        <v>289.07218105343333</v>
      </c>
      <c r="CE22" s="59">
        <f t="shared" si="40"/>
        <v>217.57508587672368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2.8</v>
      </c>
      <c r="N23" s="13">
        <f>IF('Données projet'!$A$36&gt;35,N22+M23-V22,IF(A23&lt;'Données projet'!$A$36,$K$205^A23,IF(A23='Données projet'!$A$36,'Données projet'!$B$36,N22+M23-V22)))</f>
        <v>29.92805077569761</v>
      </c>
      <c r="O23" s="13">
        <f>N23*VLOOKUP('Données projet'!$B$9,Paramètres!$A$1:$I$89,3,0)*VLOOKUP('Données projet'!$B$9,Paramètres!$A$1:$I$89,5,0)</f>
        <v>30.347043486557379</v>
      </c>
      <c r="P23" s="13">
        <f t="shared" si="33"/>
        <v>9.4004816159909641</v>
      </c>
      <c r="Q23" s="20">
        <f t="shared" si="2"/>
        <v>69.226939553605035</v>
      </c>
      <c r="R23" s="59">
        <f t="shared" si="0"/>
        <v>362.56027288693838</v>
      </c>
      <c r="S23" s="59">
        <f ca="1">AVERAGE(OFFSET($R$3,0,0,'Données projet'!$E$9+1,1))-AVERAGE(OFFSET($H$3,0,0,'Données projet'!$E$9+1,1))</f>
        <v>272.93635583300755</v>
      </c>
      <c r="T23" s="59">
        <f t="shared" si="34"/>
        <v>179.56041631665812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2.8</v>
      </c>
      <c r="AI23" s="13">
        <f>IF('Données projet'!$A$62&gt;35,AI22+AH23-AQ22,IF(A23&lt;'Données projet'!$A$62,$AF$205^A23,IF(A23='Données projet'!$A$62,'Données projet'!$B$62,AI22+AH23-AQ22)))</f>
        <v>29.92805077569761</v>
      </c>
      <c r="AJ23" s="13">
        <f>AI23*VLOOKUP('Données projet'!$B$10,Paramètres!$A$1:$I$89,3,0)*VLOOKUP('Données projet'!$B$10,Paramètres!$A$1:$I$89,5,0)</f>
        <v>27.078900341851195</v>
      </c>
      <c r="AK23" s="13">
        <f t="shared" si="35"/>
        <v>8.5001157083119736</v>
      </c>
      <c r="AL23" s="20">
        <f t="shared" si="4"/>
        <v>61.966786287367512</v>
      </c>
      <c r="AM23" s="59">
        <f t="shared" si="5"/>
        <v>355.3001196207008</v>
      </c>
      <c r="AN23" s="59">
        <f ca="1">AVERAGE(OFFSET($AM$3,0,0,'Données projet'!$E$10+1,1))-AVERAGE(OFFSET($H$3,0,0,'Données projet'!$E$10+1,1))</f>
        <v>237.64646718446005</v>
      </c>
      <c r="AO23" s="59">
        <f t="shared" si="36"/>
        <v>156.67965022779907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80</v>
      </c>
      <c r="BB23" s="12">
        <f>VLOOKUP(A23,'Données projet'!$A$87:$I$107,9,0)</f>
        <v>11.6</v>
      </c>
      <c r="BC23" s="12">
        <f t="array" ref="BC23">INDEX(BB:BB,MIN(IF(ISNUMBER(BB23:BB219),ROW(BB23:BB219),"")))</f>
        <v>11.6</v>
      </c>
      <c r="BD23" s="12">
        <f>IF('Données projet'!$A$88&gt;35,BD22+BC23-BL22,IF(A23&lt;'Données projet'!$A$88,$BA$205^A23,IF(A23='Données projet'!$A$88,'Données projet'!$B$88,BD22+BC23-BL22)))</f>
        <v>80</v>
      </c>
      <c r="BE23" s="13">
        <f>BD23*VLOOKUP('Données projet'!$B$11,Paramètres!$A$1:$I$89,3,0)*VLOOKUP('Données projet'!$B$11,Paramètres!$A$1:$I$89,5,0)</f>
        <v>52.416000000000004</v>
      </c>
      <c r="BF23" s="13">
        <f t="shared" si="37"/>
        <v>15.235978301273029</v>
      </c>
      <c r="BG23" s="20">
        <f t="shared" si="7"/>
        <v>117.82719554138386</v>
      </c>
      <c r="BH23" s="59">
        <f t="shared" si="8"/>
        <v>411.16052887471716</v>
      </c>
      <c r="BI23" s="59">
        <f ca="1">AVERAGE(OFFSET($BH$3,0,0,'Données projet'!$E$11+1,1))-AVERAGE(OFFSET($H$3,0,0,'Données projet'!$E$11+1,1))</f>
        <v>172.9177436650786</v>
      </c>
      <c r="BJ23" s="59">
        <f t="shared" si="38"/>
        <v>173.73622806725865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0.215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4.3431430331131171</v>
      </c>
      <c r="BR23" s="21">
        <f>EXP(-LN(2)/2)*BR22+(1-EXP(-LN(2)/2))/(LN(2)/2)*BL23*BO23*VLOOKUP('Données projet'!$B$11,Paramètres!$A$1:$I$89,3,0)*0.475*44/12</f>
        <v>8.6547836822923063</v>
      </c>
      <c r="BS23" s="22">
        <f t="shared" si="9"/>
        <v>12.997926715405423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5.5909090909090908</v>
      </c>
      <c r="BY23" s="12">
        <f>IF('Données projet'!$A$114&gt;35,BY22+BX23-CG22,IF(A23&lt;'Données projet'!$A$114,$BV$205^A23,IF(A23='Données projet'!$A$114,'Données projet'!$B$114,BY22+BX23-CG22)))</f>
        <v>79.417047587426694</v>
      </c>
      <c r="BZ23" s="13">
        <f>BY23*VLOOKUP('Données projet'!$B$12,Paramètres!$A$1:$I$89,3,0)*VLOOKUP('Données projet'!$B$12,Paramètres!$A$1:$I$89,5,0)</f>
        <v>47.49139445728116</v>
      </c>
      <c r="CA23" s="13">
        <f t="shared" si="39"/>
        <v>13.96397329692701</v>
      </c>
      <c r="CB23" s="20">
        <f t="shared" si="10"/>
        <v>107.03476550524589</v>
      </c>
      <c r="CC23" s="59">
        <f t="shared" si="11"/>
        <v>400.36809883857921</v>
      </c>
      <c r="CD23" s="59">
        <f ca="1">AVERAGE(OFFSET($CC$3,0,0,'Données projet'!$E$12+1,1))-AVERAGE(OFFSET($H$3,0,0,'Données projet'!$E$12+1,1))</f>
        <v>289.07218105343333</v>
      </c>
      <c r="CE23" s="59">
        <f t="shared" si="40"/>
        <v>217.57508587672368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2.8</v>
      </c>
      <c r="N24" s="13">
        <f>IF('Données projet'!$A$36&gt;35,N23+M24-V23,IF(A24&lt;'Données projet'!$A$36,$K$205^A24,IF(A24='Données projet'!$A$36,'Données projet'!$B$36,N23+M24-V23)))</f>
        <v>35.471728656111772</v>
      </c>
      <c r="O24" s="13">
        <f>N24*VLOOKUP('Données projet'!$B$9,Paramètres!$A$1:$I$89,3,0)*VLOOKUP('Données projet'!$B$9,Paramètres!$A$1:$I$89,5,0)</f>
        <v>35.968332857297341</v>
      </c>
      <c r="P24" s="13">
        <f t="shared" si="33"/>
        <v>10.923536132355956</v>
      </c>
      <c r="Q24" s="20">
        <f t="shared" si="2"/>
        <v>81.670005156979485</v>
      </c>
      <c r="R24" s="59">
        <f t="shared" si="0"/>
        <v>375.00333849031279</v>
      </c>
      <c r="S24" s="59">
        <f ca="1">AVERAGE(OFFSET($R$3,0,0,'Données projet'!$E$9+1,1))-AVERAGE(OFFSET($H$3,0,0,'Données projet'!$E$9+1,1))</f>
        <v>272.93635583300755</v>
      </c>
      <c r="T24" s="59">
        <f t="shared" si="34"/>
        <v>179.56041631665812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2.8</v>
      </c>
      <c r="AI24" s="13">
        <f>IF('Données projet'!$A$62&gt;35,AI23+AH24-AQ23,IF(A24&lt;'Données projet'!$A$62,$AF$205^A24,IF(A24='Données projet'!$A$62,'Données projet'!$B$62,AI23+AH24-AQ23)))</f>
        <v>35.471728656111772</v>
      </c>
      <c r="AJ24" s="13">
        <f>AI24*VLOOKUP('Données projet'!$B$10,Paramètres!$A$1:$I$89,3,0)*VLOOKUP('Données projet'!$B$10,Paramètres!$A$1:$I$89,5,0)</f>
        <v>32.094820088049929</v>
      </c>
      <c r="AK24" s="13">
        <f t="shared" si="35"/>
        <v>9.8772940432120837</v>
      </c>
      <c r="AL24" s="20">
        <f t="shared" si="4"/>
        <v>73.101432111948</v>
      </c>
      <c r="AM24" s="59">
        <f t="shared" si="5"/>
        <v>366.4347654452813</v>
      </c>
      <c r="AN24" s="59">
        <f ca="1">AVERAGE(OFFSET($AM$3,0,0,'Données projet'!$E$10+1,1))-AVERAGE(OFFSET($H$3,0,0,'Données projet'!$E$10+1,1))</f>
        <v>237.64646718446005</v>
      </c>
      <c r="AO24" s="59">
        <f t="shared" si="36"/>
        <v>156.67965022779907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12.6</v>
      </c>
      <c r="BD24" s="12">
        <f>IF('Données projet'!$A$88&gt;35,BD23+BC24-BL23,IF(A24&lt;'Données projet'!$A$88,$BA$205^A24,IF(A24='Données projet'!$A$88,'Données projet'!$B$88,BD23+BC24-BL23)))</f>
        <v>64.599999999999994</v>
      </c>
      <c r="BE24" s="13">
        <f>BD24*VLOOKUP('Données projet'!$B$11,Paramètres!$A$1:$I$89,3,0)*VLOOKUP('Données projet'!$B$11,Paramètres!$A$1:$I$89,5,0)</f>
        <v>42.325919999999996</v>
      </c>
      <c r="BF24" s="13">
        <f t="shared" si="37"/>
        <v>12.613089745729766</v>
      </c>
      <c r="BG24" s="20">
        <f t="shared" si="7"/>
        <v>95.685441973812658</v>
      </c>
      <c r="BH24" s="59">
        <f t="shared" si="8"/>
        <v>389.01877530714597</v>
      </c>
      <c r="BI24" s="59">
        <f ca="1">AVERAGE(OFFSET($BH$3,0,0,'Données projet'!$E$11+1,1))-AVERAGE(OFFSET($H$3,0,0,'Données projet'!$E$11+1,1))</f>
        <v>172.9177436650786</v>
      </c>
      <c r="BJ24" s="59">
        <f t="shared" si="38"/>
        <v>173.73622806725865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4.2243795584766728</v>
      </c>
      <c r="BR24" s="21">
        <f>EXP(-LN(2)/2)*BR23+(1-EXP(-LN(2)/2))/(LN(2)/2)*BL24*BO24*VLOOKUP('Données projet'!$B$11,Paramètres!$A$1:$I$89,3,0)*0.475*44/12</f>
        <v>6.1198562314515685</v>
      </c>
      <c r="BS24" s="22">
        <f t="shared" si="9"/>
        <v>10.344235789928241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5.5909090909090908</v>
      </c>
      <c r="BY24" s="12">
        <f>IF('Données projet'!$A$114&gt;35,BY23+BX24-CG23,IF(A24&lt;'Données projet'!$A$114,$BV$205^A24,IF(A24='Données projet'!$A$114,'Données projet'!$B$114,BY23+BX24-CG23)))</f>
        <v>98.834694582689295</v>
      </c>
      <c r="BZ24" s="13">
        <f>BY24*VLOOKUP('Données projet'!$B$12,Paramètres!$A$1:$I$89,3,0)*VLOOKUP('Données projet'!$B$12,Paramètres!$A$1:$I$89,5,0)</f>
        <v>59.103147360448204</v>
      </c>
      <c r="CA24" s="13">
        <f t="shared" si="39"/>
        <v>16.94131815778756</v>
      </c>
      <c r="CB24" s="20">
        <f t="shared" si="10"/>
        <v>132.44411077759398</v>
      </c>
      <c r="CC24" s="59">
        <f t="shared" si="11"/>
        <v>425.77744411092726</v>
      </c>
      <c r="CD24" s="59">
        <f ca="1">AVERAGE(OFFSET($CC$3,0,0,'Données projet'!$E$12+1,1))-AVERAGE(OFFSET($H$3,0,0,'Données projet'!$E$12+1,1))</f>
        <v>289.07218105343333</v>
      </c>
      <c r="CE24" s="59">
        <f t="shared" si="40"/>
        <v>217.57508587672368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2.8</v>
      </c>
      <c r="N25" s="13">
        <f>IF('Données projet'!$A$36&gt;35,N24+M25-V24,IF(A25&lt;'Données projet'!$A$36,$K$205^A25,IF(A25='Données projet'!$A$36,'Données projet'!$B$36,N24+M25-V24)))</f>
        <v>42.042281446359659</v>
      </c>
      <c r="O25" s="13">
        <f>N25*VLOOKUP('Données projet'!$B$9,Paramètres!$A$1:$I$89,3,0)*VLOOKUP('Données projet'!$B$9,Paramètres!$A$1:$I$89,5,0)</f>
        <v>42.630873386608698</v>
      </c>
      <c r="P25" s="13">
        <f t="shared" si="33"/>
        <v>12.693354075806836</v>
      </c>
      <c r="Q25" s="20">
        <f t="shared" si="2"/>
        <v>96.356362830373712</v>
      </c>
      <c r="R25" s="59">
        <f t="shared" si="0"/>
        <v>389.68969616370703</v>
      </c>
      <c r="S25" s="59">
        <f ca="1">AVERAGE(OFFSET($R$3,0,0,'Données projet'!$E$9+1,1))-AVERAGE(OFFSET($H$3,0,0,'Données projet'!$E$9+1,1))</f>
        <v>272.93635583300755</v>
      </c>
      <c r="T25" s="59">
        <f t="shared" si="34"/>
        <v>179.56041631665812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2.8</v>
      </c>
      <c r="AI25" s="13">
        <f>IF('Données projet'!$A$62&gt;35,AI24+AH25-AQ24,IF(A25&lt;'Données projet'!$A$62,$AF$205^A25,IF(A25='Données projet'!$A$62,'Données projet'!$B$62,AI24+AH25-AQ24)))</f>
        <v>42.042281446359659</v>
      </c>
      <c r="AJ25" s="13">
        <f>AI25*VLOOKUP('Données projet'!$B$10,Paramètres!$A$1:$I$89,3,0)*VLOOKUP('Données projet'!$B$10,Paramètres!$A$1:$I$89,5,0)</f>
        <v>38.039856252666219</v>
      </c>
      <c r="AK25" s="13">
        <f t="shared" si="35"/>
        <v>11.477601124967212</v>
      </c>
      <c r="AL25" s="20">
        <f t="shared" si="4"/>
        <v>86.242904932711554</v>
      </c>
      <c r="AM25" s="59">
        <f t="shared" si="5"/>
        <v>379.57623826604487</v>
      </c>
      <c r="AN25" s="59">
        <f ca="1">AVERAGE(OFFSET($AM$3,0,0,'Données projet'!$E$10+1,1))-AVERAGE(OFFSET($H$3,0,0,'Données projet'!$E$10+1,1))</f>
        <v>237.64646718446005</v>
      </c>
      <c r="AO25" s="59">
        <f t="shared" si="36"/>
        <v>156.67965022779907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12.6</v>
      </c>
      <c r="BD25" s="12">
        <f>IF('Données projet'!$A$88&gt;35,BD24+BC25-BL24,IF(A25&lt;'Données projet'!$A$88,$BA$205^A25,IF(A25='Données projet'!$A$88,'Données projet'!$B$88,BD24+BC25-BL24)))</f>
        <v>77.199999999999989</v>
      </c>
      <c r="BE25" s="13">
        <f>BD25*VLOOKUP('Données projet'!$B$11,Paramètres!$A$1:$I$89,3,0)*VLOOKUP('Données projet'!$B$11,Paramètres!$A$1:$I$89,5,0)</f>
        <v>50.581439999999986</v>
      </c>
      <c r="BF25" s="13">
        <f t="shared" si="37"/>
        <v>14.763817888767656</v>
      </c>
      <c r="BG25" s="20">
        <f t="shared" si="7"/>
        <v>113.80965748960364</v>
      </c>
      <c r="BH25" s="59">
        <f t="shared" si="8"/>
        <v>407.14299082293695</v>
      </c>
      <c r="BI25" s="59">
        <f ca="1">AVERAGE(OFFSET($BH$3,0,0,'Données projet'!$E$11+1,1))-AVERAGE(OFFSET($H$3,0,0,'Données projet'!$E$11+1,1))</f>
        <v>172.9177436650786</v>
      </c>
      <c r="BJ25" s="59">
        <f t="shared" si="38"/>
        <v>173.73622806725865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4.1088636772996621</v>
      </c>
      <c r="BR25" s="21">
        <f>EXP(-LN(2)/2)*BR24+(1-EXP(-LN(2)/2))/(LN(2)/2)*BL25*BO25*VLOOKUP('Données projet'!$B$11,Paramètres!$A$1:$I$89,3,0)*0.475*44/12</f>
        <v>4.3273918411461541</v>
      </c>
      <c r="BS25" s="22">
        <f t="shared" si="9"/>
        <v>8.4362555184458152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>
        <f>VLOOKUP(A25,'Données projet'!$A$113:$I$133,2,0)</f>
        <v>123</v>
      </c>
      <c r="BW25" s="12">
        <f>VLOOKUP(A25,'Données projet'!$A$113:$I$133,9,0)</f>
        <v>5.5909090909090908</v>
      </c>
      <c r="BX25" s="12">
        <f t="array" ref="BX25">INDEX(BW:BW,MIN(IF(ISNUMBER(BW25:BW221),ROW(BW25:BW221),"")))</f>
        <v>5.5909090909090908</v>
      </c>
      <c r="BY25" s="12">
        <f>IF('Données projet'!$A$114&gt;35,BY24+BX25-CG24,IF(A25&lt;'Données projet'!$A$114,$BV$205^A25,IF(A25='Données projet'!$A$114,'Données projet'!$B$114,BY24+BX25-CG24)))</f>
        <v>123</v>
      </c>
      <c r="BZ25" s="13">
        <f>BY25*VLOOKUP('Données projet'!$B$12,Paramètres!$A$1:$I$89,3,0)*VLOOKUP('Données projet'!$B$12,Paramètres!$A$1:$I$89,5,0)</f>
        <v>73.554000000000016</v>
      </c>
      <c r="CA25" s="13">
        <f t="shared" si="39"/>
        <v>20.553481077376691</v>
      </c>
      <c r="CB25" s="20">
        <f t="shared" si="10"/>
        <v>163.90386287643108</v>
      </c>
      <c r="CC25" s="59">
        <f t="shared" si="11"/>
        <v>457.23719620976442</v>
      </c>
      <c r="CD25" s="59">
        <f ca="1">AVERAGE(OFFSET($CC$3,0,0,'Données projet'!$E$12+1,1))-AVERAGE(OFFSET($H$3,0,0,'Données projet'!$E$12+1,1))</f>
        <v>289.07218105343333</v>
      </c>
      <c r="CE25" s="59">
        <f t="shared" si="40"/>
        <v>217.57508587672368</v>
      </c>
      <c r="CF25" s="15">
        <f>IF(ISNA(VLOOKUP(A25,'Données projet'!$A$113:$I$133,3,0)),0,VLOOKUP(A25,'Données projet'!$A$113:$I$133,3,0))</f>
        <v>1</v>
      </c>
      <c r="CG25" s="15">
        <f>IF(ISNA(VLOOKUP(A25,'Données projet'!$A$113:$I$133,4,0)),0,VLOOKUP(A25,'Données projet'!$A$113:$I$133,4,0))</f>
        <v>16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0.13500000000000001</v>
      </c>
      <c r="CJ25" s="16">
        <f>IF(ISNA(VLOOKUP(A25,'Données projet'!$A$113:$I$133,7,0)),0%,VLOOKUP(A25,'Données projet'!$A$113:$I$133,7,0))</f>
        <v>0.3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1.706750086102355</v>
      </c>
      <c r="CM25" s="21">
        <f>EXP(-LN(2)/2)*CM24+(1-EXP(-LN(2)/2))/(LN(2)/2)*CG25*CJ25*VLOOKUP('Données projet'!$B$12,Paramètres!$A$1:$I$89,3,0)*0.475*44/12</f>
        <v>3.2499595868199673</v>
      </c>
      <c r="CN25" s="22">
        <f t="shared" si="12"/>
        <v>4.9567096729223223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2.8</v>
      </c>
      <c r="N26" s="13">
        <f>IF('Données projet'!$A$36&gt;35,N25+M26-V25,IF(A26&lt;'Données projet'!$A$36,$K$205^A26,IF(A26='Données projet'!$A$36,'Données projet'!$B$36,N25+M26-V25)))</f>
        <v>49.82992078990118</v>
      </c>
      <c r="O26" s="13">
        <f>N26*VLOOKUP('Données projet'!$B$9,Paramètres!$A$1:$I$89,3,0)*VLOOKUP('Données projet'!$B$9,Paramètres!$A$1:$I$89,5,0)</f>
        <v>50.527539680959798</v>
      </c>
      <c r="P26" s="13">
        <f t="shared" si="33"/>
        <v>14.749915754528818</v>
      </c>
      <c r="Q26" s="20">
        <f t="shared" si="2"/>
        <v>113.69156821680933</v>
      </c>
      <c r="R26" s="59">
        <f t="shared" si="0"/>
        <v>407.02490155014266</v>
      </c>
      <c r="S26" s="59">
        <f ca="1">AVERAGE(OFFSET($R$3,0,0,'Données projet'!$E$9+1,1))-AVERAGE(OFFSET($H$3,0,0,'Données projet'!$E$9+1,1))</f>
        <v>272.93635583300755</v>
      </c>
      <c r="T26" s="59">
        <f t="shared" si="34"/>
        <v>179.56041631665812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2.8</v>
      </c>
      <c r="AI26" s="13">
        <f>IF('Données projet'!$A$62&gt;35,AI25+AH26-AQ25,IF(A26&lt;'Données projet'!$A$62,$AF$205^A26,IF(A26='Données projet'!$A$62,'Données projet'!$B$62,AI25+AH26-AQ25)))</f>
        <v>49.82992078990118</v>
      </c>
      <c r="AJ26" s="13">
        <f>AI26*VLOOKUP('Données projet'!$B$10,Paramètres!$A$1:$I$89,3,0)*VLOOKUP('Données projet'!$B$10,Paramètres!$A$1:$I$89,5,0)</f>
        <v>45.086112330702591</v>
      </c>
      <c r="AK26" s="13">
        <f t="shared" si="35"/>
        <v>13.337187999822708</v>
      </c>
      <c r="AL26" s="20">
        <f t="shared" si="4"/>
        <v>101.75391474233156</v>
      </c>
      <c r="AM26" s="59">
        <f t="shared" si="5"/>
        <v>395.08724807566489</v>
      </c>
      <c r="AN26" s="59">
        <f ca="1">AVERAGE(OFFSET($AM$3,0,0,'Données projet'!$E$10+1,1))-AVERAGE(OFFSET($H$3,0,0,'Données projet'!$E$10+1,1))</f>
        <v>237.64646718446005</v>
      </c>
      <c r="AO26" s="59">
        <f t="shared" si="36"/>
        <v>156.67965022779907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</v>
      </c>
      <c r="BD26" s="12">
        <f>IF('Données projet'!$A$88&gt;35,BD25+BC26-BL25,IF(A26&lt;'Données projet'!$A$88,$BA$205^A26,IF(A26='Données projet'!$A$88,'Données projet'!$B$88,BD25+BC26-BL25)))</f>
        <v>89.799999999999983</v>
      </c>
      <c r="BE26" s="13">
        <f>BD26*VLOOKUP('Données projet'!$B$11,Paramètres!$A$1:$I$89,3,0)*VLOOKUP('Données projet'!$B$11,Paramètres!$A$1:$I$89,5,0)</f>
        <v>58.836959999999991</v>
      </c>
      <c r="BF26" s="13">
        <f t="shared" si="37"/>
        <v>16.873881856791602</v>
      </c>
      <c r="BG26" s="20">
        <f t="shared" si="7"/>
        <v>131.86304956724535</v>
      </c>
      <c r="BH26" s="59">
        <f t="shared" si="8"/>
        <v>425.19638290057867</v>
      </c>
      <c r="BI26" s="59">
        <f ca="1">AVERAGE(OFFSET($BH$3,0,0,'Données projet'!$E$11+1,1))-AVERAGE(OFFSET($H$3,0,0,'Données projet'!$E$11+1,1))</f>
        <v>172.9177436650786</v>
      </c>
      <c r="BJ26" s="59">
        <f t="shared" si="38"/>
        <v>173.73622806725865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3.9965065839681531</v>
      </c>
      <c r="BR26" s="21">
        <f>EXP(-LN(2)/2)*BR25+(1-EXP(-LN(2)/2))/(LN(2)/2)*BL26*BO26*VLOOKUP('Données projet'!$B$11,Paramètres!$A$1:$I$89,3,0)*0.475*44/12</f>
        <v>3.0599281157257847</v>
      </c>
      <c r="BS26" s="22">
        <f t="shared" si="9"/>
        <v>7.0564346996939378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12.333333333333334</v>
      </c>
      <c r="BY26" s="12">
        <f>IF('Données projet'!$A$114&gt;35,BY25+BX26-CG25,IF(A26&lt;'Données projet'!$A$114,$BV$205^A26,IF(A26='Données projet'!$A$114,'Données projet'!$B$114,BY25+BX26-CG25)))</f>
        <v>119.33333333333334</v>
      </c>
      <c r="BZ26" s="13">
        <f>BY26*VLOOKUP('Données projet'!$B$12,Paramètres!$A$1:$I$89,3,0)*VLOOKUP('Données projet'!$B$12,Paramètres!$A$1:$I$89,5,0)</f>
        <v>71.361333333333349</v>
      </c>
      <c r="CA26" s="13">
        <f t="shared" si="39"/>
        <v>20.011144716858571</v>
      </c>
      <c r="CB26" s="20">
        <f t="shared" si="10"/>
        <v>159.14039927075092</v>
      </c>
      <c r="CC26" s="59">
        <f t="shared" si="11"/>
        <v>452.47373260408426</v>
      </c>
      <c r="CD26" s="59">
        <f ca="1">AVERAGE(OFFSET($CC$3,0,0,'Données projet'!$E$12+1,1))-AVERAGE(OFFSET($H$3,0,0,'Données projet'!$E$12+1,1))</f>
        <v>289.07218105343333</v>
      </c>
      <c r="CE26" s="59">
        <f t="shared" si="40"/>
        <v>217.57508587672368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1.6600789152438</v>
      </c>
      <c r="CM26" s="21">
        <f>EXP(-LN(2)/2)*CM25+(1-EXP(-LN(2)/2))/(LN(2)/2)*CG26*CJ26*VLOOKUP('Données projet'!$B$12,Paramètres!$A$1:$I$89,3,0)*0.475*44/12</f>
        <v>2.2980684624226293</v>
      </c>
      <c r="CN26" s="22">
        <f t="shared" si="12"/>
        <v>3.9581473776664291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2.8</v>
      </c>
      <c r="N27" s="13">
        <f>IF('Données projet'!$A$36&gt;35,N26+M27-V26,IF(A27&lt;'Données projet'!$A$36,$K$205^A27,IF(A27='Données projet'!$A$36,'Données projet'!$B$36,N26+M27-V26)))</f>
        <v>59.060091900479499</v>
      </c>
      <c r="O27" s="13">
        <f>N27*VLOOKUP('Données projet'!$B$9,Paramètres!$A$1:$I$89,3,0)*VLOOKUP('Données projet'!$B$9,Paramètres!$A$1:$I$89,5,0)</f>
        <v>59.886933187086214</v>
      </c>
      <c r="P27" s="13">
        <f t="shared" si="33"/>
        <v>17.139679037265701</v>
      </c>
      <c r="Q27" s="20">
        <f t="shared" si="2"/>
        <v>134.15468295741289</v>
      </c>
      <c r="R27" s="59">
        <f t="shared" si="0"/>
        <v>427.4880162907462</v>
      </c>
      <c r="S27" s="59">
        <f ca="1">AVERAGE(OFFSET($R$3,0,0,'Données projet'!$E$9+1,1))-AVERAGE(OFFSET($H$3,0,0,'Données projet'!$E$9+1,1))</f>
        <v>272.93635583300755</v>
      </c>
      <c r="T27" s="59">
        <f t="shared" si="34"/>
        <v>179.56041631665812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2.8</v>
      </c>
      <c r="AI27" s="13">
        <f>IF('Données projet'!$A$62&gt;35,AI26+AH27-AQ26,IF(A27&lt;'Données projet'!$A$62,$AF$205^A27,IF(A27='Données projet'!$A$62,'Données projet'!$B$62,AI26+AH27-AQ26)))</f>
        <v>59.060091900479499</v>
      </c>
      <c r="AJ27" s="13">
        <f>AI27*VLOOKUP('Données projet'!$B$10,Paramètres!$A$1:$I$89,3,0)*VLOOKUP('Données projet'!$B$10,Paramètres!$A$1:$I$89,5,0)</f>
        <v>53.437571151553847</v>
      </c>
      <c r="AK27" s="13">
        <f t="shared" si="35"/>
        <v>15.498062862253629</v>
      </c>
      <c r="AL27" s="20">
        <f t="shared" si="4"/>
        <v>120.06289590738133</v>
      </c>
      <c r="AM27" s="59">
        <f t="shared" si="5"/>
        <v>413.39622924071466</v>
      </c>
      <c r="AN27" s="59">
        <f ca="1">AVERAGE(OFFSET($AM$3,0,0,'Données projet'!$E$10+1,1))-AVERAGE(OFFSET($H$3,0,0,'Données projet'!$E$10+1,1))</f>
        <v>237.64646718446005</v>
      </c>
      <c r="AO27" s="59">
        <f t="shared" si="36"/>
        <v>156.67965022779907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</v>
      </c>
      <c r="BD27" s="12">
        <f>IF('Données projet'!$A$88&gt;35,BD26+BC27-BL26,IF(A27&lt;'Données projet'!$A$88,$BA$205^A27,IF(A27='Données projet'!$A$88,'Données projet'!$B$88,BD26+BC27-BL26)))</f>
        <v>102.39999999999998</v>
      </c>
      <c r="BE27" s="13">
        <f>BD27*VLOOKUP('Données projet'!$B$11,Paramètres!$A$1:$I$89,3,0)*VLOOKUP('Données projet'!$B$11,Paramètres!$A$1:$I$89,5,0)</f>
        <v>67.092479999999981</v>
      </c>
      <c r="BF27" s="13">
        <f t="shared" si="37"/>
        <v>18.949644838115674</v>
      </c>
      <c r="BG27" s="20">
        <f t="shared" si="7"/>
        <v>149.85670075971808</v>
      </c>
      <c r="BH27" s="59">
        <f t="shared" si="8"/>
        <v>443.19003409305139</v>
      </c>
      <c r="BI27" s="59">
        <f ca="1">AVERAGE(OFFSET($BH$3,0,0,'Données projet'!$E$11+1,1))-AVERAGE(OFFSET($H$3,0,0,'Données projet'!$E$11+1,1))</f>
        <v>172.9177436650786</v>
      </c>
      <c r="BJ27" s="59">
        <f t="shared" si="38"/>
        <v>173.73622806725865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3.887221901262397</v>
      </c>
      <c r="BR27" s="21">
        <f>EXP(-LN(2)/2)*BR26+(1-EXP(-LN(2)/2))/(LN(2)/2)*BL27*BO27*VLOOKUP('Données projet'!$B$11,Paramètres!$A$1:$I$89,3,0)*0.475*44/12</f>
        <v>2.1636959205730775</v>
      </c>
      <c r="BS27" s="22">
        <f t="shared" si="9"/>
        <v>6.0509178218354744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12.333333333333334</v>
      </c>
      <c r="BY27" s="12">
        <f>IF('Données projet'!$A$114&gt;35,BY26+BX27-CG26,IF(A27&lt;'Données projet'!$A$114,$BV$205^A27,IF(A27='Données projet'!$A$114,'Données projet'!$B$114,BY26+BX27-CG26)))</f>
        <v>131.66666666666669</v>
      </c>
      <c r="BZ27" s="13">
        <f>BY27*VLOOKUP('Données projet'!$B$12,Paramètres!$A$1:$I$89,3,0)*VLOOKUP('Données projet'!$B$12,Paramètres!$A$1:$I$89,5,0)</f>
        <v>78.736666666666679</v>
      </c>
      <c r="CA27" s="13">
        <f t="shared" si="39"/>
        <v>21.828006984037064</v>
      </c>
      <c r="CB27" s="20">
        <f t="shared" si="10"/>
        <v>175.15013994164235</v>
      </c>
      <c r="CC27" s="59">
        <f t="shared" si="11"/>
        <v>468.48347327497567</v>
      </c>
      <c r="CD27" s="59">
        <f ca="1">AVERAGE(OFFSET($CC$3,0,0,'Données projet'!$E$12+1,1))-AVERAGE(OFFSET($H$3,0,0,'Données projet'!$E$12+1,1))</f>
        <v>289.07218105343333</v>
      </c>
      <c r="CE27" s="59">
        <f t="shared" si="40"/>
        <v>217.57508587672368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1.6146839700067024</v>
      </c>
      <c r="CM27" s="21">
        <f>EXP(-LN(2)/2)*CM26+(1-EXP(-LN(2)/2))/(LN(2)/2)*CG27*CJ27*VLOOKUP('Données projet'!$B$12,Paramètres!$A$1:$I$89,3,0)*0.475*44/12</f>
        <v>1.6249797934099839</v>
      </c>
      <c r="CN27" s="22">
        <f t="shared" si="12"/>
        <v>3.2396637634166865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70</v>
      </c>
      <c r="L28" s="12">
        <f>VLOOKUP(A28,'Données projet'!$A$35:$I$55,9,0)</f>
        <v>2.8</v>
      </c>
      <c r="M28" s="12">
        <f t="array" ref="M28">INDEX(L:L,MIN(IF(ISNUMBER(L28:L224),ROW(L28:L224),"")))</f>
        <v>2.8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70.98</v>
      </c>
      <c r="P28" s="13">
        <f t="shared" si="33"/>
        <v>19.916628839746853</v>
      </c>
      <c r="Q28" s="20">
        <f t="shared" si="2"/>
        <v>158.31162856255909</v>
      </c>
      <c r="R28" s="59">
        <f t="shared" si="0"/>
        <v>451.64496189589238</v>
      </c>
      <c r="S28" s="59">
        <f ca="1">AVERAGE(OFFSET($R$3,0,0,'Données projet'!$E$9+1,1))-AVERAGE(OFFSET($H$3,0,0,'Données projet'!$E$9+1,1))</f>
        <v>272.93635583300755</v>
      </c>
      <c r="T28" s="59">
        <f t="shared" si="34"/>
        <v>179.56041631665812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8.6000000000000007E-2</v>
      </c>
      <c r="X28" s="16">
        <f>IF(ISNA(VLOOKUP(A28,'Données projet'!$A$35:$I$55,6,0)),0%,VLOOKUP(A28,'Données projet'!$A$35:$I$55,6,0)*VLOOKUP('Données projet'!$B$9,Paramètres!$A$1:$I$89,7,0))</f>
        <v>8.6000000000000007E-2</v>
      </c>
      <c r="Y28" s="16">
        <f>IF(ISNA(VLOOKUP(A28,'Données projet'!$A$35:$I$55,7,0)),0%,VLOOKUP(A28,'Données projet'!$A$35:$I$55,7,0))</f>
        <v>0.6</v>
      </c>
      <c r="Z28" s="21">
        <f>EXP(-LN(2)/35)*Z27+(1-EXP(-LN(2)/35))/(LN(2)/35)*V28*W28*VLOOKUP('Données projet'!$B$9,Paramètres!$A$1:$I$89,3,0)*0.475*44/12</f>
        <v>0.77121151181433112</v>
      </c>
      <c r="AA28" s="21">
        <f>EXP(-LN(2)/25)*AA27+(1-EXP(-LN(2)/25))/(LN(2)/25)*Calculateur!V28*Calculateur!X28*VLOOKUP('Données projet'!$B$9,Paramètres!$A$1:$I$89,3,0)*0.475*44/12</f>
        <v>0.76817495823769422</v>
      </c>
      <c r="AB28" s="21">
        <f>EXP(-LN(2)/2)*AB27+(1-EXP(-LN(2)/2))/(LN(2)/2)*V28*Y28*VLOOKUP('Données projet'!$B$9,Paramètres!$A$1:$I$89,3,0)*0.475*44/12</f>
        <v>4.5923341987673458</v>
      </c>
      <c r="AC28" s="22">
        <f t="shared" si="3"/>
        <v>6.1317206688193711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70</v>
      </c>
      <c r="AG28" s="12">
        <f>VLOOKUP(A28,'Données projet'!$A$61:$I$81,9,0)</f>
        <v>2.8</v>
      </c>
      <c r="AH28" s="12">
        <f t="array" ref="AH28">INDEX(AG:AG,MIN(IF(ISNUMBER(AG28:AG224),ROW(AG28:AG224),"")))</f>
        <v>2.8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63.335999999999991</v>
      </c>
      <c r="AK28" s="13">
        <f t="shared" si="35"/>
        <v>18.009040022946227</v>
      </c>
      <c r="AL28" s="20">
        <f t="shared" si="4"/>
        <v>141.67594470663133</v>
      </c>
      <c r="AM28" s="59">
        <f t="shared" si="5"/>
        <v>435.00927803996467</v>
      </c>
      <c r="AN28" s="59">
        <f ca="1">AVERAGE(OFFSET($AM$3,0,0,'Données projet'!$E$10+1,1))-AVERAGE(OFFSET($H$3,0,0,'Données projet'!$E$10+1,1))</f>
        <v>237.64646718446005</v>
      </c>
      <c r="AO28" s="59">
        <f t="shared" si="36"/>
        <v>156.67965022779907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8.6000000000000007E-2</v>
      </c>
      <c r="AS28" s="16">
        <f>IF(ISNA(VLOOKUP(A28,'Données projet'!$A$61:$I$81,6,0)),0%,VLOOKUP(A28,'Données projet'!$A$61:$I$81,6,0)*VLOOKUP('Données projet'!$B$10,Paramètres!$A$1:$I$89,7,0))</f>
        <v>8.6000000000000007E-2</v>
      </c>
      <c r="AT28" s="16">
        <f>IF(ISNA(VLOOKUP(A28,'Données projet'!$A$61:$I$81,7,0)),0%,VLOOKUP(A28,'Données projet'!$A$61:$I$81,7,0))</f>
        <v>0.6</v>
      </c>
      <c r="AU28" s="21">
        <f>EXP(-LN(2)/35)*AU27+(1-EXP(-LN(2)/35))/(LN(2)/35)*AQ28*AR28*VLOOKUP('Données projet'!$B$10,Paramètres!$A$1:$I$89,3,0)*0.475*44/12</f>
        <v>0.68815796438817234</v>
      </c>
      <c r="AV28" s="21">
        <f>EXP(-LN(2)/25)*AV27+(1-EXP(-LN(2)/25))/(LN(2)/25)*Calculateur!AQ28*Calculateur!AS28*VLOOKUP('Données projet'!$B$10,Paramètres!$A$1:$I$89,3,0)*0.475*44/12</f>
        <v>0.68544842427363495</v>
      </c>
      <c r="AW28" s="21">
        <f>EXP(-LN(2)/2)*AW27+(1-EXP(-LN(2)/2))/(LN(2)/2)*AQ28*AT28*VLOOKUP('Données projet'!$B$10,Paramètres!$A$1:$I$89,3,0)*0.475*44/12</f>
        <v>4.0977751312077837</v>
      </c>
      <c r="AX28" s="21">
        <f t="shared" si="6"/>
        <v>5.471381519869591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115</v>
      </c>
      <c r="BB28" s="12">
        <f>VLOOKUP(A28,'Données projet'!$A$87:$I$107,9,0)</f>
        <v>12.6</v>
      </c>
      <c r="BC28" s="12">
        <f t="array" ref="BC28">INDEX(BB:BB,MIN(IF(ISNUMBER(BB28:BB224),ROW(BB28:BB224),"")))</f>
        <v>12.6</v>
      </c>
      <c r="BD28" s="12">
        <f>IF('Données projet'!$A$88&gt;35,BD27+BC28-BL27,IF(A28&lt;'Données projet'!$A$88,$BA$205^A28,IF(A28='Données projet'!$A$88,'Données projet'!$B$88,BD27+BC28-BL27)))</f>
        <v>114.99999999999997</v>
      </c>
      <c r="BE28" s="13">
        <f>BD28*VLOOKUP('Données projet'!$B$11,Paramètres!$A$1:$I$89,3,0)*VLOOKUP('Données projet'!$B$11,Paramètres!$A$1:$I$89,5,0)</f>
        <v>75.347999999999971</v>
      </c>
      <c r="BF28" s="13">
        <f t="shared" si="37"/>
        <v>20.99581051771704</v>
      </c>
      <c r="BG28" s="20">
        <f t="shared" si="7"/>
        <v>167.79880331835713</v>
      </c>
      <c r="BH28" s="59">
        <f t="shared" si="8"/>
        <v>461.13213665169042</v>
      </c>
      <c r="BI28" s="59">
        <f ca="1">AVERAGE(OFFSET($BH$3,0,0,'Données projet'!$E$11+1,1))-AVERAGE(OFFSET($H$3,0,0,'Données projet'!$E$11+1,1))</f>
        <v>172.9177436650786</v>
      </c>
      <c r="BJ28" s="59">
        <f t="shared" si="38"/>
        <v>173.73622806725865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4.3000000000000003E-2</v>
      </c>
      <c r="BN28" s="16">
        <f>IF(ISNA(VLOOKUP(A28,'Données projet'!$A$87:$I$107,6,0)),0%,VLOOKUP(A28,'Données projet'!$A$87:$I$107,6,0)*VLOOKUP('Données projet'!$B$11,Paramètres!$A$1:$I$89,7,0))</f>
        <v>0.215</v>
      </c>
      <c r="BO28" s="16">
        <f>IF(ISNA(VLOOKUP(A28,'Données projet'!$A$87:$I$107,7,0)),0%,VLOOKUP(A28,'Données projet'!$A$87:$I$107,7,0))</f>
        <v>0.4</v>
      </c>
      <c r="BP28" s="21">
        <f>EXP(-LN(2)/35)*BP27+(1-EXP(-LN(2)/35))/(LN(2)/35)*BL28*BM28*VLOOKUP('Données projet'!$B$11,Paramètres!$A$1:$I$89,3,0)*0.475*44/12</f>
        <v>0.87206224797466669</v>
      </c>
      <c r="BQ28" s="21">
        <f>EXP(-LN(2)/25)*BQ27+(1-EXP(-LN(2)/25))/(LN(2)/25)*Calculateur!BL28*Calculateur!BN28*VLOOKUP('Données projet'!$B$11,Paramètres!$A$1:$I$89,3,0)*0.475*44/12</f>
        <v>8.1240686470653785</v>
      </c>
      <c r="BR28" s="21">
        <f>EXP(-LN(2)/2)*BR27+(1-EXP(-LN(2)/2))/(LN(2)/2)*BL28*BO28*VLOOKUP('Données projet'!$B$11,Paramètres!$A$1:$I$89,3,0)*0.475*44/12</f>
        <v>8.4537910036967361</v>
      </c>
      <c r="BS28" s="22">
        <f t="shared" si="9"/>
        <v>17.449921898736783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144</v>
      </c>
      <c r="BW28" s="12">
        <f>VLOOKUP(A28,'Données projet'!$A$113:$I$133,9,0)</f>
        <v>12.333333333333334</v>
      </c>
      <c r="BX28" s="12">
        <f t="array" ref="BX28">INDEX(BW:BW,MIN(IF(ISNUMBER(BW28:BW224),ROW(BW28:BW224),"")))</f>
        <v>12.333333333333334</v>
      </c>
      <c r="BY28" s="12">
        <f>IF('Données projet'!$A$114&gt;35,BY27+BX28-CG27,IF(A28&lt;'Données projet'!$A$114,$BV$205^A28,IF(A28='Données projet'!$A$114,'Données projet'!$B$114,BY27+BX28-CG27)))</f>
        <v>144.00000000000003</v>
      </c>
      <c r="BZ28" s="13">
        <f>BY28*VLOOKUP('Données projet'!$B$12,Paramètres!$A$1:$I$89,3,0)*VLOOKUP('Données projet'!$B$12,Paramètres!$A$1:$I$89,5,0)</f>
        <v>86.112000000000009</v>
      </c>
      <c r="CA28" s="13">
        <f t="shared" si="39"/>
        <v>23.625136642852297</v>
      </c>
      <c r="CB28" s="20">
        <f t="shared" si="10"/>
        <v>191.12551298630106</v>
      </c>
      <c r="CC28" s="59">
        <f t="shared" si="11"/>
        <v>484.4588463196344</v>
      </c>
      <c r="CD28" s="59">
        <f ca="1">AVERAGE(OFFSET($CC$3,0,0,'Données projet'!$E$12+1,1))-AVERAGE(OFFSET($H$3,0,0,'Données projet'!$E$12+1,1))</f>
        <v>289.07218105343333</v>
      </c>
      <c r="CE28" s="59">
        <f t="shared" si="40"/>
        <v>217.57508587672368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17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0.13500000000000001</v>
      </c>
      <c r="CJ28" s="16">
        <f>IF(ISNA(VLOOKUP(A28,'Données projet'!$A$113:$I$133,7,0)),0%,VLOOKUP(A28,'Données projet'!$A$113:$I$133,7,0))</f>
        <v>0.3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3.383952318418082</v>
      </c>
      <c r="CM28" s="21">
        <f>EXP(-LN(2)/2)*CM27+(1-EXP(-LN(2)/2))/(LN(2)/2)*CG28*CJ28*VLOOKUP('Données projet'!$B$12,Paramètres!$A$1:$I$89,3,0)*0.475*44/12</f>
        <v>4.6021162922075307</v>
      </c>
      <c r="CN28" s="22">
        <f t="shared" si="12"/>
        <v>7.9860686106256127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69.966000000000008</v>
      </c>
      <c r="P29" s="13">
        <f t="shared" si="33"/>
        <v>19.665013934342461</v>
      </c>
      <c r="Q29" s="20">
        <f t="shared" si="2"/>
        <v>156.10734926897979</v>
      </c>
      <c r="R29" s="59">
        <f t="shared" si="0"/>
        <v>449.44068260231313</v>
      </c>
      <c r="S29" s="59">
        <f ca="1">AVERAGE(OFFSET($R$3,0,0,'Données projet'!$E$9+1,1))-AVERAGE(OFFSET($H$3,0,0,'Données projet'!$E$9+1,1))</f>
        <v>272.93635583300755</v>
      </c>
      <c r="T29" s="59">
        <f t="shared" si="34"/>
        <v>179.56041631665812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0.7560885244602269</v>
      </c>
      <c r="AA29" s="21">
        <f>EXP(-LN(2)/25)*AA28+(1-EXP(-LN(2)/25))/(LN(2)/25)*Calculateur!V29*Calculateur!X29*VLOOKUP('Données projet'!$B$9,Paramètres!$A$1:$I$89,3,0)*0.475*44/12</f>
        <v>0.74716917360811907</v>
      </c>
      <c r="AB29" s="21">
        <f>EXP(-LN(2)/2)*AB28+(1-EXP(-LN(2)/2))/(LN(2)/2)*V29*Y29*VLOOKUP('Données projet'!$B$9,Paramètres!$A$1:$I$89,3,0)*0.475*44/12</f>
        <v>3.2472706534232807</v>
      </c>
      <c r="AC29" s="22">
        <f t="shared" si="3"/>
        <v>4.7505283514916261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62.431199999999997</v>
      </c>
      <c r="AK29" s="13">
        <f t="shared" si="35"/>
        <v>17.781524466058684</v>
      </c>
      <c r="AL29" s="20">
        <f t="shared" si="4"/>
        <v>139.70382844505221</v>
      </c>
      <c r="AM29" s="59">
        <f t="shared" si="5"/>
        <v>433.03716177838555</v>
      </c>
      <c r="AN29" s="59">
        <f ca="1">AVERAGE(OFFSET($AM$3,0,0,'Données projet'!$E$10+1,1))-AVERAGE(OFFSET($H$3,0,0,'Données projet'!$E$10+1,1))</f>
        <v>237.64646718446005</v>
      </c>
      <c r="AO29" s="59">
        <f t="shared" si="36"/>
        <v>156.67965022779907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0.67466360644143319</v>
      </c>
      <c r="AV29" s="21">
        <f>EXP(-LN(2)/25)*AV28+(1-EXP(-LN(2)/25))/(LN(2)/25)*Calculateur!AQ29*Calculateur!AS29*VLOOKUP('Données projet'!$B$10,Paramètres!$A$1:$I$89,3,0)*0.475*44/12</f>
        <v>0.6667048010657064</v>
      </c>
      <c r="AW29" s="21">
        <f>EXP(-LN(2)/2)*AW28+(1-EXP(-LN(2)/2))/(LN(2)/2)*AQ29*AT29*VLOOKUP('Données projet'!$B$10,Paramètres!$A$1:$I$89,3,0)*0.475*44/12</f>
        <v>2.8975645830546184</v>
      </c>
      <c r="AX29" s="21">
        <f t="shared" si="6"/>
        <v>4.2389329905617581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11.8</v>
      </c>
      <c r="BD29" s="12">
        <f>IF('Données projet'!$A$88&gt;35,BD28+BC29-BL28,IF(A29&lt;'Données projet'!$A$88,$BA$205^A29,IF(A29='Données projet'!$A$88,'Données projet'!$B$88,BD28+BC29-BL28)))</f>
        <v>98.799999999999969</v>
      </c>
      <c r="BE29" s="13">
        <f>BD29*VLOOKUP('Données projet'!$B$11,Paramètres!$A$1:$I$89,3,0)*VLOOKUP('Données projet'!$B$11,Paramètres!$A$1:$I$89,5,0)</f>
        <v>64.73375999999999</v>
      </c>
      <c r="BF29" s="13">
        <f t="shared" si="37"/>
        <v>18.359771390246543</v>
      </c>
      <c r="BG29" s="20">
        <f t="shared" si="7"/>
        <v>144.72123383801272</v>
      </c>
      <c r="BH29" s="59">
        <f t="shared" si="8"/>
        <v>438.05456717134604</v>
      </c>
      <c r="BI29" s="59">
        <f ca="1">AVERAGE(OFFSET($BH$3,0,0,'Données projet'!$E$11+1,1))-AVERAGE(OFFSET($H$3,0,0,'Données projet'!$E$11+1,1))</f>
        <v>172.9177436650786</v>
      </c>
      <c r="BJ29" s="59">
        <f t="shared" si="38"/>
        <v>173.73622806725865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0.85496163919733348</v>
      </c>
      <c r="BQ29" s="21">
        <f>EXP(-LN(2)/25)*BQ28+(1-EXP(-LN(2)/25))/(LN(2)/25)*Calculateur!BL29*Calculateur!BN29*VLOOKUP('Données projet'!$B$11,Paramètres!$A$1:$I$89,3,0)*0.475*44/12</f>
        <v>7.9019155626851729</v>
      </c>
      <c r="BR29" s="21">
        <f>EXP(-LN(2)/2)*BR28+(1-EXP(-LN(2)/2))/(LN(2)/2)*BL29*BO29*VLOOKUP('Données projet'!$B$11,Paramètres!$A$1:$I$89,3,0)*0.475*44/12</f>
        <v>5.9777329454477925</v>
      </c>
      <c r="BS29" s="22">
        <f t="shared" si="9"/>
        <v>14.734610147330299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13.4</v>
      </c>
      <c r="BY29" s="12">
        <f>IF('Données projet'!$A$114&gt;35,BY28+BX29-CG28,IF(A29&lt;'Données projet'!$A$114,$BV$205^A29,IF(A29='Données projet'!$A$114,'Données projet'!$B$114,BY28+BX29-CG28)))</f>
        <v>140.40000000000003</v>
      </c>
      <c r="BZ29" s="13">
        <f>BY29*VLOOKUP('Données projet'!$B$12,Paramètres!$A$1:$I$89,3,0)*VLOOKUP('Données projet'!$B$12,Paramètres!$A$1:$I$89,5,0)</f>
        <v>83.959200000000024</v>
      </c>
      <c r="CA29" s="13">
        <f t="shared" si="39"/>
        <v>23.102490880810642</v>
      </c>
      <c r="CB29" s="20">
        <f t="shared" si="10"/>
        <v>186.46577828407854</v>
      </c>
      <c r="CC29" s="59">
        <f t="shared" si="11"/>
        <v>479.79911161741188</v>
      </c>
      <c r="CD29" s="59">
        <f ca="1">AVERAGE(OFFSET($CC$3,0,0,'Données projet'!$E$12+1,1))-AVERAGE(OFFSET($H$3,0,0,'Données projet'!$E$12+1,1))</f>
        <v>289.07218105343333</v>
      </c>
      <c r="CE29" s="59">
        <f t="shared" si="40"/>
        <v>217.57508587672368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3.2914179643166213</v>
      </c>
      <c r="CM29" s="21">
        <f>EXP(-LN(2)/2)*CM28+(1-EXP(-LN(2)/2))/(LN(2)/2)*CG29*CJ29*VLOOKUP('Données projet'!$B$12,Paramètres!$A$1:$I$89,3,0)*0.475*44/12</f>
        <v>3.2541876380290362</v>
      </c>
      <c r="CN29" s="22">
        <f t="shared" si="12"/>
        <v>6.5456056023456579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77.064000000000007</v>
      </c>
      <c r="P30" s="13">
        <f t="shared" si="33"/>
        <v>21.417762186678065</v>
      </c>
      <c r="Q30" s="20">
        <f t="shared" si="2"/>
        <v>171.52240247513097</v>
      </c>
      <c r="R30" s="59">
        <f t="shared" si="0"/>
        <v>464.85573580846426</v>
      </c>
      <c r="S30" s="59">
        <f ca="1">AVERAGE(OFFSET($R$3,0,0,'Données projet'!$E$9+1,1))-AVERAGE(OFFSET($H$3,0,0,'Données projet'!$E$9+1,1))</f>
        <v>272.93635583300755</v>
      </c>
      <c r="T30" s="59">
        <f t="shared" si="34"/>
        <v>179.56041631665812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0.74126208966402518</v>
      </c>
      <c r="AA30" s="21">
        <f>EXP(-LN(2)/25)*AA29+(1-EXP(-LN(2)/25))/(LN(2)/25)*Calculateur!V30*Calculateur!X30*VLOOKUP('Données projet'!$B$9,Paramètres!$A$1:$I$89,3,0)*0.475*44/12</f>
        <v>0.72673779326388588</v>
      </c>
      <c r="AB30" s="21">
        <f>EXP(-LN(2)/2)*AB29+(1-EXP(-LN(2)/2))/(LN(2)/2)*V30*Y30*VLOOKUP('Données projet'!$B$9,Paramètres!$A$1:$I$89,3,0)*0.475*44/12</f>
        <v>2.2961670993836729</v>
      </c>
      <c r="AC30" s="22">
        <f t="shared" si="3"/>
        <v>3.764166982311584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68.764799999999994</v>
      </c>
      <c r="AK30" s="13">
        <f t="shared" si="35"/>
        <v>19.366396769521369</v>
      </c>
      <c r="AL30" s="20">
        <f t="shared" si="4"/>
        <v>153.49516770691636</v>
      </c>
      <c r="AM30" s="59">
        <f t="shared" si="5"/>
        <v>446.82850104024965</v>
      </c>
      <c r="AN30" s="59">
        <f ca="1">AVERAGE(OFFSET($AM$3,0,0,'Données projet'!$E$10+1,1))-AVERAGE(OFFSET($H$3,0,0,'Données projet'!$E$10+1,1))</f>
        <v>237.64646718446005</v>
      </c>
      <c r="AO30" s="59">
        <f t="shared" si="36"/>
        <v>156.67965022779907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0.66143386462328391</v>
      </c>
      <c r="AV30" s="21">
        <f>EXP(-LN(2)/25)*AV29+(1-EXP(-LN(2)/25))/(LN(2)/25)*Calculateur!AQ30*Calculateur!AS30*VLOOKUP('Données projet'!$B$10,Paramètres!$A$1:$I$89,3,0)*0.475*44/12</f>
        <v>0.6484737232200829</v>
      </c>
      <c r="AW30" s="21">
        <f>EXP(-LN(2)/2)*AW29+(1-EXP(-LN(2)/2))/(LN(2)/2)*AQ30*AT30*VLOOKUP('Données projet'!$B$10,Paramètres!$A$1:$I$89,3,0)*0.475*44/12</f>
        <v>2.0488875656038918</v>
      </c>
      <c r="AX30" s="21">
        <f t="shared" si="6"/>
        <v>3.3587951534472587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11.8</v>
      </c>
      <c r="BD30" s="12">
        <f>IF('Données projet'!$A$88&gt;35,BD29+BC30-BL29,IF(A30&lt;'Données projet'!$A$88,$BA$205^A30,IF(A30='Données projet'!$A$88,'Données projet'!$B$88,BD29+BC30-BL29)))</f>
        <v>110.59999999999997</v>
      </c>
      <c r="BE30" s="13">
        <f>BD30*VLOOKUP('Données projet'!$B$11,Paramètres!$A$1:$I$89,3,0)*VLOOKUP('Données projet'!$B$11,Paramètres!$A$1:$I$89,5,0)</f>
        <v>72.46511999999997</v>
      </c>
      <c r="BF30" s="13">
        <f t="shared" si="37"/>
        <v>20.284395193539197</v>
      </c>
      <c r="BG30" s="20">
        <f t="shared" si="7"/>
        <v>161.53873896208071</v>
      </c>
      <c r="BH30" s="59">
        <f t="shared" si="8"/>
        <v>454.872072295414</v>
      </c>
      <c r="BI30" s="59">
        <f ca="1">AVERAGE(OFFSET($BH$3,0,0,'Données projet'!$E$11+1,1))-AVERAGE(OFFSET($H$3,0,0,'Données projet'!$E$11+1,1))</f>
        <v>172.9177436650786</v>
      </c>
      <c r="BJ30" s="59">
        <f t="shared" si="38"/>
        <v>173.73622806725865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0.83819636292778232</v>
      </c>
      <c r="BQ30" s="21">
        <f>EXP(-LN(2)/25)*BQ29+(1-EXP(-LN(2)/25))/(LN(2)/25)*Calculateur!BL30*Calculateur!BN30*VLOOKUP('Données projet'!$B$11,Paramètres!$A$1:$I$89,3,0)*0.475*44/12</f>
        <v>7.6858372660798677</v>
      </c>
      <c r="BR30" s="21">
        <f>EXP(-LN(2)/2)*BR29+(1-EXP(-LN(2)/2))/(LN(2)/2)*BL30*BO30*VLOOKUP('Données projet'!$B$11,Paramètres!$A$1:$I$89,3,0)*0.475*44/12</f>
        <v>4.2268955018483689</v>
      </c>
      <c r="BS30" s="22">
        <f t="shared" si="9"/>
        <v>12.750929130856019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13.4</v>
      </c>
      <c r="BY30" s="12">
        <f>IF('Données projet'!$A$114&gt;35,BY29+BX30-CG29,IF(A30&lt;'Données projet'!$A$114,$BV$205^A30,IF(A30='Données projet'!$A$114,'Données projet'!$B$114,BY29+BX30-CG29)))</f>
        <v>153.80000000000004</v>
      </c>
      <c r="BZ30" s="13">
        <f>BY30*VLOOKUP('Données projet'!$B$12,Paramètres!$A$1:$I$89,3,0)*VLOOKUP('Données projet'!$B$12,Paramètres!$A$1:$I$89,5,0)</f>
        <v>91.972400000000022</v>
      </c>
      <c r="CA30" s="13">
        <f t="shared" si="39"/>
        <v>25.040318527820091</v>
      </c>
      <c r="CB30" s="20">
        <f t="shared" si="10"/>
        <v>203.79715143595334</v>
      </c>
      <c r="CC30" s="59">
        <f t="shared" si="11"/>
        <v>497.13048476928668</v>
      </c>
      <c r="CD30" s="59">
        <f ca="1">AVERAGE(OFFSET($CC$3,0,0,'Données projet'!$E$12+1,1))-AVERAGE(OFFSET($H$3,0,0,'Données projet'!$E$12+1,1))</f>
        <v>289.07218105343333</v>
      </c>
      <c r="CE30" s="59">
        <f t="shared" si="40"/>
        <v>217.57508587672368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3.201413966994235</v>
      </c>
      <c r="CM30" s="21">
        <f>EXP(-LN(2)/2)*CM29+(1-EXP(-LN(2)/2))/(LN(2)/2)*CG30*CJ30*VLOOKUP('Données projet'!$B$12,Paramètres!$A$1:$I$89,3,0)*0.475*44/12</f>
        <v>2.3010581461037658</v>
      </c>
      <c r="CN30" s="22">
        <f t="shared" si="12"/>
        <v>5.5024721130980012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84.162000000000006</v>
      </c>
      <c r="P31" s="13">
        <f t="shared" si="33"/>
        <v>23.151791590506594</v>
      </c>
      <c r="Q31" s="20">
        <f t="shared" si="2"/>
        <v>186.90485368679899</v>
      </c>
      <c r="R31" s="59">
        <f t="shared" si="0"/>
        <v>480.23818702013227</v>
      </c>
      <c r="S31" s="59">
        <f ca="1">AVERAGE(OFFSET($R$3,0,0,'Données projet'!$E$9+1,1))-AVERAGE(OFFSET($H$3,0,0,'Données projet'!$E$9+1,1))</f>
        <v>272.93635583300755</v>
      </c>
      <c r="T31" s="59">
        <f t="shared" si="34"/>
        <v>179.56041631665812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0.7267263922109447</v>
      </c>
      <c r="AA31" s="21">
        <f>EXP(-LN(2)/25)*AA30+(1-EXP(-LN(2)/25))/(LN(2)/25)*Calculateur!V31*Calculateur!X31*VLOOKUP('Données projet'!$B$9,Paramètres!$A$1:$I$89,3,0)*0.475*44/12</f>
        <v>0.7068651100896054</v>
      </c>
      <c r="AB31" s="21">
        <f>EXP(-LN(2)/2)*AB30+(1-EXP(-LN(2)/2))/(LN(2)/2)*V31*Y31*VLOOKUP('Données projet'!$B$9,Paramètres!$A$1:$I$89,3,0)*0.475*44/12</f>
        <v>1.6236353267116403</v>
      </c>
      <c r="AC31" s="22">
        <f t="shared" si="3"/>
        <v>3.0572268290121904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75.098399999999998</v>
      </c>
      <c r="AK31" s="13">
        <f t="shared" si="35"/>
        <v>20.934343091450742</v>
      </c>
      <c r="AL31" s="20">
        <f t="shared" si="4"/>
        <v>167.25702755094335</v>
      </c>
      <c r="AM31" s="59">
        <f t="shared" si="5"/>
        <v>460.59036088427666</v>
      </c>
      <c r="AN31" s="59">
        <f ca="1">AVERAGE(OFFSET($AM$3,0,0,'Données projet'!$E$10+1,1))-AVERAGE(OFFSET($H$3,0,0,'Données projet'!$E$10+1,1))</f>
        <v>237.64646718446005</v>
      </c>
      <c r="AO31" s="59">
        <f t="shared" si="36"/>
        <v>156.67965022779907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0.64846354997284283</v>
      </c>
      <c r="AV31" s="21">
        <f>EXP(-LN(2)/25)*AV30+(1-EXP(-LN(2)/25))/(LN(2)/25)*Calculateur!AQ31*Calculateur!AS31*VLOOKUP('Données projet'!$B$10,Paramètres!$A$1:$I$89,3,0)*0.475*44/12</f>
        <v>0.63074117515687877</v>
      </c>
      <c r="AW31" s="21">
        <f>EXP(-LN(2)/2)*AW30+(1-EXP(-LN(2)/2))/(LN(2)/2)*AQ31*AT31*VLOOKUP('Données projet'!$B$10,Paramètres!$A$1:$I$89,3,0)*0.475*44/12</f>
        <v>1.4487822915273092</v>
      </c>
      <c r="AX31" s="21">
        <f t="shared" si="6"/>
        <v>2.727987016657031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11.8</v>
      </c>
      <c r="BD31" s="12">
        <f>IF('Données projet'!$A$88&gt;35,BD30+BC31-BL30,IF(A31&lt;'Données projet'!$A$88,$BA$205^A31,IF(A31='Données projet'!$A$88,'Données projet'!$B$88,BD30+BC31-BL30)))</f>
        <v>122.39999999999996</v>
      </c>
      <c r="BE31" s="13">
        <f>BD31*VLOOKUP('Données projet'!$B$11,Paramètres!$A$1:$I$89,3,0)*VLOOKUP('Données projet'!$B$11,Paramètres!$A$1:$I$89,5,0)</f>
        <v>80.196479999999966</v>
      </c>
      <c r="BF31" s="13">
        <f t="shared" si="37"/>
        <v>22.185217649516314</v>
      </c>
      <c r="BG31" s="20">
        <f t="shared" si="7"/>
        <v>178.31479007290753</v>
      </c>
      <c r="BH31" s="59">
        <f t="shared" si="8"/>
        <v>471.64812340624087</v>
      </c>
      <c r="BI31" s="59">
        <f ca="1">AVERAGE(OFFSET($BH$3,0,0,'Données projet'!$E$11+1,1))-AVERAGE(OFFSET($H$3,0,0,'Données projet'!$E$11+1,1))</f>
        <v>172.9177436650786</v>
      </c>
      <c r="BJ31" s="59">
        <f t="shared" si="38"/>
        <v>173.73622806725865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0.82175984350006825</v>
      </c>
      <c r="BQ31" s="21">
        <f>EXP(-LN(2)/25)*BQ30+(1-EXP(-LN(2)/25))/(LN(2)/25)*Calculateur!BL31*Calculateur!BN31*VLOOKUP('Données projet'!$B$11,Paramètres!$A$1:$I$89,3,0)*0.475*44/12</f>
        <v>7.4756676418582986</v>
      </c>
      <c r="BR31" s="21">
        <f>EXP(-LN(2)/2)*BR30+(1-EXP(-LN(2)/2))/(LN(2)/2)*BL31*BO31*VLOOKUP('Données projet'!$B$11,Paramètres!$A$1:$I$89,3,0)*0.475*44/12</f>
        <v>2.9888664727238967</v>
      </c>
      <c r="BS31" s="22">
        <f t="shared" si="9"/>
        <v>11.286293958082265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13.4</v>
      </c>
      <c r="BY31" s="12">
        <f>IF('Données projet'!$A$114&gt;35,BY30+BX31-CG30,IF(A31&lt;'Données projet'!$A$114,$BV$205^A31,IF(A31='Données projet'!$A$114,'Données projet'!$B$114,BY30+BX31-CG30)))</f>
        <v>167.20000000000005</v>
      </c>
      <c r="BZ31" s="13">
        <f>BY31*VLOOKUP('Données projet'!$B$12,Paramètres!$A$1:$I$89,3,0)*VLOOKUP('Données projet'!$B$12,Paramètres!$A$1:$I$89,5,0)</f>
        <v>99.985600000000034</v>
      </c>
      <c r="CA31" s="13">
        <f t="shared" si="39"/>
        <v>26.958566918169435</v>
      </c>
      <c r="CB31" s="20">
        <f t="shared" si="10"/>
        <v>221.09442404914515</v>
      </c>
      <c r="CC31" s="59">
        <f t="shared" si="11"/>
        <v>514.42775738247849</v>
      </c>
      <c r="CD31" s="59">
        <f ca="1">AVERAGE(OFFSET($CC$3,0,0,'Données projet'!$E$12+1,1))-AVERAGE(OFFSET($H$3,0,0,'Données projet'!$E$12+1,1))</f>
        <v>289.07218105343333</v>
      </c>
      <c r="CE31" s="59">
        <f t="shared" si="40"/>
        <v>217.57508587672368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3.1138711337117342</v>
      </c>
      <c r="CM31" s="21">
        <f>EXP(-LN(2)/2)*CM30+(1-EXP(-LN(2)/2))/(LN(2)/2)*CG31*CJ31*VLOOKUP('Données projet'!$B$12,Paramètres!$A$1:$I$89,3,0)*0.475*44/12</f>
        <v>1.6270938190145183</v>
      </c>
      <c r="CN31" s="22">
        <f t="shared" si="12"/>
        <v>4.7409649527262525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91.26</v>
      </c>
      <c r="P32" s="13">
        <f t="shared" si="33"/>
        <v>24.868860330902777</v>
      </c>
      <c r="Q32" s="20">
        <f t="shared" si="2"/>
        <v>202.25776507632233</v>
      </c>
      <c r="R32" s="59">
        <f t="shared" si="0"/>
        <v>495.59109840965561</v>
      </c>
      <c r="S32" s="59">
        <f ca="1">AVERAGE(OFFSET($R$3,0,0,'Données projet'!$E$9+1,1))-AVERAGE(OFFSET($H$3,0,0,'Données projet'!$E$9+1,1))</f>
        <v>272.93635583300755</v>
      </c>
      <c r="T32" s="59">
        <f t="shared" si="34"/>
        <v>179.56041631665812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0.71247573091901906</v>
      </c>
      <c r="AA32" s="21">
        <f>EXP(-LN(2)/25)*AA31+(1-EXP(-LN(2)/25))/(LN(2)/25)*Calculateur!V32*Calculateur!X32*VLOOKUP('Données projet'!$B$9,Paramètres!$A$1:$I$89,3,0)*0.475*44/12</f>
        <v>0.68753584648178456</v>
      </c>
      <c r="AB32" s="21">
        <f>EXP(-LN(2)/2)*AB31+(1-EXP(-LN(2)/2))/(LN(2)/2)*V32*Y32*VLOOKUP('Données projet'!$B$9,Paramètres!$A$1:$I$89,3,0)*0.475*44/12</f>
        <v>1.1480835496918365</v>
      </c>
      <c r="AC32" s="22">
        <f t="shared" si="3"/>
        <v>2.5480951270926404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81.432000000000002</v>
      </c>
      <c r="AK32" s="13">
        <f t="shared" si="35"/>
        <v>22.486953220240881</v>
      </c>
      <c r="AL32" s="20">
        <f t="shared" si="4"/>
        <v>180.99217685858619</v>
      </c>
      <c r="AM32" s="59">
        <f t="shared" si="5"/>
        <v>474.32551019191953</v>
      </c>
      <c r="AN32" s="59">
        <f ca="1">AVERAGE(OFFSET($AM$3,0,0,'Données projet'!$E$10+1,1))-AVERAGE(OFFSET($H$3,0,0,'Données projet'!$E$10+1,1))</f>
        <v>237.64646718446005</v>
      </c>
      <c r="AO32" s="59">
        <f t="shared" si="36"/>
        <v>156.67965022779907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0.6357475752815861</v>
      </c>
      <c r="AV32" s="21">
        <f>EXP(-LN(2)/25)*AV31+(1-EXP(-LN(2)/25))/(LN(2)/25)*Calculateur!AQ32*Calculateur!AS32*VLOOKUP('Données projet'!$B$10,Paramètres!$A$1:$I$89,3,0)*0.475*44/12</f>
        <v>0.61349352455297712</v>
      </c>
      <c r="AW32" s="21">
        <f>EXP(-LN(2)/2)*AW31+(1-EXP(-LN(2)/2))/(LN(2)/2)*AQ32*AT32*VLOOKUP('Données projet'!$B$10,Paramètres!$A$1:$I$89,3,0)*0.475*44/12</f>
        <v>1.0244437828019459</v>
      </c>
      <c r="AX32" s="21">
        <f t="shared" si="6"/>
        <v>2.273684882636509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11.8</v>
      </c>
      <c r="BD32" s="12">
        <f>IF('Données projet'!$A$88&gt;35,BD31+BC32-BL31,IF(A32&lt;'Données projet'!$A$88,$BA$205^A32,IF(A32='Données projet'!$A$88,'Données projet'!$B$88,BD31+BC32-BL31)))</f>
        <v>134.19999999999996</v>
      </c>
      <c r="BE32" s="13">
        <f>BD32*VLOOKUP('Données projet'!$B$11,Paramètres!$A$1:$I$89,3,0)*VLOOKUP('Données projet'!$B$11,Paramètres!$A$1:$I$89,5,0)</f>
        <v>87.927839999999975</v>
      </c>
      <c r="BF32" s="13">
        <f t="shared" si="37"/>
        <v>24.064794420539194</v>
      </c>
      <c r="BG32" s="20">
        <f t="shared" si="7"/>
        <v>195.05383828243905</v>
      </c>
      <c r="BH32" s="59">
        <f t="shared" si="8"/>
        <v>488.38717161577233</v>
      </c>
      <c r="BI32" s="59">
        <f ca="1">AVERAGE(OFFSET($BH$3,0,0,'Données projet'!$E$11+1,1))-AVERAGE(OFFSET($H$3,0,0,'Données projet'!$E$11+1,1))</f>
        <v>172.9177436650786</v>
      </c>
      <c r="BJ32" s="59">
        <f t="shared" si="38"/>
        <v>173.73622806725865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0.80564563419304469</v>
      </c>
      <c r="BQ32" s="21">
        <f>EXP(-LN(2)/25)*BQ31+(1-EXP(-LN(2)/25))/(LN(2)/25)*Calculateur!BL32*Calculateur!BN32*VLOOKUP('Données projet'!$B$11,Paramètres!$A$1:$I$89,3,0)*0.475*44/12</f>
        <v>7.2712451170634083</v>
      </c>
      <c r="BR32" s="21">
        <f>EXP(-LN(2)/2)*BR31+(1-EXP(-LN(2)/2))/(LN(2)/2)*BL32*BO32*VLOOKUP('Données projet'!$B$11,Paramètres!$A$1:$I$89,3,0)*0.475*44/12</f>
        <v>2.1134477509241849</v>
      </c>
      <c r="BS32" s="22">
        <f t="shared" si="9"/>
        <v>10.190338502180637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13.4</v>
      </c>
      <c r="BY32" s="12">
        <f>IF('Données projet'!$A$114&gt;35,BY31+BX32-CG31,IF(A32&lt;'Données projet'!$A$114,$BV$205^A32,IF(A32='Données projet'!$A$114,'Données projet'!$B$114,BY31+BX32-CG31)))</f>
        <v>180.60000000000005</v>
      </c>
      <c r="BZ32" s="13">
        <f>BY32*VLOOKUP('Données projet'!$B$12,Paramètres!$A$1:$I$89,3,0)*VLOOKUP('Données projet'!$B$12,Paramètres!$A$1:$I$89,5,0)</f>
        <v>107.99880000000003</v>
      </c>
      <c r="CA32" s="13">
        <f t="shared" si="39"/>
        <v>28.85898360070161</v>
      </c>
      <c r="CB32" s="20">
        <f t="shared" si="10"/>
        <v>238.36063977122203</v>
      </c>
      <c r="CC32" s="59">
        <f t="shared" si="11"/>
        <v>531.69397310455531</v>
      </c>
      <c r="CD32" s="59">
        <f ca="1">AVERAGE(OFFSET($CC$3,0,0,'Données projet'!$E$12+1,1))-AVERAGE(OFFSET($H$3,0,0,'Données projet'!$E$12+1,1))</f>
        <v>289.07218105343333</v>
      </c>
      <c r="CE32" s="59">
        <f t="shared" si="40"/>
        <v>217.57508587672368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3.0287221638090207</v>
      </c>
      <c r="CM32" s="21">
        <f>EXP(-LN(2)/2)*CM31+(1-EXP(-LN(2)/2))/(LN(2)/2)*CG32*CJ32*VLOOKUP('Données projet'!$B$12,Paramètres!$A$1:$I$89,3,0)*0.475*44/12</f>
        <v>1.1505290730518831</v>
      </c>
      <c r="CN32" s="22">
        <f t="shared" si="12"/>
        <v>4.1792512368609041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98.358000000000004</v>
      </c>
      <c r="P33" s="13">
        <f t="shared" si="33"/>
        <v>26.570437554143126</v>
      </c>
      <c r="Q33" s="20">
        <f t="shared" si="2"/>
        <v>217.58369540679928</v>
      </c>
      <c r="R33" s="59">
        <f t="shared" si="0"/>
        <v>510.91702874013259</v>
      </c>
      <c r="S33" s="59">
        <f ca="1">AVERAGE(OFFSET($R$3,0,0,'Données projet'!$E$9+1,1))-AVERAGE(OFFSET($H$3,0,0,'Données projet'!$E$9+1,1))</f>
        <v>272.93635583300755</v>
      </c>
      <c r="T33" s="59">
        <f t="shared" si="34"/>
        <v>179.56041631665812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0.129</v>
      </c>
      <c r="X33" s="16">
        <f>IF(ISNA(VLOOKUP(A33,'Données projet'!$A$35:$I$55,6,0)),0%,VLOOKUP(A33,'Données projet'!$A$35:$I$55,6,0)*VLOOKUP('Données projet'!$B$9,Paramètres!$A$1:$I$89,7,0))</f>
        <v>0.17200000000000001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3.7351498441719113</v>
      </c>
      <c r="AA33" s="21">
        <f>EXP(-LN(2)/25)*AA32+(1-EXP(-LN(2)/25))/(LN(2)/25)*Calculateur!V33*Calculateur!X33*VLOOKUP('Données projet'!$B$9,Paramètres!$A$1:$I$89,3,0)*0.475*44/12</f>
        <v>4.7016536733516965</v>
      </c>
      <c r="AB33" s="21">
        <f>EXP(-LN(2)/2)*AB32+(1-EXP(-LN(2)/2))/(LN(2)/2)*V33*Y33*VLOOKUP('Données projet'!$B$9,Paramètres!$A$1:$I$89,3,0)*0.475*44/12</f>
        <v>6.8392562992379622</v>
      </c>
      <c r="AC33" s="22">
        <f t="shared" si="3"/>
        <v>15.27605981676157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87.765600000000006</v>
      </c>
      <c r="AK33" s="13">
        <f t="shared" si="35"/>
        <v>24.025555589247954</v>
      </c>
      <c r="AL33" s="20">
        <f t="shared" si="4"/>
        <v>194.7029293179402</v>
      </c>
      <c r="AM33" s="59">
        <f t="shared" si="5"/>
        <v>488.03626265127355</v>
      </c>
      <c r="AN33" s="59">
        <f ca="1">AVERAGE(OFFSET($AM$3,0,0,'Données projet'!$E$10+1,1))-AVERAGE(OFFSET($H$3,0,0,'Données projet'!$E$10+1,1))</f>
        <v>237.64646718446005</v>
      </c>
      <c r="AO33" s="59">
        <f t="shared" si="36"/>
        <v>156.67965022779907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0.129</v>
      </c>
      <c r="AS33" s="16">
        <f>IF(ISNA(VLOOKUP(A33,'Données projet'!$A$61:$I$81,6,0)),0%,VLOOKUP(A33,'Données projet'!$A$61:$I$81,6,0)*VLOOKUP('Données projet'!$B$10,Paramètres!$A$1:$I$89,7,0))</f>
        <v>0.17200000000000001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3.3329029378764745</v>
      </c>
      <c r="AV33" s="21">
        <f>EXP(-LN(2)/25)*AV32+(1-EXP(-LN(2)/25))/(LN(2)/25)*Calculateur!AQ33*Calculateur!AS33*VLOOKUP('Données projet'!$B$10,Paramètres!$A$1:$I$89,3,0)*0.475*44/12</f>
        <v>4.1953217392984365</v>
      </c>
      <c r="AW33" s="21">
        <f>EXP(-LN(2)/2)*AW32+(1-EXP(-LN(2)/2))/(LN(2)/2)*AQ33*AT33*VLOOKUP('Données projet'!$B$10,Paramètres!$A$1:$I$89,3,0)*0.475*44/12</f>
        <v>6.1027210054738719</v>
      </c>
      <c r="AX33" s="21">
        <f t="shared" si="6"/>
        <v>13.630945682648782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11.8</v>
      </c>
      <c r="BC33" s="12">
        <f t="array" ref="BC33">INDEX(BB:BB,MIN(IF(ISNUMBER(BB33:BB229),ROW(BB33:BB229),"")))</f>
        <v>11.8</v>
      </c>
      <c r="BD33" s="12">
        <f>IF('Données projet'!$A$88&gt;35,BD32+BC33-BL32,IF(A33&lt;'Données projet'!$A$88,$BA$205^A33,IF(A33='Données projet'!$A$88,'Données projet'!$B$88,BD32+BC33-BL32)))</f>
        <v>145.99999999999997</v>
      </c>
      <c r="BE33" s="13">
        <f>BD33*VLOOKUP('Données projet'!$B$11,Paramètres!$A$1:$I$89,3,0)*VLOOKUP('Données projet'!$B$11,Paramètres!$A$1:$I$89,5,0)</f>
        <v>95.659199999999984</v>
      </c>
      <c r="BF33" s="13">
        <f t="shared" si="37"/>
        <v>25.92520602338745</v>
      </c>
      <c r="BG33" s="20">
        <f t="shared" si="7"/>
        <v>211.75950715739978</v>
      </c>
      <c r="BH33" s="59">
        <f t="shared" si="8"/>
        <v>505.09284049073312</v>
      </c>
      <c r="BI33" s="59">
        <f ca="1">AVERAGE(OFFSET($BH$3,0,0,'Données projet'!$E$11+1,1))-AVERAGE(OFFSET($H$3,0,0,'Données projet'!$E$11+1,1))</f>
        <v>172.9177436650786</v>
      </c>
      <c r="BJ33" s="59">
        <f t="shared" si="38"/>
        <v>173.73622806725865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4.3000000000000003E-2</v>
      </c>
      <c r="BN33" s="16">
        <f>IF(ISNA(VLOOKUP(A33,'Données projet'!$A$87:$I$107,6,0)),0%,VLOOKUP(A33,'Données projet'!$A$87:$I$107,6,0)*VLOOKUP('Données projet'!$B$11,Paramètres!$A$1:$I$89,7,0))</f>
        <v>0.215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1.6619096626765013</v>
      </c>
      <c r="BQ33" s="21">
        <f>EXP(-LN(2)/25)*BQ32+(1-EXP(-LN(2)/25))/(LN(2)/25)*Calculateur!BL33*Calculateur!BN33*VLOOKUP('Données projet'!$B$11,Paramètres!$A$1:$I$89,3,0)*0.475*44/12</f>
        <v>11.415555570072264</v>
      </c>
      <c r="BR33" s="21">
        <f>EXP(-LN(2)/2)*BR32+(1-EXP(-LN(2)/2))/(LN(2)/2)*BL33*BO33*VLOOKUP('Données projet'!$B$11,Paramètres!$A$1:$I$89,3,0)*0.475*44/12</f>
        <v>8.4182601821957928</v>
      </c>
      <c r="BS33" s="22">
        <f t="shared" si="9"/>
        <v>21.495725414944559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194</v>
      </c>
      <c r="BW33" s="12">
        <f>VLOOKUP(A33,'Données projet'!$A$113:$I$133,9,0)</f>
        <v>13.4</v>
      </c>
      <c r="BX33" s="12">
        <f t="array" ref="BX33">INDEX(BW:BW,MIN(IF(ISNUMBER(BW33:BW229),ROW(BW33:BW229),"")))</f>
        <v>13.4</v>
      </c>
      <c r="BY33" s="12">
        <f>IF('Données projet'!$A$114&gt;35,BY32+BX33-CG32,IF(A33&lt;'Données projet'!$A$114,$BV$205^A33,IF(A33='Données projet'!$A$114,'Données projet'!$B$114,BY32+BX33-CG32)))</f>
        <v>194.00000000000006</v>
      </c>
      <c r="BZ33" s="13">
        <f>BY33*VLOOKUP('Données projet'!$B$12,Paramètres!$A$1:$I$89,3,0)*VLOOKUP('Données projet'!$B$12,Paramètres!$A$1:$I$89,5,0)</f>
        <v>116.01200000000003</v>
      </c>
      <c r="CA33" s="13">
        <f t="shared" si="39"/>
        <v>30.743042086238173</v>
      </c>
      <c r="CB33" s="20">
        <f t="shared" si="10"/>
        <v>255.59836496686489</v>
      </c>
      <c r="CC33" s="59">
        <f t="shared" si="11"/>
        <v>548.93169830019815</v>
      </c>
      <c r="CD33" s="59">
        <f ca="1">AVERAGE(OFFSET($CC$3,0,0,'Données projet'!$E$12+1,1))-AVERAGE(OFFSET($H$3,0,0,'Données projet'!$E$12+1,1))</f>
        <v>289.07218105343333</v>
      </c>
      <c r="CE33" s="59">
        <f t="shared" si="40"/>
        <v>217.57508587672368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34</v>
      </c>
      <c r="CH33" s="16">
        <f>IF(ISNA(VLOOKUP(A33,'Données projet'!$A$113:$I$133,5,0)),0%,VLOOKUP(A33,'Données projet'!$A$113:$I$133,5,0)*VLOOKUP('Données projet'!$B$12,Paramètres!$A$1:$I$89,7,0))</f>
        <v>4.5000000000000005E-2</v>
      </c>
      <c r="CI33" s="16">
        <f>IF(ISNA(VLOOKUP(A33,'Données projet'!$A$113:$I$133,6,0)),0%,VLOOKUP(A33,'Données projet'!$A$113:$I$133,6,0)*VLOOKUP('Données projet'!$B$12,Paramètres!$A$1:$I$89,7,0))</f>
        <v>0.13500000000000001</v>
      </c>
      <c r="CJ33" s="16">
        <f>IF(ISNA(VLOOKUP(A33,'Données projet'!$A$113:$I$133,7,0)),0%,VLOOKUP(A33,'Données projet'!$A$113:$I$133,7,0))</f>
        <v>0.3</v>
      </c>
      <c r="CK33" s="21">
        <f>EXP(-LN(2)/35)*CK32+(1-EXP(-LN(2)/35))/(LN(2)/35)*CG33*CH33*VLOOKUP('Données projet'!$B$12,Paramètres!$A$1:$I$89,3,0)*0.475*44/12</f>
        <v>1.2137268828598531</v>
      </c>
      <c r="CL33" s="21">
        <f>EXP(-LN(2)/25)*CL32+(1-EXP(-LN(2)/25))/(LN(2)/25)*Calculateur!CG33*Calculateur!CI33*VLOOKUP('Données projet'!$B$12,Paramètres!$A$1:$I$89,3,0)*0.475*44/12</f>
        <v>6.5727455299335915</v>
      </c>
      <c r="CM33" s="21">
        <f>EXP(-LN(2)/2)*CM32+(1-EXP(-LN(2)/2))/(LN(2)/2)*CG33*CJ33*VLOOKUP('Données projet'!$B$12,Paramètres!$A$1:$I$89,3,0)*0.475*44/12</f>
        <v>7.7197110314996911</v>
      </c>
      <c r="CN33" s="22">
        <f t="shared" si="12"/>
        <v>15.506183444293136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</v>
      </c>
      <c r="N34" s="13">
        <f>IF('Données projet'!$A$36&gt;35,N33+M34-V33,IF(A34&lt;'Données projet'!$A$36,$K$205^A34,IF(A34='Données projet'!$A$36,'Données projet'!$B$36,N33+M34-V33)))</f>
        <v>84</v>
      </c>
      <c r="O34" s="13">
        <f>N34*VLOOKUP('Données projet'!$B$9,Paramètres!$A$1:$I$89,3,0)*VLOOKUP('Données projet'!$B$9,Paramètres!$A$1:$I$89,5,0)</f>
        <v>85.176000000000002</v>
      </c>
      <c r="P34" s="13">
        <f t="shared" si="33"/>
        <v>23.398088487656441</v>
      </c>
      <c r="Q34" s="20">
        <f t="shared" si="2"/>
        <v>189.09987078266829</v>
      </c>
      <c r="R34" s="59">
        <f t="shared" si="0"/>
        <v>482.4332041160016</v>
      </c>
      <c r="S34" s="59">
        <f ca="1">AVERAGE(OFFSET($R$3,0,0,'Données projet'!$E$9+1,1))-AVERAGE(OFFSET($H$3,0,0,'Données projet'!$E$9+1,1))</f>
        <v>272.93635583300755</v>
      </c>
      <c r="T34" s="59">
        <f t="shared" si="34"/>
        <v>179.56041631665812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3.6619058339441497</v>
      </c>
      <c r="AA34" s="21">
        <f>EXP(-LN(2)/25)*AA33+(1-EXP(-LN(2)/25))/(LN(2)/25)*Calculateur!V34*Calculateur!X34*VLOOKUP('Données projet'!$B$9,Paramètres!$A$1:$I$89,3,0)*0.475*44/12</f>
        <v>4.5730867064046734</v>
      </c>
      <c r="AB34" s="21">
        <f>EXP(-LN(2)/2)*AB33+(1-EXP(-LN(2)/2))/(LN(2)/2)*V34*Y34*VLOOKUP('Données projet'!$B$9,Paramètres!$A$1:$I$89,3,0)*0.475*44/12</f>
        <v>4.8360845074639744</v>
      </c>
      <c r="AC34" s="22">
        <f t="shared" si="3"/>
        <v>13.071077047812798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</v>
      </c>
      <c r="AJ34" s="13">
        <f>AI34*VLOOKUP('Données projet'!$B$10,Paramètres!$A$1:$I$89,3,0)*VLOOKUP('Données projet'!$B$10,Paramètres!$A$1:$I$89,5,0)</f>
        <v>76.003200000000007</v>
      </c>
      <c r="AK34" s="13">
        <f t="shared" si="35"/>
        <v>21.157049992000456</v>
      </c>
      <c r="AL34" s="20">
        <f t="shared" si="4"/>
        <v>169.22076873606747</v>
      </c>
      <c r="AM34" s="59">
        <f t="shared" si="5"/>
        <v>462.55410206940076</v>
      </c>
      <c r="AN34" s="59">
        <f ca="1">AVERAGE(OFFSET($AM$3,0,0,'Données projet'!$E$10+1,1))-AVERAGE(OFFSET($H$3,0,0,'Données projet'!$E$10+1,1))</f>
        <v>237.64646718446005</v>
      </c>
      <c r="AO34" s="59">
        <f t="shared" si="36"/>
        <v>156.67965022779907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3.2675467441347799</v>
      </c>
      <c r="AV34" s="21">
        <f>EXP(-LN(2)/25)*AV33+(1-EXP(-LN(2)/25))/(LN(2)/25)*Calculateur!AQ34*Calculateur!AS34*VLOOKUP('Données projet'!$B$10,Paramètres!$A$1:$I$89,3,0)*0.475*44/12</f>
        <v>4.0806004457149392</v>
      </c>
      <c r="AW34" s="21">
        <f>EXP(-LN(2)/2)*AW33+(1-EXP(-LN(2)/2))/(LN(2)/2)*AQ34*AT34*VLOOKUP('Données projet'!$B$10,Paramètres!$A$1:$I$89,3,0)*0.475*44/12</f>
        <v>4.3152754066601604</v>
      </c>
      <c r="AX34" s="21">
        <f t="shared" si="6"/>
        <v>11.663422596509879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128.79999999999998</v>
      </c>
      <c r="BE34" s="13">
        <f>BD34*VLOOKUP('Données projet'!$B$11,Paramètres!$A$1:$I$89,3,0)*VLOOKUP('Données projet'!$B$11,Paramètres!$A$1:$I$89,5,0)</f>
        <v>84.389759999999981</v>
      </c>
      <c r="BF34" s="13">
        <f t="shared" si="37"/>
        <v>23.207143598424498</v>
      </c>
      <c r="BG34" s="20">
        <f t="shared" si="7"/>
        <v>187.3979404339226</v>
      </c>
      <c r="BH34" s="59">
        <f t="shared" si="8"/>
        <v>480.73127376725591</v>
      </c>
      <c r="BI34" s="59">
        <f ca="1">AVERAGE(OFFSET($BH$3,0,0,'Données projet'!$E$11+1,1))-AVERAGE(OFFSET($H$3,0,0,'Données projet'!$E$11+1,1))</f>
        <v>172.9177436650786</v>
      </c>
      <c r="BJ34" s="59">
        <f t="shared" si="38"/>
        <v>173.73622806725865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1.6293206278562182</v>
      </c>
      <c r="BQ34" s="21">
        <f>EXP(-LN(2)/25)*BQ33+(1-EXP(-LN(2)/25))/(LN(2)/25)*Calculateur!BL34*Calculateur!BN34*VLOOKUP('Données projet'!$B$11,Paramètres!$A$1:$I$89,3,0)*0.475*44/12</f>
        <v>11.103396602690662</v>
      </c>
      <c r="BR34" s="21">
        <f>EXP(-LN(2)/2)*BR33+(1-EXP(-LN(2)/2))/(LN(2)/2)*BL34*BO34*VLOOKUP('Données projet'!$B$11,Paramètres!$A$1:$I$89,3,0)*0.475*44/12</f>
        <v>5.9526088606233465</v>
      </c>
      <c r="BS34" s="22">
        <f t="shared" si="9"/>
        <v>18.685326091170225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14.6</v>
      </c>
      <c r="BY34" s="12">
        <f>IF('Données projet'!$A$114&gt;35,BY33+BX34-CG33,IF(A34&lt;'Données projet'!$A$114,$BV$205^A34,IF(A34='Données projet'!$A$114,'Données projet'!$B$114,BY33+BX34-CG33)))</f>
        <v>174.60000000000005</v>
      </c>
      <c r="BZ34" s="13">
        <f>BY34*VLOOKUP('Données projet'!$B$12,Paramètres!$A$1:$I$89,3,0)*VLOOKUP('Données projet'!$B$12,Paramètres!$A$1:$I$89,5,0)</f>
        <v>104.41080000000004</v>
      </c>
      <c r="CA34" s="13">
        <f t="shared" si="39"/>
        <v>28.010155571424168</v>
      </c>
      <c r="CB34" s="20">
        <f t="shared" si="10"/>
        <v>230.63316428689714</v>
      </c>
      <c r="CC34" s="59">
        <f t="shared" si="11"/>
        <v>523.96649762023048</v>
      </c>
      <c r="CD34" s="59">
        <f ca="1">AVERAGE(OFFSET($CC$3,0,0,'Données projet'!$E$12+1,1))-AVERAGE(OFFSET($H$3,0,0,'Données projet'!$E$12+1,1))</f>
        <v>289.07218105343333</v>
      </c>
      <c r="CE34" s="59">
        <f t="shared" si="40"/>
        <v>217.57508587672368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1.1899264389872712</v>
      </c>
      <c r="CL34" s="21">
        <f>EXP(-LN(2)/25)*CL33+(1-EXP(-LN(2)/25))/(LN(2)/25)*Calculateur!CG34*Calculateur!CI34*VLOOKUP('Données projet'!$B$12,Paramètres!$A$1:$I$89,3,0)*0.475*44/12</f>
        <v>6.3930134577718922</v>
      </c>
      <c r="CM34" s="21">
        <f>EXP(-LN(2)/2)*CM33+(1-EXP(-LN(2)/2))/(LN(2)/2)*CG34*CJ34*VLOOKUP('Données projet'!$B$12,Paramètres!$A$1:$I$89,3,0)*0.475*44/12</f>
        <v>5.4586600191740295</v>
      </c>
      <c r="CN34" s="22">
        <f t="shared" si="12"/>
        <v>13.041599915933194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</v>
      </c>
      <c r="N35" s="13">
        <f>IF('Données projet'!$A$36&gt;35,N34+M35-V34,IF(A35&lt;'Données projet'!$A$36,$K$205^A35,IF(A35='Données projet'!$A$36,'Données projet'!$B$36,N34+M35-V34)))</f>
        <v>92</v>
      </c>
      <c r="O35" s="13">
        <f>N35*VLOOKUP('Données projet'!$B$9,Paramètres!$A$1:$I$89,3,0)*VLOOKUP('Données projet'!$B$9,Paramètres!$A$1:$I$89,5,0)</f>
        <v>93.288000000000011</v>
      </c>
      <c r="P35" s="13">
        <f t="shared" si="33"/>
        <v>25.356547829040977</v>
      </c>
      <c r="Q35" s="20">
        <f t="shared" ref="Q35:Q66" si="53">(O35+P35)*0.475*44/12</f>
        <v>206.63925413557971</v>
      </c>
      <c r="R35" s="59">
        <f t="shared" si="0"/>
        <v>499.97258746891305</v>
      </c>
      <c r="S35" s="59">
        <f ca="1">AVERAGE(OFFSET($R$3,0,0,'Données projet'!$E$9+1,1))-AVERAGE(OFFSET($H$3,0,0,'Données projet'!$E$9+1,1))</f>
        <v>272.93635583300755</v>
      </c>
      <c r="T35" s="59">
        <f t="shared" si="34"/>
        <v>179.56041631665812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3.5900980940825198</v>
      </c>
      <c r="AA35" s="21">
        <f>EXP(-LN(2)/25)*AA34+(1-EXP(-LN(2)/25))/(LN(2)/25)*Calculateur!V35*Calculateur!X35*VLOOKUP('Données projet'!$B$9,Paramètres!$A$1:$I$89,3,0)*0.475*44/12</f>
        <v>4.4480354099298598</v>
      </c>
      <c r="AB35" s="21">
        <f>EXP(-LN(2)/2)*AB34+(1-EXP(-LN(2)/2))/(LN(2)/2)*V35*Y35*VLOOKUP('Données projet'!$B$9,Paramètres!$A$1:$I$89,3,0)*0.475*44/12</f>
        <v>3.4196281496189811</v>
      </c>
      <c r="AC35" s="22">
        <f t="shared" si="3"/>
        <v>11.45776165363136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</v>
      </c>
      <c r="AJ35" s="13">
        <f>AI35*VLOOKUP('Données projet'!$B$10,Paramètres!$A$1:$I$89,3,0)*VLOOKUP('Données projet'!$B$10,Paramètres!$A$1:$I$89,5,0)</f>
        <v>83.241600000000005</v>
      </c>
      <c r="AK35" s="13">
        <f t="shared" si="35"/>
        <v>22.927930643846508</v>
      </c>
      <c r="AL35" s="20">
        <f t="shared" si="4"/>
        <v>184.91193253803269</v>
      </c>
      <c r="AM35" s="59">
        <f t="shared" si="5"/>
        <v>478.24526587136597</v>
      </c>
      <c r="AN35" s="59">
        <f ca="1">AVERAGE(OFFSET($AM$3,0,0,'Données projet'!$E$10+1,1))-AVERAGE(OFFSET($H$3,0,0,'Données projet'!$E$10+1,1))</f>
        <v>237.64646718446005</v>
      </c>
      <c r="AO35" s="59">
        <f t="shared" si="36"/>
        <v>156.67965022779907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3.2034721454890178</v>
      </c>
      <c r="AV35" s="21">
        <f>EXP(-LN(2)/25)*AV34+(1-EXP(-LN(2)/25))/(LN(2)/25)*Calculateur!AQ35*Calculateur!AS35*VLOOKUP('Données projet'!$B$10,Paramètres!$A$1:$I$89,3,0)*0.475*44/12</f>
        <v>3.9690162119374133</v>
      </c>
      <c r="AW35" s="21">
        <f>EXP(-LN(2)/2)*AW34+(1-EXP(-LN(2)/2))/(LN(2)/2)*AQ35*AT35*VLOOKUP('Données projet'!$B$10,Paramètres!$A$1:$I$89,3,0)*0.475*44/12</f>
        <v>3.0513605027369359</v>
      </c>
      <c r="AX35" s="21">
        <f t="shared" si="6"/>
        <v>10.223848860163367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139.6</v>
      </c>
      <c r="BE35" s="13">
        <f>BD35*VLOOKUP('Données projet'!$B$11,Paramètres!$A$1:$I$89,3,0)*VLOOKUP('Données projet'!$B$11,Paramètres!$A$1:$I$89,5,0)</f>
        <v>91.465919999999997</v>
      </c>
      <c r="BF35" s="13">
        <f t="shared" si="37"/>
        <v>24.918436466018196</v>
      </c>
      <c r="BG35" s="20">
        <f t="shared" si="7"/>
        <v>202.70275417831499</v>
      </c>
      <c r="BH35" s="59">
        <f t="shared" si="8"/>
        <v>496.0360875116483</v>
      </c>
      <c r="BI35" s="59">
        <f ca="1">AVERAGE(OFFSET($BH$3,0,0,'Données projet'!$E$11+1,1))-AVERAGE(OFFSET($H$3,0,0,'Données projet'!$E$11+1,1))</f>
        <v>172.9177436650786</v>
      </c>
      <c r="BJ35" s="59">
        <f t="shared" si="38"/>
        <v>173.73622806725865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1.5973706441314124</v>
      </c>
      <c r="BQ35" s="21">
        <f>EXP(-LN(2)/25)*BQ34+(1-EXP(-LN(2)/25))/(LN(2)/25)*Calculateur!BL35*Calculateur!BN35*VLOOKUP('Données projet'!$B$11,Paramètres!$A$1:$I$89,3,0)*0.475*44/12</f>
        <v>10.799773638687835</v>
      </c>
      <c r="BR35" s="21">
        <f>EXP(-LN(2)/2)*BR34+(1-EXP(-LN(2)/2))/(LN(2)/2)*BL35*BO35*VLOOKUP('Données projet'!$B$11,Paramètres!$A$1:$I$89,3,0)*0.475*44/12</f>
        <v>4.2091300910978973</v>
      </c>
      <c r="BS35" s="22">
        <f t="shared" si="9"/>
        <v>16.606274373917145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14.6</v>
      </c>
      <c r="BY35" s="12">
        <f>IF('Données projet'!$A$114&gt;35,BY34+BX35-CG34,IF(A35&lt;'Données projet'!$A$114,$BV$205^A35,IF(A35='Données projet'!$A$114,'Données projet'!$B$114,BY34+BX35-CG34)))</f>
        <v>189.20000000000005</v>
      </c>
      <c r="BZ35" s="13">
        <f>BY35*VLOOKUP('Données projet'!$B$12,Paramètres!$A$1:$I$89,3,0)*VLOOKUP('Données projet'!$B$12,Paramètres!$A$1:$I$89,5,0)</f>
        <v>113.14160000000004</v>
      </c>
      <c r="CA35" s="13">
        <f t="shared" si="39"/>
        <v>30.069952587742019</v>
      </c>
      <c r="CB35" s="20">
        <f t="shared" si="10"/>
        <v>249.42678742365072</v>
      </c>
      <c r="CC35" s="59">
        <f t="shared" si="11"/>
        <v>542.76012075698407</v>
      </c>
      <c r="CD35" s="59">
        <f ca="1">AVERAGE(OFFSET($CC$3,0,0,'Données projet'!$E$12+1,1))-AVERAGE(OFFSET($H$3,0,0,'Données projet'!$E$12+1,1))</f>
        <v>289.07218105343333</v>
      </c>
      <c r="CE35" s="59">
        <f t="shared" si="40"/>
        <v>217.57508587672368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1.1665927073021936</v>
      </c>
      <c r="CL35" s="21">
        <f>EXP(-LN(2)/25)*CL34+(1-EXP(-LN(2)/25))/(LN(2)/25)*Calculateur!CG35*Calculateur!CI35*VLOOKUP('Données projet'!$B$12,Paramètres!$A$1:$I$89,3,0)*0.475*44/12</f>
        <v>6.2181961685751537</v>
      </c>
      <c r="CM35" s="21">
        <f>EXP(-LN(2)/2)*CM34+(1-EXP(-LN(2)/2))/(LN(2)/2)*CG35*CJ35*VLOOKUP('Données projet'!$B$12,Paramètres!$A$1:$I$89,3,0)*0.475*44/12</f>
        <v>3.859855515749846</v>
      </c>
      <c r="CN35" s="22">
        <f t="shared" si="12"/>
        <v>11.244644391627194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</v>
      </c>
      <c r="N36" s="13">
        <f>IF('Données projet'!$A$36&gt;35,N35+M36-V35,IF(A36&lt;'Données projet'!$A$36,$K$205^A36,IF(A36='Données projet'!$A$36,'Données projet'!$B$36,N35+M36-V35)))</f>
        <v>100</v>
      </c>
      <c r="O36" s="13">
        <f>N36*VLOOKUP('Données projet'!$B$9,Paramètres!$A$1:$I$89,3,0)*VLOOKUP('Données projet'!$B$9,Paramètres!$A$1:$I$89,5,0)</f>
        <v>101.4</v>
      </c>
      <c r="P36" s="13">
        <f t="shared" si="33"/>
        <v>27.295257887453797</v>
      </c>
      <c r="Q36" s="20">
        <f t="shared" si="53"/>
        <v>224.14424082064872</v>
      </c>
      <c r="R36" s="59">
        <f t="shared" si="0"/>
        <v>517.477574153982</v>
      </c>
      <c r="S36" s="59">
        <f ca="1">AVERAGE(OFFSET($R$3,0,0,'Données projet'!$E$9+1,1))-AVERAGE(OFFSET($H$3,0,0,'Données projet'!$E$9+1,1))</f>
        <v>272.93635583300755</v>
      </c>
      <c r="T36" s="59">
        <f t="shared" si="34"/>
        <v>179.56041631665812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3.5196984602011798</v>
      </c>
      <c r="AA36" s="21">
        <f>EXP(-LN(2)/25)*AA35+(1-EXP(-LN(2)/25))/(LN(2)/25)*Calculateur!V36*Calculateur!X36*VLOOKUP('Données projet'!$B$9,Paramètres!$A$1:$I$89,3,0)*0.475*44/12</f>
        <v>4.3264036477333114</v>
      </c>
      <c r="AB36" s="21">
        <f>EXP(-LN(2)/2)*AB35+(1-EXP(-LN(2)/2))/(LN(2)/2)*V36*Y36*VLOOKUP('Données projet'!$B$9,Paramètres!$A$1:$I$89,3,0)*0.475*44/12</f>
        <v>2.4180422537319872</v>
      </c>
      <c r="AC36" s="22">
        <f t="shared" si="3"/>
        <v>10.264144361666478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</v>
      </c>
      <c r="AJ36" s="13">
        <f>AI36*VLOOKUP('Données projet'!$B$10,Paramètres!$A$1:$I$89,3,0)*VLOOKUP('Données projet'!$B$10,Paramètres!$A$1:$I$89,5,0)</f>
        <v>90.47999999999999</v>
      </c>
      <c r="AK36" s="13">
        <f t="shared" si="35"/>
        <v>24.680953573367994</v>
      </c>
      <c r="AL36" s="20">
        <f t="shared" si="4"/>
        <v>200.57199414028256</v>
      </c>
      <c r="AM36" s="59">
        <f t="shared" si="5"/>
        <v>493.9053274736159</v>
      </c>
      <c r="AN36" s="59">
        <f ca="1">AVERAGE(OFFSET($AM$3,0,0,'Données projet'!$E$10+1,1))-AVERAGE(OFFSET($H$3,0,0,'Données projet'!$E$10+1,1))</f>
        <v>237.64646718446005</v>
      </c>
      <c r="AO36" s="59">
        <f t="shared" si="36"/>
        <v>156.67965022779907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3.140654010641053</v>
      </c>
      <c r="AV36" s="21">
        <f>EXP(-LN(2)/25)*AV35+(1-EXP(-LN(2)/25))/(LN(2)/25)*Calculateur!AQ36*Calculateur!AS36*VLOOKUP('Données projet'!$B$10,Paramètres!$A$1:$I$89,3,0)*0.475*44/12</f>
        <v>3.8604832549004935</v>
      </c>
      <c r="AW36" s="21">
        <f>EXP(-LN(2)/2)*AW35+(1-EXP(-LN(2)/2))/(LN(2)/2)*AQ36*AT36*VLOOKUP('Données projet'!$B$10,Paramètres!$A$1:$I$89,3,0)*0.475*44/12</f>
        <v>2.1576377033300802</v>
      </c>
      <c r="AX36" s="21">
        <f t="shared" si="6"/>
        <v>9.1587749688716258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150.4</v>
      </c>
      <c r="BE36" s="13">
        <f>BD36*VLOOKUP('Données projet'!$B$11,Paramètres!$A$1:$I$89,3,0)*VLOOKUP('Données projet'!$B$11,Paramètres!$A$1:$I$89,5,0)</f>
        <v>98.542079999999999</v>
      </c>
      <c r="BF36" s="13">
        <f t="shared" si="37"/>
        <v>26.614371888975242</v>
      </c>
      <c r="BG36" s="20">
        <f t="shared" si="7"/>
        <v>217.98082037329854</v>
      </c>
      <c r="BH36" s="59">
        <f t="shared" si="8"/>
        <v>511.31415370663183</v>
      </c>
      <c r="BI36" s="59">
        <f ca="1">AVERAGE(OFFSET($BH$3,0,0,'Données projet'!$E$11+1,1))-AVERAGE(OFFSET($H$3,0,0,'Données projet'!$E$11+1,1))</f>
        <v>172.9177436650786</v>
      </c>
      <c r="BJ36" s="59">
        <f t="shared" si="38"/>
        <v>173.73622806725865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1.5660471800998841</v>
      </c>
      <c r="BQ36" s="21">
        <f>EXP(-LN(2)/25)*BQ35+(1-EXP(-LN(2)/25))/(LN(2)/25)*Calculateur!BL36*Calculateur!BN36*VLOOKUP('Données projet'!$B$11,Paramètres!$A$1:$I$89,3,0)*0.475*44/12</f>
        <v>10.504453260602503</v>
      </c>
      <c r="BR36" s="21">
        <f>EXP(-LN(2)/2)*BR35+(1-EXP(-LN(2)/2))/(LN(2)/2)*BL36*BO36*VLOOKUP('Données projet'!$B$11,Paramètres!$A$1:$I$89,3,0)*0.475*44/12</f>
        <v>2.9763044303116737</v>
      </c>
      <c r="BS36" s="22">
        <f t="shared" si="9"/>
        <v>15.046804871014061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14.6</v>
      </c>
      <c r="BY36" s="12">
        <f>IF('Données projet'!$A$114&gt;35,BY35+BX36-CG35,IF(A36&lt;'Données projet'!$A$114,$BV$205^A36,IF(A36='Données projet'!$A$114,'Données projet'!$B$114,BY35+BX36-CG35)))</f>
        <v>203.80000000000004</v>
      </c>
      <c r="BZ36" s="13">
        <f>BY36*VLOOKUP('Données projet'!$B$12,Paramètres!$A$1:$I$89,3,0)*VLOOKUP('Données projet'!$B$12,Paramètres!$A$1:$I$89,5,0)</f>
        <v>121.87240000000003</v>
      </c>
      <c r="CA36" s="13">
        <f t="shared" si="39"/>
        <v>32.111311550408985</v>
      </c>
      <c r="CB36" s="20">
        <f t="shared" si="10"/>
        <v>268.1882976169623</v>
      </c>
      <c r="CC36" s="59">
        <f t="shared" si="11"/>
        <v>561.52163095029562</v>
      </c>
      <c r="CD36" s="59">
        <f ca="1">AVERAGE(OFFSET($CC$3,0,0,'Données projet'!$E$12+1,1))-AVERAGE(OFFSET($H$3,0,0,'Données projet'!$E$12+1,1))</f>
        <v>289.07218105343333</v>
      </c>
      <c r="CE36" s="59">
        <f t="shared" si="40"/>
        <v>217.57508587672368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1.143716535863289</v>
      </c>
      <c r="CL36" s="21">
        <f>EXP(-LN(2)/25)*CL35+(1-EXP(-LN(2)/25))/(LN(2)/25)*Calculateur!CG36*Calculateur!CI36*VLOOKUP('Données projet'!$B$12,Paramètres!$A$1:$I$89,3,0)*0.475*44/12</f>
        <v>6.0481592673447411</v>
      </c>
      <c r="CM36" s="21">
        <f>EXP(-LN(2)/2)*CM35+(1-EXP(-LN(2)/2))/(LN(2)/2)*CG36*CJ36*VLOOKUP('Données projet'!$B$12,Paramètres!$A$1:$I$89,3,0)*0.475*44/12</f>
        <v>2.7293300095870152</v>
      </c>
      <c r="CN36" s="22">
        <f t="shared" si="12"/>
        <v>9.921205812795046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</v>
      </c>
      <c r="N37" s="13">
        <f>IF('Données projet'!$A$36&gt;35,N36+M37-V36,IF(A37&lt;'Données projet'!$A$36,$K$205^A37,IF(A37='Données projet'!$A$36,'Données projet'!$B$36,N36+M37-V36)))</f>
        <v>108</v>
      </c>
      <c r="O37" s="13">
        <f>N37*VLOOKUP('Données projet'!$B$9,Paramètres!$A$1:$I$89,3,0)*VLOOKUP('Données projet'!$B$9,Paramètres!$A$1:$I$89,5,0)</f>
        <v>109.51200000000001</v>
      </c>
      <c r="P37" s="13">
        <f t="shared" si="33"/>
        <v>29.215978230632555</v>
      </c>
      <c r="Q37" s="20">
        <f t="shared" si="53"/>
        <v>241.61789541835174</v>
      </c>
      <c r="R37" s="59">
        <f t="shared" si="0"/>
        <v>534.95122875168499</v>
      </c>
      <c r="S37" s="59">
        <f ca="1">AVERAGE(OFFSET($R$3,0,0,'Données projet'!$E$9+1,1))-AVERAGE(OFFSET($H$3,0,0,'Données projet'!$E$9+1,1))</f>
        <v>272.93635583300755</v>
      </c>
      <c r="T37" s="59">
        <f t="shared" si="34"/>
        <v>179.56041631665812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3.4506793202007162</v>
      </c>
      <c r="AA37" s="21">
        <f>EXP(-LN(2)/25)*AA36+(1-EXP(-LN(2)/25))/(LN(2)/25)*Calculateur!V37*Calculateur!X37*VLOOKUP('Données projet'!$B$9,Paramètres!$A$1:$I$89,3,0)*0.475*44/12</f>
        <v>4.2080979124703646</v>
      </c>
      <c r="AB37" s="21">
        <f>EXP(-LN(2)/2)*AB36+(1-EXP(-LN(2)/2))/(LN(2)/2)*V37*Y37*VLOOKUP('Données projet'!$B$9,Paramètres!$A$1:$I$89,3,0)*0.475*44/12</f>
        <v>1.7098140748094905</v>
      </c>
      <c r="AC37" s="22">
        <f t="shared" si="3"/>
        <v>9.3685913074805711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</v>
      </c>
      <c r="AJ37" s="13">
        <f>AI37*VLOOKUP('Données projet'!$B$10,Paramètres!$A$1:$I$89,3,0)*VLOOKUP('Données projet'!$B$10,Paramètres!$A$1:$I$89,5,0)</f>
        <v>97.718399999999988</v>
      </c>
      <c r="AK37" s="13">
        <f t="shared" si="35"/>
        <v>26.417709819192194</v>
      </c>
      <c r="AL37" s="20">
        <f t="shared" si="4"/>
        <v>216.20372460175972</v>
      </c>
      <c r="AM37" s="59">
        <f t="shared" si="5"/>
        <v>509.537057935093</v>
      </c>
      <c r="AN37" s="59">
        <f ca="1">AVERAGE(OFFSET($AM$3,0,0,'Données projet'!$E$10+1,1))-AVERAGE(OFFSET($H$3,0,0,'Données projet'!$E$10+1,1))</f>
        <v>237.64646718446005</v>
      </c>
      <c r="AO37" s="59">
        <f t="shared" si="36"/>
        <v>156.67965022779907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3.0790677011021779</v>
      </c>
      <c r="AV37" s="21">
        <f>EXP(-LN(2)/25)*AV36+(1-EXP(-LN(2)/25))/(LN(2)/25)*Calculateur!AQ37*Calculateur!AS37*VLOOKUP('Données projet'!$B$10,Paramètres!$A$1:$I$89,3,0)*0.475*44/12</f>
        <v>3.7549181372812486</v>
      </c>
      <c r="AW37" s="21">
        <f>EXP(-LN(2)/2)*AW36+(1-EXP(-LN(2)/2))/(LN(2)/2)*AQ37*AT37*VLOOKUP('Données projet'!$B$10,Paramètres!$A$1:$I$89,3,0)*0.475*44/12</f>
        <v>1.525680251368468</v>
      </c>
      <c r="AX37" s="21">
        <f t="shared" si="6"/>
        <v>8.3596660897518955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161.20000000000002</v>
      </c>
      <c r="BE37" s="13">
        <f>BD37*VLOOKUP('Données projet'!$B$11,Paramètres!$A$1:$I$89,3,0)*VLOOKUP('Données projet'!$B$11,Paramètres!$A$1:$I$89,5,0)</f>
        <v>105.61824000000001</v>
      </c>
      <c r="BF37" s="13">
        <f t="shared" si="37"/>
        <v>28.296178084029062</v>
      </c>
      <c r="BG37" s="20">
        <f t="shared" si="7"/>
        <v>233.23427816301728</v>
      </c>
      <c r="BH37" s="59">
        <f t="shared" si="8"/>
        <v>526.56761149635054</v>
      </c>
      <c r="BI37" s="59">
        <f ca="1">AVERAGE(OFFSET($BH$3,0,0,'Données projet'!$E$11+1,1))-AVERAGE(OFFSET($H$3,0,0,'Données projet'!$E$11+1,1))</f>
        <v>172.9177436650786</v>
      </c>
      <c r="BJ37" s="59">
        <f t="shared" si="38"/>
        <v>173.73622806725865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1.5353379500925877</v>
      </c>
      <c r="BQ37" s="21">
        <f>EXP(-LN(2)/25)*BQ36+(1-EXP(-LN(2)/25))/(LN(2)/25)*Calculateur!BL37*Calculateur!BN37*VLOOKUP('Données projet'!$B$11,Paramètres!$A$1:$I$89,3,0)*0.475*44/12</f>
        <v>10.217208433786139</v>
      </c>
      <c r="BR37" s="21">
        <f>EXP(-LN(2)/2)*BR36+(1-EXP(-LN(2)/2))/(LN(2)/2)*BL37*BO37*VLOOKUP('Données projet'!$B$11,Paramètres!$A$1:$I$89,3,0)*0.475*44/12</f>
        <v>2.1045650455489486</v>
      </c>
      <c r="BS37" s="22">
        <f t="shared" si="9"/>
        <v>13.857111429427675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14.6</v>
      </c>
      <c r="BY37" s="12">
        <f>IF('Données projet'!$A$114&gt;35,BY36+BX37-CG36,IF(A37&lt;'Données projet'!$A$114,$BV$205^A37,IF(A37='Données projet'!$A$114,'Données projet'!$B$114,BY36+BX37-CG36)))</f>
        <v>218.40000000000003</v>
      </c>
      <c r="BZ37" s="13">
        <f>BY37*VLOOKUP('Données projet'!$B$12,Paramètres!$A$1:$I$89,3,0)*VLOOKUP('Données projet'!$B$12,Paramètres!$A$1:$I$89,5,0)</f>
        <v>130.60320000000004</v>
      </c>
      <c r="CA37" s="13">
        <f t="shared" si="39"/>
        <v>34.135703567016428</v>
      </c>
      <c r="CB37" s="20">
        <f t="shared" si="10"/>
        <v>286.92025704588701</v>
      </c>
      <c r="CC37" s="59">
        <f t="shared" si="11"/>
        <v>580.25359037922033</v>
      </c>
      <c r="CD37" s="59">
        <f ca="1">AVERAGE(OFFSET($CC$3,0,0,'Données projet'!$E$12+1,1))-AVERAGE(OFFSET($H$3,0,0,'Données projet'!$E$12+1,1))</f>
        <v>289.07218105343333</v>
      </c>
      <c r="CE37" s="59">
        <f t="shared" si="40"/>
        <v>217.57508587672368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1.1212889521932148</v>
      </c>
      <c r="CL37" s="21">
        <f>EXP(-LN(2)/25)*CL36+(1-EXP(-LN(2)/25))/(LN(2)/25)*Calculateur!CG37*Calculateur!CI37*VLOOKUP('Données projet'!$B$12,Paramètres!$A$1:$I$89,3,0)*0.475*44/12</f>
        <v>5.8827720341203262</v>
      </c>
      <c r="CM37" s="21">
        <f>EXP(-LN(2)/2)*CM36+(1-EXP(-LN(2)/2))/(LN(2)/2)*CG37*CJ37*VLOOKUP('Données projet'!$B$12,Paramètres!$A$1:$I$89,3,0)*0.475*44/12</f>
        <v>1.9299277578749234</v>
      </c>
      <c r="CN37" s="22">
        <f t="shared" si="12"/>
        <v>8.9339887441884649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116</v>
      </c>
      <c r="L38" s="12">
        <f>VLOOKUP(A38,'Données projet'!$A$35:$I$55,9,0)</f>
        <v>8</v>
      </c>
      <c r="M38" s="12">
        <f t="array" ref="M38">INDEX(L:L,MIN(IF(ISNUMBER(L38:L234),ROW(L38:L234),"")))</f>
        <v>8</v>
      </c>
      <c r="N38" s="13">
        <f>IF('Données projet'!$A$36&gt;35,N37+M38-V37,IF(A38&lt;'Données projet'!$A$36,$K$205^A38,IF(A38='Données projet'!$A$36,'Données projet'!$B$36,N37+M38-V37)))</f>
        <v>116</v>
      </c>
      <c r="O38" s="13">
        <f>N38*VLOOKUP('Données projet'!$B$9,Paramètres!$A$1:$I$89,3,0)*VLOOKUP('Données projet'!$B$9,Paramètres!$A$1:$I$89,5,0)</f>
        <v>117.62400000000001</v>
      </c>
      <c r="P38" s="13">
        <f t="shared" si="33"/>
        <v>31.120192961985413</v>
      </c>
      <c r="Q38" s="20">
        <f t="shared" si="53"/>
        <v>259.06280274212457</v>
      </c>
      <c r="R38" s="59">
        <f t="shared" si="0"/>
        <v>552.39613607545789</v>
      </c>
      <c r="S38" s="59">
        <f ca="1">AVERAGE(OFFSET($R$3,0,0,'Données projet'!$E$9+1,1))-AVERAGE(OFFSET($H$3,0,0,'Données projet'!$E$9+1,1))</f>
        <v>272.93635583300755</v>
      </c>
      <c r="T38" s="59">
        <f t="shared" si="34"/>
        <v>179.56041631665812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21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3.3830136034381431</v>
      </c>
      <c r="AA38" s="21">
        <f>EXP(-LN(2)/25)*AA37+(1-EXP(-LN(2)/25))/(LN(2)/25)*Calculateur!V38*Calculateur!X38*VLOOKUP('Données projet'!$B$9,Paramètres!$A$1:$I$89,3,0)*0.475*44/12</f>
        <v>4.0930272537596109</v>
      </c>
      <c r="AB38" s="21">
        <f>EXP(-LN(2)/2)*AB37+(1-EXP(-LN(2)/2))/(LN(2)/2)*V38*Y38*VLOOKUP('Données projet'!$B$9,Paramètres!$A$1:$I$89,3,0)*0.475*44/12</f>
        <v>1.2090211268659936</v>
      </c>
      <c r="AC38" s="22">
        <f t="shared" si="3"/>
        <v>8.6850619840637471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</v>
      </c>
      <c r="AJ38" s="13">
        <f>AI38*VLOOKUP('Données projet'!$B$10,Paramètres!$A$1:$I$89,3,0)*VLOOKUP('Données projet'!$B$10,Paramètres!$A$1:$I$89,5,0)</f>
        <v>104.9568</v>
      </c>
      <c r="AK38" s="13">
        <f t="shared" si="35"/>
        <v>28.139541339232373</v>
      </c>
      <c r="AL38" s="20">
        <f t="shared" si="4"/>
        <v>231.8094611658297</v>
      </c>
      <c r="AM38" s="59">
        <f t="shared" si="5"/>
        <v>525.14279449916307</v>
      </c>
      <c r="AN38" s="59">
        <f ca="1">AVERAGE(OFFSET($AM$3,0,0,'Données projet'!$E$10+1,1))-AVERAGE(OFFSET($H$3,0,0,'Données projet'!$E$10+1,1))</f>
        <v>237.64646718446005</v>
      </c>
      <c r="AO38" s="59">
        <f t="shared" si="36"/>
        <v>156.67965022779907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3.0186890615294204</v>
      </c>
      <c r="AV38" s="21">
        <f>EXP(-LN(2)/25)*AV37+(1-EXP(-LN(2)/25))/(LN(2)/25)*Calculateur!AQ38*Calculateur!AS38*VLOOKUP('Données projet'!$B$10,Paramètres!$A$1:$I$89,3,0)*0.475*44/12</f>
        <v>3.6522397033547298</v>
      </c>
      <c r="AW38" s="21">
        <f>EXP(-LN(2)/2)*AW37+(1-EXP(-LN(2)/2))/(LN(2)/2)*AQ38*AT38*VLOOKUP('Données projet'!$B$10,Paramètres!$A$1:$I$89,3,0)*0.475*44/12</f>
        <v>1.0788188516650401</v>
      </c>
      <c r="AX38" s="21">
        <f t="shared" si="6"/>
        <v>7.7497476165491905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172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172.00000000000003</v>
      </c>
      <c r="BE38" s="13">
        <f>BD38*VLOOKUP('Données projet'!$B$11,Paramètres!$A$1:$I$89,3,0)*VLOOKUP('Données projet'!$B$11,Paramètres!$A$1:$I$89,5,0)</f>
        <v>112.69440000000002</v>
      </c>
      <c r="BF38" s="13">
        <f t="shared" si="37"/>
        <v>29.964909381330632</v>
      </c>
      <c r="BG38" s="20">
        <f t="shared" si="7"/>
        <v>248.46496383915087</v>
      </c>
      <c r="BH38" s="59">
        <f t="shared" si="8"/>
        <v>541.79829717248413</v>
      </c>
      <c r="BI38" s="59">
        <f ca="1">AVERAGE(OFFSET($BH$3,0,0,'Données projet'!$E$11+1,1))-AVERAGE(OFFSET($H$3,0,0,'Données projet'!$E$11+1,1))</f>
        <v>172.9177436650786</v>
      </c>
      <c r="BJ38" s="59">
        <f t="shared" si="38"/>
        <v>173.73622806725865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1.5052309093549534</v>
      </c>
      <c r="BQ38" s="21">
        <f>EXP(-LN(2)/25)*BQ37+(1-EXP(-LN(2)/25))/(LN(2)/25)*Calculateur!BL38*Calculateur!BN38*VLOOKUP('Données projet'!$B$11,Paramètres!$A$1:$I$89,3,0)*0.475*44/12</f>
        <v>9.9378183318646176</v>
      </c>
      <c r="BR38" s="21">
        <f>EXP(-LN(2)/2)*BR37+(1-EXP(-LN(2)/2))/(LN(2)/2)*BL38*BO38*VLOOKUP('Données projet'!$B$11,Paramètres!$A$1:$I$89,3,0)*0.475*44/12</f>
        <v>1.4881522151558368</v>
      </c>
      <c r="BS38" s="22">
        <f t="shared" si="9"/>
        <v>12.931201456375408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233</v>
      </c>
      <c r="BW38" s="12">
        <f>VLOOKUP(A38,'Données projet'!$A$113:$I$133,9,0)</f>
        <v>14.6</v>
      </c>
      <c r="BX38" s="12">
        <f t="array" ref="BX38">INDEX(BW:BW,MIN(IF(ISNUMBER(BW38:BW234),ROW(BW38:BW234),"")))</f>
        <v>14.6</v>
      </c>
      <c r="BY38" s="12">
        <f>IF('Données projet'!$A$114&gt;35,BY37+BX38-CG37,IF(A38&lt;'Données projet'!$A$114,$BV$205^A38,IF(A38='Données projet'!$A$114,'Données projet'!$B$114,BY37+BX38-CG37)))</f>
        <v>233.00000000000003</v>
      </c>
      <c r="BZ38" s="13">
        <f>BY38*VLOOKUP('Données projet'!$B$12,Paramètres!$A$1:$I$89,3,0)*VLOOKUP('Données projet'!$B$12,Paramètres!$A$1:$I$89,5,0)</f>
        <v>139.33400000000003</v>
      </c>
      <c r="CA38" s="13">
        <f t="shared" si="39"/>
        <v>36.144391930570897</v>
      </c>
      <c r="CB38" s="20">
        <f t="shared" si="10"/>
        <v>305.62486594574438</v>
      </c>
      <c r="CC38" s="59">
        <f t="shared" si="11"/>
        <v>598.95819927907769</v>
      </c>
      <c r="CD38" s="59">
        <f ca="1">AVERAGE(OFFSET($CC$3,0,0,'Données projet'!$E$12+1,1))-AVERAGE(OFFSET($H$3,0,0,'Données projet'!$E$12+1,1))</f>
        <v>289.07218105343333</v>
      </c>
      <c r="CE38" s="59">
        <f t="shared" si="40"/>
        <v>217.57508587672368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41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1.0993011597594353</v>
      </c>
      <c r="CL38" s="21">
        <f>EXP(-LN(2)/25)*CL37+(1-EXP(-LN(2)/25))/(LN(2)/25)*Calculateur!CG38*Calculateur!CI38*VLOOKUP('Données projet'!$B$12,Paramètres!$A$1:$I$89,3,0)*0.475*44/12</f>
        <v>5.7219073234857696</v>
      </c>
      <c r="CM38" s="21">
        <f>EXP(-LN(2)/2)*CM37+(1-EXP(-LN(2)/2))/(LN(2)/2)*CG38*CJ38*VLOOKUP('Données projet'!$B$12,Paramètres!$A$1:$I$89,3,0)*0.475*44/12</f>
        <v>1.3646650047935078</v>
      </c>
      <c r="CN38" s="22">
        <f t="shared" si="12"/>
        <v>8.1858734880387125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103.4</v>
      </c>
      <c r="O39" s="13">
        <f>N39*VLOOKUP('Données projet'!$B$9,Paramètres!$A$1:$I$89,3,0)*VLOOKUP('Données projet'!$B$9,Paramètres!$A$1:$I$89,5,0)</f>
        <v>104.84760000000001</v>
      </c>
      <c r="P39" s="13">
        <f t="shared" si="33"/>
        <v>28.113670466115643</v>
      </c>
      <c r="Q39" s="20">
        <f t="shared" si="53"/>
        <v>231.57421272848475</v>
      </c>
      <c r="R39" s="59">
        <f t="shared" si="0"/>
        <v>524.90754606181804</v>
      </c>
      <c r="S39" s="59">
        <f ca="1">AVERAGE(OFFSET($R$3,0,0,'Données projet'!$E$9+1,1))-AVERAGE(OFFSET($H$3,0,0,'Données projet'!$E$9+1,1))</f>
        <v>272.93635583300755</v>
      </c>
      <c r="T39" s="59">
        <f t="shared" si="34"/>
        <v>179.56041631665812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3.3166747701092718</v>
      </c>
      <c r="AA39" s="21">
        <f>EXP(-LN(2)/25)*AA38+(1-EXP(-LN(2)/25))/(LN(2)/25)*Calculateur!V39*Calculateur!X39*VLOOKUP('Données projet'!$B$9,Paramètres!$A$1:$I$89,3,0)*0.475*44/12</f>
        <v>3.9811032082626059</v>
      </c>
      <c r="AB39" s="21">
        <f>EXP(-LN(2)/2)*AB38+(1-EXP(-LN(2)/2))/(LN(2)/2)*V39*Y39*VLOOKUP('Données projet'!$B$9,Paramètres!$A$1:$I$89,3,0)*0.475*44/12</f>
        <v>0.85490703740474527</v>
      </c>
      <c r="AC39" s="22">
        <f t="shared" si="3"/>
        <v>8.1526850157766226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</v>
      </c>
      <c r="AJ39" s="13">
        <f>AI39*VLOOKUP('Données projet'!$B$10,Paramètres!$A$1:$I$89,3,0)*VLOOKUP('Données projet'!$B$10,Paramètres!$A$1:$I$89,5,0)</f>
        <v>93.556319999999999</v>
      </c>
      <c r="AK39" s="13">
        <f t="shared" si="35"/>
        <v>25.420979659258073</v>
      </c>
      <c r="AL39" s="20">
        <f t="shared" si="4"/>
        <v>207.21879690654114</v>
      </c>
      <c r="AM39" s="59">
        <f t="shared" si="5"/>
        <v>500.55213023987449</v>
      </c>
      <c r="AN39" s="59">
        <f ca="1">AVERAGE(OFFSET($AM$3,0,0,'Données projet'!$E$10+1,1))-AVERAGE(OFFSET($H$3,0,0,'Données projet'!$E$10+1,1))</f>
        <v>237.64646718446005</v>
      </c>
      <c r="AO39" s="59">
        <f t="shared" si="36"/>
        <v>156.67965022779907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2.959494410251351</v>
      </c>
      <c r="AV39" s="21">
        <f>EXP(-LN(2)/25)*AV38+(1-EXP(-LN(2)/25))/(LN(2)/25)*Calculateur!AQ39*Calculateur!AS39*VLOOKUP('Données projet'!$B$10,Paramètres!$A$1:$I$89,3,0)*0.475*44/12</f>
        <v>3.552369016603556</v>
      </c>
      <c r="AW39" s="21">
        <f>EXP(-LN(2)/2)*AW38+(1-EXP(-LN(2)/2))/(LN(2)/2)*AQ39*AT39*VLOOKUP('Données projet'!$B$10,Paramètres!$A$1:$I$89,3,0)*0.475*44/12</f>
        <v>0.76284012568423398</v>
      </c>
      <c r="AX39" s="21">
        <f t="shared" si="6"/>
        <v>7.2747035525391412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153.60000000000002</v>
      </c>
      <c r="BE39" s="13">
        <f>BD39*VLOOKUP('Données projet'!$B$11,Paramètres!$A$1:$I$89,3,0)*VLOOKUP('Données projet'!$B$11,Paramètres!$A$1:$I$89,5,0)</f>
        <v>100.63872000000001</v>
      </c>
      <c r="BF39" s="13">
        <f t="shared" si="37"/>
        <v>27.114107349094599</v>
      </c>
      <c r="BG39" s="20">
        <f t="shared" si="7"/>
        <v>222.50284096633973</v>
      </c>
      <c r="BH39" s="59">
        <f t="shared" si="8"/>
        <v>515.83617429967308</v>
      </c>
      <c r="BI39" s="59">
        <f ca="1">AVERAGE(OFFSET($BH$3,0,0,'Données projet'!$E$11+1,1))-AVERAGE(OFFSET($H$3,0,0,'Données projet'!$E$11+1,1))</f>
        <v>172.9177436650786</v>
      </c>
      <c r="BJ39" s="59">
        <f t="shared" si="38"/>
        <v>173.73622806725865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1.4757142493227027</v>
      </c>
      <c r="BQ39" s="21">
        <f>EXP(-LN(2)/25)*BQ38+(1-EXP(-LN(2)/25))/(LN(2)/25)*Calculateur!BL39*Calculateur!BN39*VLOOKUP('Données projet'!$B$11,Paramètres!$A$1:$I$89,3,0)*0.475*44/12</f>
        <v>9.6660681669726269</v>
      </c>
      <c r="BR39" s="21">
        <f>EXP(-LN(2)/2)*BR38+(1-EXP(-LN(2)/2))/(LN(2)/2)*BL39*BO39*VLOOKUP('Données projet'!$B$11,Paramètres!$A$1:$I$89,3,0)*0.475*44/12</f>
        <v>1.0522825227744743</v>
      </c>
      <c r="BS39" s="22">
        <f t="shared" si="9"/>
        <v>12.194064939069804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14.4</v>
      </c>
      <c r="BY39" s="12">
        <f>IF('Données projet'!$A$114&gt;35,BY38+BX39-CG38,IF(A39&lt;'Données projet'!$A$114,$BV$205^A39,IF(A39='Données projet'!$A$114,'Données projet'!$B$114,BY38+BX39-CG38)))</f>
        <v>206.40000000000003</v>
      </c>
      <c r="BZ39" s="13">
        <f>BY39*VLOOKUP('Données projet'!$B$12,Paramètres!$A$1:$I$89,3,0)*VLOOKUP('Données projet'!$B$12,Paramètres!$A$1:$I$89,5,0)</f>
        <v>123.42720000000003</v>
      </c>
      <c r="CA39" s="13">
        <f t="shared" si="39"/>
        <v>32.473022671122074</v>
      </c>
      <c r="CB39" s="20">
        <f t="shared" si="10"/>
        <v>271.5262211522043</v>
      </c>
      <c r="CC39" s="59">
        <f t="shared" si="11"/>
        <v>564.85955448553761</v>
      </c>
      <c r="CD39" s="59">
        <f ca="1">AVERAGE(OFFSET($CC$3,0,0,'Données projet'!$E$12+1,1))-AVERAGE(OFFSET($H$3,0,0,'Données projet'!$E$12+1,1))</f>
        <v>289.07218105343333</v>
      </c>
      <c r="CE39" s="59">
        <f t="shared" si="40"/>
        <v>217.57508587672368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1.0777445345240531</v>
      </c>
      <c r="CL39" s="21">
        <f>EXP(-LN(2)/25)*CL38+(1-EXP(-LN(2)/25))/(LN(2)/25)*Calculateur!CG39*Calculateur!CI39*VLOOKUP('Données projet'!$B$12,Paramètres!$A$1:$I$89,3,0)*0.475*44/12</f>
        <v>5.5654414668230228</v>
      </c>
      <c r="CM39" s="21">
        <f>EXP(-LN(2)/2)*CM38+(1-EXP(-LN(2)/2))/(LN(2)/2)*CG39*CJ39*VLOOKUP('Données projet'!$B$12,Paramètres!$A$1:$I$89,3,0)*0.475*44/12</f>
        <v>0.96496387893746183</v>
      </c>
      <c r="CN39" s="22">
        <f t="shared" si="12"/>
        <v>7.6081498802845369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111.80000000000001</v>
      </c>
      <c r="O40" s="13">
        <f>N40*VLOOKUP('Données projet'!$B$9,Paramètres!$A$1:$I$89,3,0)*VLOOKUP('Données projet'!$B$9,Paramètres!$A$1:$I$89,5,0)</f>
        <v>113.36520000000003</v>
      </c>
      <c r="P40" s="13">
        <f t="shared" si="33"/>
        <v>30.122456058687614</v>
      </c>
      <c r="Q40" s="20">
        <f t="shared" si="53"/>
        <v>249.9076676355476</v>
      </c>
      <c r="R40" s="59">
        <f t="shared" si="0"/>
        <v>543.24100096888094</v>
      </c>
      <c r="S40" s="59">
        <f ca="1">AVERAGE(OFFSET($R$3,0,0,'Données projet'!$E$9+1,1))-AVERAGE(OFFSET($H$3,0,0,'Données projet'!$E$9+1,1))</f>
        <v>272.93635583300755</v>
      </c>
      <c r="T40" s="59">
        <f t="shared" si="34"/>
        <v>179.56041631665812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3.2516368008392869</v>
      </c>
      <c r="AA40" s="21">
        <f>EXP(-LN(2)/25)*AA39+(1-EXP(-LN(2)/25))/(LN(2)/25)*Calculateur!V40*Calculateur!X40*VLOOKUP('Données projet'!$B$9,Paramètres!$A$1:$I$89,3,0)*0.475*44/12</f>
        <v>3.8722397316755464</v>
      </c>
      <c r="AB40" s="21">
        <f>EXP(-LN(2)/2)*AB39+(1-EXP(-LN(2)/2))/(LN(2)/2)*V40*Y40*VLOOKUP('Données projet'!$B$9,Paramètres!$A$1:$I$89,3,0)*0.475*44/12</f>
        <v>0.60451056343299681</v>
      </c>
      <c r="AC40" s="22">
        <f t="shared" si="3"/>
        <v>7.7283870959478298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111.80000000000001</v>
      </c>
      <c r="AJ40" s="13">
        <f>AI40*VLOOKUP('Données projet'!$B$10,Paramètres!$A$1:$I$89,3,0)*VLOOKUP('Données projet'!$B$10,Paramètres!$A$1:$I$89,5,0)</f>
        <v>101.15664000000001</v>
      </c>
      <c r="AK40" s="13">
        <f t="shared" si="35"/>
        <v>27.237366379381644</v>
      </c>
      <c r="AL40" s="20">
        <f t="shared" si="4"/>
        <v>223.61956111075639</v>
      </c>
      <c r="AM40" s="59">
        <f t="shared" si="5"/>
        <v>516.95289444408968</v>
      </c>
      <c r="AN40" s="59">
        <f ca="1">AVERAGE(OFFSET($AM$3,0,0,'Données projet'!$E$10+1,1))-AVERAGE(OFFSET($H$3,0,0,'Données projet'!$E$10+1,1))</f>
        <v>237.64646718446005</v>
      </c>
      <c r="AO40" s="59">
        <f t="shared" si="36"/>
        <v>156.67965022779907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2.9014605299796723</v>
      </c>
      <c r="AV40" s="21">
        <f>EXP(-LN(2)/25)*AV39+(1-EXP(-LN(2)/25))/(LN(2)/25)*Calculateur!AQ40*Calculateur!AS40*VLOOKUP('Données projet'!$B$10,Paramètres!$A$1:$I$89,3,0)*0.475*44/12</f>
        <v>3.4552292990335642</v>
      </c>
      <c r="AW40" s="21">
        <f>EXP(-LN(2)/2)*AW39+(1-EXP(-LN(2)/2))/(LN(2)/2)*AQ40*AT40*VLOOKUP('Données projet'!$B$10,Paramètres!$A$1:$I$89,3,0)*0.475*44/12</f>
        <v>0.53940942583252005</v>
      </c>
      <c r="AX40" s="21">
        <f t="shared" si="6"/>
        <v>6.8960992548457565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163.20000000000002</v>
      </c>
      <c r="BE40" s="13">
        <f>BD40*VLOOKUP('Données projet'!$B$11,Paramètres!$A$1:$I$89,3,0)*VLOOKUP('Données projet'!$B$11,Paramètres!$A$1:$I$89,5,0)</f>
        <v>106.92864000000002</v>
      </c>
      <c r="BF40" s="13">
        <f t="shared" si="37"/>
        <v>28.606159868782942</v>
      </c>
      <c r="BG40" s="20">
        <f t="shared" si="7"/>
        <v>236.05644310479695</v>
      </c>
      <c r="BH40" s="59">
        <f t="shared" si="8"/>
        <v>529.3897764381303</v>
      </c>
      <c r="BI40" s="59">
        <f ca="1">AVERAGE(OFFSET($BH$3,0,0,'Données projet'!$E$11+1,1))-AVERAGE(OFFSET($H$3,0,0,'Données projet'!$E$11+1,1))</f>
        <v>172.9177436650786</v>
      </c>
      <c r="BJ40" s="59">
        <f t="shared" si="38"/>
        <v>173.73622806725865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1.4467763929902995</v>
      </c>
      <c r="BQ40" s="21">
        <f>EXP(-LN(2)/25)*BQ39+(1-EXP(-LN(2)/25))/(LN(2)/25)*Calculateur!BL40*Calculateur!BN40*VLOOKUP('Données projet'!$B$11,Paramètres!$A$1:$I$89,3,0)*0.475*44/12</f>
        <v>9.4017490246303268</v>
      </c>
      <c r="BR40" s="21">
        <f>EXP(-LN(2)/2)*BR39+(1-EXP(-LN(2)/2))/(LN(2)/2)*BL40*BO40*VLOOKUP('Données projet'!$B$11,Paramètres!$A$1:$I$89,3,0)*0.475*44/12</f>
        <v>0.74407610757791842</v>
      </c>
      <c r="BS40" s="22">
        <f t="shared" si="9"/>
        <v>11.592601525198544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14.4</v>
      </c>
      <c r="BY40" s="12">
        <f>IF('Données projet'!$A$114&gt;35,BY39+BX40-CG39,IF(A40&lt;'Données projet'!$A$114,$BV$205^A40,IF(A40='Données projet'!$A$114,'Données projet'!$B$114,BY39+BX40-CG39)))</f>
        <v>220.80000000000004</v>
      </c>
      <c r="BZ40" s="13">
        <f>BY40*VLOOKUP('Données projet'!$B$12,Paramètres!$A$1:$I$89,3,0)*VLOOKUP('Données projet'!$B$12,Paramètres!$A$1:$I$89,5,0)</f>
        <v>132.03840000000005</v>
      </c>
      <c r="CA40" s="13">
        <f t="shared" si="39"/>
        <v>34.466946374534373</v>
      </c>
      <c r="CB40" s="20">
        <f t="shared" si="10"/>
        <v>289.99681160231415</v>
      </c>
      <c r="CC40" s="59">
        <f t="shared" si="11"/>
        <v>583.33014493564747</v>
      </c>
      <c r="CD40" s="59">
        <f ca="1">AVERAGE(OFFSET($CC$3,0,0,'Données projet'!$E$12+1,1))-AVERAGE(OFFSET($H$3,0,0,'Données projet'!$E$12+1,1))</f>
        <v>289.07218105343333</v>
      </c>
      <c r="CE40" s="59">
        <f t="shared" si="40"/>
        <v>217.57508587672368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1.0566106215612936</v>
      </c>
      <c r="CL40" s="21">
        <f>EXP(-LN(2)/25)*CL39+(1-EXP(-LN(2)/25))/(LN(2)/25)*Calculateur!CG40*Calculateur!CI40*VLOOKUP('Données projet'!$B$12,Paramètres!$A$1:$I$89,3,0)*0.475*44/12</f>
        <v>5.4132541772389002</v>
      </c>
      <c r="CM40" s="21">
        <f>EXP(-LN(2)/2)*CM39+(1-EXP(-LN(2)/2))/(LN(2)/2)*CG40*CJ40*VLOOKUP('Données projet'!$B$12,Paramètres!$A$1:$I$89,3,0)*0.475*44/12</f>
        <v>0.68233250239675403</v>
      </c>
      <c r="CN40" s="22">
        <f t="shared" si="12"/>
        <v>7.1521973011969475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120.20000000000002</v>
      </c>
      <c r="O41" s="13">
        <f>N41*VLOOKUP('Données projet'!$B$9,Paramètres!$A$1:$I$89,3,0)*VLOOKUP('Données projet'!$B$9,Paramètres!$A$1:$I$89,5,0)</f>
        <v>121.88280000000002</v>
      </c>
      <c r="P41" s="13">
        <f t="shared" si="33"/>
        <v>32.113732800054677</v>
      </c>
      <c r="Q41" s="20">
        <f t="shared" si="53"/>
        <v>268.21062796009522</v>
      </c>
      <c r="R41" s="59">
        <f t="shared" si="0"/>
        <v>561.54396129342854</v>
      </c>
      <c r="S41" s="59">
        <f ca="1">AVERAGE(OFFSET($R$3,0,0,'Données projet'!$E$9+1,1))-AVERAGE(OFFSET($H$3,0,0,'Données projet'!$E$9+1,1))</f>
        <v>272.93635583300755</v>
      </c>
      <c r="T41" s="59">
        <f t="shared" si="34"/>
        <v>179.56041631665812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3.1878741864774423</v>
      </c>
      <c r="AA41" s="21">
        <f>EXP(-LN(2)/25)*AA40+(1-EXP(-LN(2)/25))/(LN(2)/25)*Calculateur!V41*Calculateur!X41*VLOOKUP('Données projet'!$B$9,Paramètres!$A$1:$I$89,3,0)*0.475*44/12</f>
        <v>3.7663531325806412</v>
      </c>
      <c r="AB41" s="21">
        <f>EXP(-LN(2)/2)*AB40+(1-EXP(-LN(2)/2))/(LN(2)/2)*V41*Y41*VLOOKUP('Données projet'!$B$9,Paramètres!$A$1:$I$89,3,0)*0.475*44/12</f>
        <v>0.42745351870237264</v>
      </c>
      <c r="AC41" s="22">
        <f t="shared" si="3"/>
        <v>7.3816808377604559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120.20000000000002</v>
      </c>
      <c r="AJ41" s="13">
        <f>AI41*VLOOKUP('Données projet'!$B$10,Paramètres!$A$1:$I$89,3,0)*VLOOKUP('Données projet'!$B$10,Paramètres!$A$1:$I$89,5,0)</f>
        <v>108.75696000000002</v>
      </c>
      <c r="AK41" s="13">
        <f t="shared" si="35"/>
        <v>29.037921223305609</v>
      </c>
      <c r="AL41" s="20">
        <f t="shared" si="4"/>
        <v>239.99275146392395</v>
      </c>
      <c r="AM41" s="59">
        <f t="shared" si="5"/>
        <v>533.32608479725729</v>
      </c>
      <c r="AN41" s="59">
        <f ca="1">AVERAGE(OFFSET($AM$3,0,0,'Données projet'!$E$10+1,1))-AVERAGE(OFFSET($H$3,0,0,'Données projet'!$E$10+1,1))</f>
        <v>237.64646718446005</v>
      </c>
      <c r="AO41" s="59">
        <f t="shared" si="36"/>
        <v>156.67965022779907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2.8445646587029492</v>
      </c>
      <c r="AV41" s="21">
        <f>EXP(-LN(2)/25)*AV40+(1-EXP(-LN(2)/25))/(LN(2)/25)*Calculateur!AQ41*Calculateur!AS41*VLOOKUP('Données projet'!$B$10,Paramètres!$A$1:$I$89,3,0)*0.475*44/12</f>
        <v>3.3607458721488794</v>
      </c>
      <c r="AW41" s="21">
        <f>EXP(-LN(2)/2)*AW40+(1-EXP(-LN(2)/2))/(LN(2)/2)*AQ41*AT41*VLOOKUP('Données projet'!$B$10,Paramètres!$A$1:$I$89,3,0)*0.475*44/12</f>
        <v>0.38142006284211699</v>
      </c>
      <c r="AX41" s="21">
        <f t="shared" si="6"/>
        <v>6.5867305936939458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172.8</v>
      </c>
      <c r="BE41" s="13">
        <f>BD41*VLOOKUP('Données projet'!$B$11,Paramètres!$A$1:$I$89,3,0)*VLOOKUP('Données projet'!$B$11,Paramètres!$A$1:$I$89,5,0)</f>
        <v>113.21856000000001</v>
      </c>
      <c r="BF41" s="13">
        <f t="shared" si="37"/>
        <v>30.088024911766389</v>
      </c>
      <c r="BG41" s="20">
        <f t="shared" si="7"/>
        <v>249.59230205465977</v>
      </c>
      <c r="BH41" s="59">
        <f t="shared" si="8"/>
        <v>542.92563538799311</v>
      </c>
      <c r="BI41" s="59">
        <f ca="1">AVERAGE(OFFSET($BH$3,0,0,'Données projet'!$E$11+1,1))-AVERAGE(OFFSET($H$3,0,0,'Données projet'!$E$11+1,1))</f>
        <v>172.9177436650786</v>
      </c>
      <c r="BJ41" s="59">
        <f t="shared" si="38"/>
        <v>173.73622806725865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1.4184059903702251</v>
      </c>
      <c r="BQ41" s="21">
        <f>EXP(-LN(2)/25)*BQ40+(1-EXP(-LN(2)/25))/(LN(2)/25)*Calculateur!BL41*Calculateur!BN41*VLOOKUP('Données projet'!$B$11,Paramètres!$A$1:$I$89,3,0)*0.475*44/12</f>
        <v>9.1446577031353176</v>
      </c>
      <c r="BR41" s="21">
        <f>EXP(-LN(2)/2)*BR40+(1-EXP(-LN(2)/2))/(LN(2)/2)*BL41*BO41*VLOOKUP('Données projet'!$B$11,Paramètres!$A$1:$I$89,3,0)*0.475*44/12</f>
        <v>0.52614126138723716</v>
      </c>
      <c r="BS41" s="22">
        <f t="shared" si="9"/>
        <v>11.089204954892779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14.4</v>
      </c>
      <c r="BY41" s="12">
        <f>IF('Données projet'!$A$114&gt;35,BY40+BX41-CG40,IF(A41&lt;'Données projet'!$A$114,$BV$205^A41,IF(A41='Données projet'!$A$114,'Données projet'!$B$114,BY40+BX41-CG40)))</f>
        <v>235.20000000000005</v>
      </c>
      <c r="BZ41" s="13">
        <f>BY41*VLOOKUP('Données projet'!$B$12,Paramètres!$A$1:$I$89,3,0)*VLOOKUP('Données projet'!$B$12,Paramètres!$A$1:$I$89,5,0)</f>
        <v>140.64960000000002</v>
      </c>
      <c r="CA41" s="13">
        <f t="shared" si="39"/>
        <v>36.445779615258601</v>
      </c>
      <c r="CB41" s="20">
        <f t="shared" si="10"/>
        <v>308.44111949657542</v>
      </c>
      <c r="CC41" s="59">
        <f t="shared" si="11"/>
        <v>601.7744528299088</v>
      </c>
      <c r="CD41" s="59">
        <f ca="1">AVERAGE(OFFSET($CC$3,0,0,'Données projet'!$E$12+1,1))-AVERAGE(OFFSET($H$3,0,0,'Données projet'!$E$12+1,1))</f>
        <v>289.07218105343333</v>
      </c>
      <c r="CE41" s="59">
        <f t="shared" si="40"/>
        <v>217.57508587672368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1.0358911317413197</v>
      </c>
      <c r="CL41" s="21">
        <f>EXP(-LN(2)/25)*CL40+(1-EXP(-LN(2)/25))/(LN(2)/25)*Calculateur!CG41*Calculateur!CI41*VLOOKUP('Données projet'!$B$12,Paramètres!$A$1:$I$89,3,0)*0.475*44/12</f>
        <v>5.2652284570916379</v>
      </c>
      <c r="CM41" s="21">
        <f>EXP(-LN(2)/2)*CM40+(1-EXP(-LN(2)/2))/(LN(2)/2)*CG41*CJ41*VLOOKUP('Données projet'!$B$12,Paramètres!$A$1:$I$89,3,0)*0.475*44/12</f>
        <v>0.48248193946873097</v>
      </c>
      <c r="CN41" s="22">
        <f t="shared" si="12"/>
        <v>6.7836015283016886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128.60000000000002</v>
      </c>
      <c r="O42" s="13">
        <f>N42*VLOOKUP('Données projet'!$B$9,Paramètres!$A$1:$I$89,3,0)*VLOOKUP('Données projet'!$B$9,Paramètres!$A$1:$I$89,5,0)</f>
        <v>130.40040000000002</v>
      </c>
      <c r="P42" s="13">
        <f t="shared" si="33"/>
        <v>34.088863450406919</v>
      </c>
      <c r="Q42" s="20">
        <f t="shared" si="53"/>
        <v>286.48546717612544</v>
      </c>
      <c r="R42" s="59">
        <f t="shared" si="0"/>
        <v>579.8188005094587</v>
      </c>
      <c r="S42" s="59">
        <f ca="1">AVERAGE(OFFSET($R$3,0,0,'Données projet'!$E$9+1,1))-AVERAGE(OFFSET($H$3,0,0,'Données projet'!$E$9+1,1))</f>
        <v>272.93635583300755</v>
      </c>
      <c r="T42" s="59">
        <f t="shared" si="34"/>
        <v>179.56041631665812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3.1253619180918788</v>
      </c>
      <c r="AA42" s="21">
        <f>EXP(-LN(2)/25)*AA41+(1-EXP(-LN(2)/25))/(LN(2)/25)*Calculateur!V42*Calculateur!X42*VLOOKUP('Données projet'!$B$9,Paramètres!$A$1:$I$89,3,0)*0.475*44/12</f>
        <v>3.6633620081063203</v>
      </c>
      <c r="AB42" s="21">
        <f>EXP(-LN(2)/2)*AB41+(1-EXP(-LN(2)/2))/(LN(2)/2)*V42*Y42*VLOOKUP('Données projet'!$B$9,Paramètres!$A$1:$I$89,3,0)*0.475*44/12</f>
        <v>0.3022552817164984</v>
      </c>
      <c r="AC42" s="22">
        <f t="shared" si="3"/>
        <v>7.0909792079146978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116.35728000000002</v>
      </c>
      <c r="AK42" s="13">
        <f t="shared" si="35"/>
        <v>30.823876427820704</v>
      </c>
      <c r="AL42" s="20">
        <f t="shared" si="4"/>
        <v>256.34051411178774</v>
      </c>
      <c r="AM42" s="59">
        <f t="shared" si="5"/>
        <v>549.67384744512105</v>
      </c>
      <c r="AN42" s="59">
        <f ca="1">AVERAGE(OFFSET($AM$3,0,0,'Données projet'!$E$10+1,1))-AVERAGE(OFFSET($H$3,0,0,'Données projet'!$E$10+1,1))</f>
        <v>237.64646718446005</v>
      </c>
      <c r="AO42" s="59">
        <f t="shared" si="36"/>
        <v>156.67965022779907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2.7887844807589079</v>
      </c>
      <c r="AV42" s="21">
        <f>EXP(-LN(2)/25)*AV41+(1-EXP(-LN(2)/25))/(LN(2)/25)*Calculateur!AQ42*Calculateur!AS42*VLOOKUP('Données projet'!$B$10,Paramètres!$A$1:$I$89,3,0)*0.475*44/12</f>
        <v>3.2688460995410238</v>
      </c>
      <c r="AW42" s="21">
        <f>EXP(-LN(2)/2)*AW41+(1-EXP(-LN(2)/2))/(LN(2)/2)*AQ42*AT42*VLOOKUP('Données projet'!$B$10,Paramètres!$A$1:$I$89,3,0)*0.475*44/12</f>
        <v>0.26970471291626003</v>
      </c>
      <c r="AX42" s="21">
        <f t="shared" si="6"/>
        <v>6.3273352932161924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182.4</v>
      </c>
      <c r="BE42" s="13">
        <f>BD42*VLOOKUP('Données projet'!$B$11,Paramètres!$A$1:$I$89,3,0)*VLOOKUP('Données projet'!$B$11,Paramètres!$A$1:$I$89,5,0)</f>
        <v>119.50848000000001</v>
      </c>
      <c r="BF42" s="13">
        <f t="shared" si="37"/>
        <v>31.560332955588962</v>
      </c>
      <c r="BG42" s="20">
        <f t="shared" si="7"/>
        <v>263.11151589765069</v>
      </c>
      <c r="BH42" s="59">
        <f t="shared" si="8"/>
        <v>556.444849230984</v>
      </c>
      <c r="BI42" s="59">
        <f ca="1">AVERAGE(OFFSET($BH$3,0,0,'Données projet'!$E$11+1,1))-AVERAGE(OFFSET($H$3,0,0,'Données projet'!$E$11+1,1))</f>
        <v>172.9177436650786</v>
      </c>
      <c r="BJ42" s="59">
        <f t="shared" si="38"/>
        <v>173.73622806725865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1.3905919140412935</v>
      </c>
      <c r="BQ42" s="21">
        <f>EXP(-LN(2)/25)*BQ41+(1-EXP(-LN(2)/25))/(LN(2)/25)*Calculateur!BL42*Calculateur!BN42*VLOOKUP('Données projet'!$B$11,Paramètres!$A$1:$I$89,3,0)*0.475*44/12</f>
        <v>8.8945965573464338</v>
      </c>
      <c r="BR42" s="21">
        <f>EXP(-LN(2)/2)*BR41+(1-EXP(-LN(2)/2))/(LN(2)/2)*BL42*BO42*VLOOKUP('Données projet'!$B$11,Paramètres!$A$1:$I$89,3,0)*0.475*44/12</f>
        <v>0.37203805378895921</v>
      </c>
      <c r="BS42" s="22">
        <f t="shared" si="9"/>
        <v>10.657226525176686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14.4</v>
      </c>
      <c r="BY42" s="12">
        <f>IF('Données projet'!$A$114&gt;35,BY41+BX42-CG41,IF(A42&lt;'Données projet'!$A$114,$BV$205^A42,IF(A42='Données projet'!$A$114,'Données projet'!$B$114,BY41+BX42-CG41)))</f>
        <v>249.60000000000005</v>
      </c>
      <c r="BZ42" s="13">
        <f>BY42*VLOOKUP('Données projet'!$B$12,Paramètres!$A$1:$I$89,3,0)*VLOOKUP('Données projet'!$B$12,Paramètres!$A$1:$I$89,5,0)</f>
        <v>149.26080000000005</v>
      </c>
      <c r="CA42" s="13">
        <f t="shared" si="39"/>
        <v>38.410551499792909</v>
      </c>
      <c r="CB42" s="20">
        <f t="shared" si="10"/>
        <v>326.86093719547273</v>
      </c>
      <c r="CC42" s="59">
        <f t="shared" si="11"/>
        <v>620.1942705288061</v>
      </c>
      <c r="CD42" s="59">
        <f ca="1">AVERAGE(OFFSET($CC$3,0,0,'Données projet'!$E$12+1,1))-AVERAGE(OFFSET($H$3,0,0,'Données projet'!$E$12+1,1))</f>
        <v>289.07218105343333</v>
      </c>
      <c r="CE42" s="59">
        <f t="shared" si="40"/>
        <v>217.57508587672368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1.0155779384790746</v>
      </c>
      <c r="CL42" s="21">
        <f>EXP(-LN(2)/25)*CL41+(1-EXP(-LN(2)/25))/(LN(2)/25)*Calculateur!CG42*Calculateur!CI42*VLOOKUP('Données projet'!$B$12,Paramètres!$A$1:$I$89,3,0)*0.475*44/12</f>
        <v>5.1212505080461366</v>
      </c>
      <c r="CM42" s="21">
        <f>EXP(-LN(2)/2)*CM41+(1-EXP(-LN(2)/2))/(LN(2)/2)*CG42*CJ42*VLOOKUP('Données projet'!$B$12,Paramètres!$A$1:$I$89,3,0)*0.475*44/12</f>
        <v>0.34116625119837701</v>
      </c>
      <c r="CN42" s="22">
        <f t="shared" si="12"/>
        <v>6.477994697723588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137.00000000000003</v>
      </c>
      <c r="O43" s="13">
        <f>N43*VLOOKUP('Données projet'!$B$9,Paramètres!$A$1:$I$89,3,0)*VLOOKUP('Données projet'!$B$9,Paramètres!$A$1:$I$89,5,0)</f>
        <v>138.91800000000003</v>
      </c>
      <c r="P43" s="13">
        <f t="shared" si="33"/>
        <v>36.049022673886341</v>
      </c>
      <c r="Q43" s="20">
        <f t="shared" si="53"/>
        <v>304.73423115701877</v>
      </c>
      <c r="R43" s="59">
        <f t="shared" si="0"/>
        <v>598.06756449035208</v>
      </c>
      <c r="S43" s="59">
        <f ca="1">AVERAGE(OFFSET($R$3,0,0,'Données projet'!$E$9+1,1))-AVERAGE(OFFSET($H$3,0,0,'Données projet'!$E$9+1,1))</f>
        <v>272.93635583300755</v>
      </c>
      <c r="T43" s="59">
        <f t="shared" si="34"/>
        <v>179.56041631665812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3.0640754771606371</v>
      </c>
      <c r="AA43" s="21">
        <f>EXP(-LN(2)/25)*AA42+(1-EXP(-LN(2)/25))/(LN(2)/25)*Calculateur!V43*Calculateur!X43*VLOOKUP('Données projet'!$B$9,Paramètres!$A$1:$I$89,3,0)*0.475*44/12</f>
        <v>3.5631871813468177</v>
      </c>
      <c r="AB43" s="21">
        <f>EXP(-LN(2)/2)*AB42+(1-EXP(-LN(2)/2))/(LN(2)/2)*V43*Y43*VLOOKUP('Données projet'!$B$9,Paramètres!$A$1:$I$89,3,0)*0.475*44/12</f>
        <v>0.21372675935118632</v>
      </c>
      <c r="AC43" s="22">
        <f t="shared" si="3"/>
        <v>6.8409894178586415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123.95760000000001</v>
      </c>
      <c r="AK43" s="13">
        <f t="shared" si="35"/>
        <v>32.59629414926458</v>
      </c>
      <c r="AL43" s="20">
        <f t="shared" si="4"/>
        <v>272.6646989766358</v>
      </c>
      <c r="AM43" s="59">
        <f t="shared" si="5"/>
        <v>565.99803230996918</v>
      </c>
      <c r="AN43" s="59">
        <f ca="1">AVERAGE(OFFSET($AM$3,0,0,'Données projet'!$E$10+1,1))-AVERAGE(OFFSET($H$3,0,0,'Données projet'!$E$10+1,1))</f>
        <v>237.64646718446005</v>
      </c>
      <c r="AO43" s="59">
        <f t="shared" si="36"/>
        <v>156.67965022779907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2.7340981180818003</v>
      </c>
      <c r="AV43" s="21">
        <f>EXP(-LN(2)/25)*AV42+(1-EXP(-LN(2)/25))/(LN(2)/25)*Calculateur!AQ43*Calculateur!AS43*VLOOKUP('Données projet'!$B$10,Paramètres!$A$1:$I$89,3,0)*0.475*44/12</f>
        <v>3.1794593310479291</v>
      </c>
      <c r="AW43" s="21">
        <f>EXP(-LN(2)/2)*AW42+(1-EXP(-LN(2)/2))/(LN(2)/2)*AQ43*AT43*VLOOKUP('Données projet'!$B$10,Paramètres!$A$1:$I$89,3,0)*0.475*44/12</f>
        <v>0.1907100314210585</v>
      </c>
      <c r="AX43" s="21">
        <f t="shared" si="6"/>
        <v>6.1042674805507886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192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192</v>
      </c>
      <c r="BE43" s="13">
        <f>BD43*VLOOKUP('Données projet'!$B$11,Paramètres!$A$1:$I$89,3,0)*VLOOKUP('Données projet'!$B$11,Paramètres!$A$1:$I$89,5,0)</f>
        <v>125.7984</v>
      </c>
      <c r="BF43" s="13">
        <f t="shared" si="37"/>
        <v>33.023644363399924</v>
      </c>
      <c r="BG43" s="20">
        <f t="shared" si="7"/>
        <v>276.61506059958816</v>
      </c>
      <c r="BH43" s="59">
        <f t="shared" si="8"/>
        <v>569.94839393292148</v>
      </c>
      <c r="BI43" s="59">
        <f ca="1">AVERAGE(OFFSET($BH$3,0,0,'Données projet'!$E$11+1,1))-AVERAGE(OFFSET($H$3,0,0,'Données projet'!$E$11+1,1))</f>
        <v>172.9177436650786</v>
      </c>
      <c r="BJ43" s="59">
        <f t="shared" si="38"/>
        <v>173.73622806725865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1.3633232547842606</v>
      </c>
      <c r="BQ43" s="21">
        <f>EXP(-LN(2)/25)*BQ42+(1-EXP(-LN(2)/25))/(LN(2)/25)*Calculateur!BL43*Calculateur!BN43*VLOOKUP('Données projet'!$B$11,Paramètres!$A$1:$I$89,3,0)*0.475*44/12</f>
        <v>8.651373346739291</v>
      </c>
      <c r="BR43" s="21">
        <f>EXP(-LN(2)/2)*BR42+(1-EXP(-LN(2)/2))/(LN(2)/2)*BL43*BO43*VLOOKUP('Données projet'!$B$11,Paramètres!$A$1:$I$89,3,0)*0.475*44/12</f>
        <v>0.26307063069361858</v>
      </c>
      <c r="BS43" s="22">
        <f t="shared" si="9"/>
        <v>10.277767232217171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264</v>
      </c>
      <c r="BW43" s="12">
        <f>VLOOKUP(A43,'Données projet'!$A$113:$I$133,9,0)</f>
        <v>14.4</v>
      </c>
      <c r="BX43" s="12">
        <f t="array" ref="BX43">INDEX(BW:BW,MIN(IF(ISNUMBER(BW43:BW239),ROW(BW43:BW239),"")))</f>
        <v>14.4</v>
      </c>
      <c r="BY43" s="12">
        <f>IF('Données projet'!$A$114&gt;35,BY42+BX43-CG42,IF(A43&lt;'Données projet'!$A$114,$BV$205^A43,IF(A43='Données projet'!$A$114,'Données projet'!$B$114,BY42+BX43-CG42)))</f>
        <v>264.00000000000006</v>
      </c>
      <c r="BZ43" s="13">
        <f>BY43*VLOOKUP('Données projet'!$B$12,Paramètres!$A$1:$I$89,3,0)*VLOOKUP('Données projet'!$B$12,Paramètres!$A$1:$I$89,5,0)</f>
        <v>157.87200000000004</v>
      </c>
      <c r="CA43" s="13">
        <f t="shared" si="39"/>
        <v>40.362165684361159</v>
      </c>
      <c r="CB43" s="20">
        <f t="shared" si="10"/>
        <v>345.25783856692902</v>
      </c>
      <c r="CC43" s="59">
        <f t="shared" si="11"/>
        <v>638.59117190026234</v>
      </c>
      <c r="CD43" s="59">
        <f ca="1">AVERAGE(OFFSET($CC$3,0,0,'Données projet'!$E$12+1,1))-AVERAGE(OFFSET($H$3,0,0,'Données projet'!$E$12+1,1))</f>
        <v>289.07218105343333</v>
      </c>
      <c r="CE43" s="59">
        <f t="shared" si="40"/>
        <v>217.57508587672368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41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0.99566307454687764</v>
      </c>
      <c r="CL43" s="21">
        <f>EXP(-LN(2)/25)*CL42+(1-EXP(-LN(2)/25))/(LN(2)/25)*Calculateur!CG43*Calculateur!CI43*VLOOKUP('Données projet'!$B$12,Paramètres!$A$1:$I$89,3,0)*0.475*44/12</f>
        <v>4.9812096435887554</v>
      </c>
      <c r="CM43" s="21">
        <f>EXP(-LN(2)/2)*CM42+(1-EXP(-LN(2)/2))/(LN(2)/2)*CG43*CJ43*VLOOKUP('Données projet'!$B$12,Paramètres!$A$1:$I$89,3,0)*0.475*44/12</f>
        <v>0.24124096973436548</v>
      </c>
      <c r="CN43" s="22">
        <f t="shared" si="12"/>
        <v>6.2181136878699981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124.40000000000003</v>
      </c>
      <c r="O44" s="13">
        <f>N44*VLOOKUP('Données projet'!$B$9,Paramètres!$A$1:$I$89,3,0)*VLOOKUP('Données projet'!$B$9,Paramètres!$A$1:$I$89,5,0)</f>
        <v>126.14160000000005</v>
      </c>
      <c r="P44" s="13">
        <f t="shared" si="33"/>
        <v>33.10323903126482</v>
      </c>
      <c r="Q44" s="20">
        <f t="shared" si="53"/>
        <v>277.35142797945298</v>
      </c>
      <c r="R44" s="59">
        <f t="shared" si="0"/>
        <v>570.68476131278635</v>
      </c>
      <c r="S44" s="59">
        <f ca="1">AVERAGE(OFFSET($R$3,0,0,'Données projet'!$E$9+1,1))-AVERAGE(OFFSET($H$3,0,0,'Données projet'!$E$9+1,1))</f>
        <v>272.93635583300755</v>
      </c>
      <c r="T44" s="59">
        <f t="shared" si="34"/>
        <v>179.56041631665812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3.0039908259550194</v>
      </c>
      <c r="AA44" s="21">
        <f>EXP(-LN(2)/25)*AA43+(1-EXP(-LN(2)/25))/(LN(2)/25)*Calculateur!V44*Calculateur!X44*VLOOKUP('Données projet'!$B$9,Paramètres!$A$1:$I$89,3,0)*0.475*44/12</f>
        <v>3.4657516404930186</v>
      </c>
      <c r="AB44" s="21">
        <f>EXP(-LN(2)/2)*AB43+(1-EXP(-LN(2)/2))/(LN(2)/2)*V44*Y44*VLOOKUP('Données projet'!$B$9,Paramètres!$A$1:$I$89,3,0)*0.475*44/12</f>
        <v>0.1511276408582492</v>
      </c>
      <c r="AC44" s="22">
        <f t="shared" si="3"/>
        <v>6.6208701073062866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112.55712000000003</v>
      </c>
      <c r="AK44" s="13">
        <f t="shared" si="35"/>
        <v>29.932653834140599</v>
      </c>
      <c r="AL44" s="20">
        <f t="shared" si="4"/>
        <v>248.16968942779496</v>
      </c>
      <c r="AM44" s="59">
        <f t="shared" si="5"/>
        <v>541.50302276112825</v>
      </c>
      <c r="AN44" s="59">
        <f ca="1">AVERAGE(OFFSET($AM$3,0,0,'Données projet'!$E$10+1,1))-AVERAGE(OFFSET($H$3,0,0,'Données projet'!$E$10+1,1))</f>
        <v>237.64646718446005</v>
      </c>
      <c r="AO44" s="59">
        <f t="shared" si="36"/>
        <v>156.67965022779907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2.680484121621403</v>
      </c>
      <c r="AV44" s="21">
        <f>EXP(-LN(2)/25)*AV43+(1-EXP(-LN(2)/25))/(LN(2)/25)*Calculateur!AQ44*Calculateur!AS44*VLOOKUP('Données projet'!$B$10,Paramètres!$A$1:$I$89,3,0)*0.475*44/12</f>
        <v>3.0925168484399239</v>
      </c>
      <c r="AW44" s="21">
        <f>EXP(-LN(2)/2)*AW43+(1-EXP(-LN(2)/2))/(LN(2)/2)*AQ44*AT44*VLOOKUP('Données projet'!$B$10,Paramètres!$A$1:$I$89,3,0)*0.475*44/12</f>
        <v>0.13485235645813001</v>
      </c>
      <c r="AX44" s="21">
        <f t="shared" si="6"/>
        <v>5.907853326519457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172.2</v>
      </c>
      <c r="BE44" s="13">
        <f>BD44*VLOOKUP('Données projet'!$B$11,Paramètres!$A$1:$I$89,3,0)*VLOOKUP('Données projet'!$B$11,Paramètres!$A$1:$I$89,5,0)</f>
        <v>112.82544</v>
      </c>
      <c r="BF44" s="13">
        <f t="shared" si="37"/>
        <v>29.995694500969023</v>
      </c>
      <c r="BG44" s="20">
        <f t="shared" si="7"/>
        <v>248.7468092558544</v>
      </c>
      <c r="BH44" s="59">
        <f t="shared" si="8"/>
        <v>542.08014258918774</v>
      </c>
      <c r="BI44" s="59">
        <f ca="1">AVERAGE(OFFSET($BH$3,0,0,'Données projet'!$E$11+1,1))-AVERAGE(OFFSET($H$3,0,0,'Données projet'!$E$11+1,1))</f>
        <v>172.9177436650786</v>
      </c>
      <c r="BJ44" s="59">
        <f t="shared" si="38"/>
        <v>173.73622806725865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1.3365893173030186</v>
      </c>
      <c r="BQ44" s="21">
        <f>EXP(-LN(2)/25)*BQ43+(1-EXP(-LN(2)/25))/(LN(2)/25)*Calculateur!BL44*Calculateur!BN44*VLOOKUP('Données projet'!$B$11,Paramètres!$A$1:$I$89,3,0)*0.475*44/12</f>
        <v>8.4148010876167536</v>
      </c>
      <c r="BR44" s="21">
        <f>EXP(-LN(2)/2)*BR43+(1-EXP(-LN(2)/2))/(LN(2)/2)*BL44*BO44*VLOOKUP('Données projet'!$B$11,Paramètres!$A$1:$I$89,3,0)*0.475*44/12</f>
        <v>0.18601902689447961</v>
      </c>
      <c r="BS44" s="22">
        <f t="shared" si="9"/>
        <v>9.9374094318142507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19</v>
      </c>
      <c r="BY44" s="12">
        <f>IF('Données projet'!$A$114&gt;35,BY43+BX44-CG43,IF(A44&lt;'Données projet'!$A$114,$BV$205^A44,IF(A44='Données projet'!$A$114,'Données projet'!$B$114,BY43+BX44-CG43)))</f>
        <v>242.00000000000006</v>
      </c>
      <c r="BZ44" s="13">
        <f>BY44*VLOOKUP('Données projet'!$B$12,Paramètres!$A$1:$I$89,3,0)*VLOOKUP('Données projet'!$B$12,Paramètres!$A$1:$I$89,5,0)</f>
        <v>144.71600000000007</v>
      </c>
      <c r="CA44" s="13">
        <f t="shared" si="39"/>
        <v>37.375282885096105</v>
      </c>
      <c r="CB44" s="20">
        <f t="shared" si="10"/>
        <v>317.14231769154247</v>
      </c>
      <c r="CC44" s="59">
        <f t="shared" si="11"/>
        <v>610.47565102487579</v>
      </c>
      <c r="CD44" s="59">
        <f ca="1">AVERAGE(OFFSET($CC$3,0,0,'Données projet'!$E$12+1,1))-AVERAGE(OFFSET($H$3,0,0,'Données projet'!$E$12+1,1))</f>
        <v>289.07218105343333</v>
      </c>
      <c r="CE44" s="59">
        <f t="shared" si="40"/>
        <v>217.57508587672368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0.97613872894952347</v>
      </c>
      <c r="CL44" s="21">
        <f>EXP(-LN(2)/25)*CL43+(1-EXP(-LN(2)/25))/(LN(2)/25)*Calculateur!CG44*Calculateur!CI44*VLOOKUP('Données projet'!$B$12,Paramètres!$A$1:$I$89,3,0)*0.475*44/12</f>
        <v>4.8449982039343906</v>
      </c>
      <c r="CM44" s="21">
        <f>EXP(-LN(2)/2)*CM43+(1-EXP(-LN(2)/2))/(LN(2)/2)*CG44*CJ44*VLOOKUP('Données projet'!$B$12,Paramètres!$A$1:$I$89,3,0)*0.475*44/12</f>
        <v>0.17058312559918851</v>
      </c>
      <c r="CN44" s="22">
        <f t="shared" si="12"/>
        <v>5.9917200584831027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132.80000000000004</v>
      </c>
      <c r="O45" s="13">
        <f>N45*VLOOKUP('Données projet'!$B$9,Paramètres!$A$1:$I$89,3,0)*VLOOKUP('Données projet'!$B$9,Paramètres!$A$1:$I$89,5,0)</f>
        <v>134.65920000000006</v>
      </c>
      <c r="P45" s="13">
        <f t="shared" si="33"/>
        <v>35.07074737441733</v>
      </c>
      <c r="Q45" s="20">
        <f t="shared" si="53"/>
        <v>295.61299167711024</v>
      </c>
      <c r="R45" s="59">
        <f t="shared" si="0"/>
        <v>588.94632501044362</v>
      </c>
      <c r="S45" s="59">
        <f ca="1">AVERAGE(OFFSET($R$3,0,0,'Données projet'!$E$9+1,1))-AVERAGE(OFFSET($H$3,0,0,'Données projet'!$E$9+1,1))</f>
        <v>272.93635583300755</v>
      </c>
      <c r="T45" s="59">
        <f t="shared" si="34"/>
        <v>179.56041631665812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2.9450843981115251</v>
      </c>
      <c r="AA45" s="21">
        <f>EXP(-LN(2)/25)*AA44+(1-EXP(-LN(2)/25))/(LN(2)/25)*Calculateur!V45*Calculateur!X45*VLOOKUP('Données projet'!$B$9,Paramètres!$A$1:$I$89,3,0)*0.475*44/12</f>
        <v>3.3709804796277796</v>
      </c>
      <c r="AB45" s="21">
        <f>EXP(-LN(2)/2)*AB44+(1-EXP(-LN(2)/2))/(LN(2)/2)*V45*Y45*VLOOKUP('Données projet'!$B$9,Paramètres!$A$1:$I$89,3,0)*0.475*44/12</f>
        <v>0.10686337967559316</v>
      </c>
      <c r="AC45" s="22">
        <f t="shared" si="3"/>
        <v>6.4229282574148971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120.15744000000002</v>
      </c>
      <c r="AK45" s="13">
        <f t="shared" si="35"/>
        <v>31.711716786129845</v>
      </c>
      <c r="AL45" s="20">
        <f t="shared" si="4"/>
        <v>264.50544806917623</v>
      </c>
      <c r="AM45" s="59">
        <f t="shared" si="5"/>
        <v>557.83878140250954</v>
      </c>
      <c r="AN45" s="59">
        <f ca="1">AVERAGE(OFFSET($AM$3,0,0,'Données projet'!$E$10+1,1))-AVERAGE(OFFSET($H$3,0,0,'Données projet'!$E$10+1,1))</f>
        <v>237.64646718446005</v>
      </c>
      <c r="AO45" s="59">
        <f t="shared" si="36"/>
        <v>156.67965022779907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2.6279214629302854</v>
      </c>
      <c r="AV45" s="21">
        <f>EXP(-LN(2)/25)*AV44+(1-EXP(-LN(2)/25))/(LN(2)/25)*Calculateur!AQ45*Calculateur!AS45*VLOOKUP('Données projet'!$B$10,Paramètres!$A$1:$I$89,3,0)*0.475*44/12</f>
        <v>3.007951812590941</v>
      </c>
      <c r="AW45" s="21">
        <f>EXP(-LN(2)/2)*AW44+(1-EXP(-LN(2)/2))/(LN(2)/2)*AQ45*AT45*VLOOKUP('Données projet'!$B$10,Paramètres!$A$1:$I$89,3,0)*0.475*44/12</f>
        <v>9.5355015710529248E-2</v>
      </c>
      <c r="AX45" s="21">
        <f t="shared" si="6"/>
        <v>5.7312282912317558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180.39999999999998</v>
      </c>
      <c r="BE45" s="13">
        <f>BD45*VLOOKUP('Données projet'!$B$11,Paramètres!$A$1:$I$89,3,0)*VLOOKUP('Données projet'!$B$11,Paramètres!$A$1:$I$89,5,0)</f>
        <v>118.19807999999998</v>
      </c>
      <c r="BF45" s="13">
        <f t="shared" si="37"/>
        <v>31.254361690638479</v>
      </c>
      <c r="BG45" s="20">
        <f t="shared" si="7"/>
        <v>260.29633594452861</v>
      </c>
      <c r="BH45" s="59">
        <f t="shared" si="8"/>
        <v>553.62966927786192</v>
      </c>
      <c r="BI45" s="59">
        <f ca="1">AVERAGE(OFFSET($BH$3,0,0,'Données projet'!$E$11+1,1))-AVERAGE(OFFSET($H$3,0,0,'Données projet'!$E$11+1,1))</f>
        <v>172.9177436650786</v>
      </c>
      <c r="BJ45" s="59">
        <f t="shared" si="38"/>
        <v>173.73622806725865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1.3103796160296917</v>
      </c>
      <c r="BQ45" s="21">
        <f>EXP(-LN(2)/25)*BQ44+(1-EXP(-LN(2)/25))/(LN(2)/25)*Calculateur!BL45*Calculateur!BN45*VLOOKUP('Données projet'!$B$11,Paramètres!$A$1:$I$89,3,0)*0.475*44/12</f>
        <v>8.1846979093607164</v>
      </c>
      <c r="BR45" s="21">
        <f>EXP(-LN(2)/2)*BR44+(1-EXP(-LN(2)/2))/(LN(2)/2)*BL45*BO45*VLOOKUP('Données projet'!$B$11,Paramètres!$A$1:$I$89,3,0)*0.475*44/12</f>
        <v>0.13153531534680929</v>
      </c>
      <c r="BS45" s="22">
        <f t="shared" si="9"/>
        <v>9.6266128407372182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19</v>
      </c>
      <c r="BY45" s="12">
        <f>IF('Données projet'!$A$114&gt;35,BY44+BX45-CG44,IF(A45&lt;'Données projet'!$A$114,$BV$205^A45,IF(A45='Données projet'!$A$114,'Données projet'!$B$114,BY44+BX45-CG44)))</f>
        <v>261.00000000000006</v>
      </c>
      <c r="BZ45" s="13">
        <f>BY45*VLOOKUP('Données projet'!$B$12,Paramètres!$A$1:$I$89,3,0)*VLOOKUP('Données projet'!$B$12,Paramètres!$A$1:$I$89,5,0)</f>
        <v>156.07800000000003</v>
      </c>
      <c r="CA45" s="13">
        <f t="shared" si="39"/>
        <v>39.956623674978466</v>
      </c>
      <c r="CB45" s="20">
        <f t="shared" si="10"/>
        <v>341.42696956725422</v>
      </c>
      <c r="CC45" s="59">
        <f t="shared" si="11"/>
        <v>634.76030290058748</v>
      </c>
      <c r="CD45" s="59">
        <f ca="1">AVERAGE(OFFSET($CC$3,0,0,'Données projet'!$E$12+1,1))-AVERAGE(OFFSET($H$3,0,0,'Données projet'!$E$12+1,1))</f>
        <v>289.07218105343333</v>
      </c>
      <c r="CE45" s="59">
        <f t="shared" si="40"/>
        <v>217.57508587672368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0.95699724386065854</v>
      </c>
      <c r="CL45" s="21">
        <f>EXP(-LN(2)/25)*CL44+(1-EXP(-LN(2)/25))/(LN(2)/25)*Calculateur!CG45*Calculateur!CI45*VLOOKUP('Données projet'!$B$12,Paramètres!$A$1:$I$89,3,0)*0.475*44/12</f>
        <v>4.712511473260423</v>
      </c>
      <c r="CM45" s="21">
        <f>EXP(-LN(2)/2)*CM44+(1-EXP(-LN(2)/2))/(LN(2)/2)*CG45*CJ45*VLOOKUP('Données projet'!$B$12,Paramètres!$A$1:$I$89,3,0)*0.475*44/12</f>
        <v>0.12062048486718274</v>
      </c>
      <c r="CN45" s="22">
        <f t="shared" si="12"/>
        <v>5.7901292019882638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141.20000000000005</v>
      </c>
      <c r="O46" s="13">
        <f>N46*VLOOKUP('Données projet'!$B$9,Paramètres!$A$1:$I$89,3,0)*VLOOKUP('Données projet'!$B$9,Paramètres!$A$1:$I$89,5,0)</f>
        <v>143.17680000000004</v>
      </c>
      <c r="P46" s="13">
        <f t="shared" si="33"/>
        <v>37.023812674521515</v>
      </c>
      <c r="Q46" s="20">
        <f t="shared" si="53"/>
        <v>313.84940040812506</v>
      </c>
      <c r="R46" s="59">
        <f t="shared" si="0"/>
        <v>607.18273374145838</v>
      </c>
      <c r="S46" s="59">
        <f ca="1">AVERAGE(OFFSET($R$3,0,0,'Données projet'!$E$9+1,1))-AVERAGE(OFFSET($H$3,0,0,'Données projet'!$E$9+1,1))</f>
        <v>272.93635583300755</v>
      </c>
      <c r="T46" s="59">
        <f t="shared" si="34"/>
        <v>179.56041631665812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2.8873330893886688</v>
      </c>
      <c r="AA46" s="21">
        <f>EXP(-LN(2)/25)*AA45+(1-EXP(-LN(2)/25))/(LN(2)/25)*Calculateur!V46*Calculateur!X46*VLOOKUP('Données projet'!$B$9,Paramètres!$A$1:$I$89,3,0)*0.475*44/12</f>
        <v>3.2788008411401992</v>
      </c>
      <c r="AB46" s="21">
        <f>EXP(-LN(2)/2)*AB45+(1-EXP(-LN(2)/2))/(LN(2)/2)*V46*Y46*VLOOKUP('Données projet'!$B$9,Paramètres!$A$1:$I$89,3,0)*0.475*44/12</f>
        <v>7.5563820429124601E-2</v>
      </c>
      <c r="AC46" s="22">
        <f t="shared" si="3"/>
        <v>6.241697750957993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127.75776000000003</v>
      </c>
      <c r="AK46" s="13">
        <f t="shared" si="35"/>
        <v>33.477720030956604</v>
      </c>
      <c r="AL46" s="20">
        <f t="shared" si="4"/>
        <v>280.81846105391611</v>
      </c>
      <c r="AM46" s="59">
        <f t="shared" si="5"/>
        <v>574.15179438724942</v>
      </c>
      <c r="AN46" s="59">
        <f ca="1">AVERAGE(OFFSET($AM$3,0,0,'Données projet'!$E$10+1,1))-AVERAGE(OFFSET($H$3,0,0,'Données projet'!$E$10+1,1))</f>
        <v>237.64646718446005</v>
      </c>
      <c r="AO46" s="59">
        <f t="shared" si="36"/>
        <v>156.67965022779907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2.5763895259160443</v>
      </c>
      <c r="AV46" s="21">
        <f>EXP(-LN(2)/25)*AV45+(1-EXP(-LN(2)/25))/(LN(2)/25)*Calculateur!AQ46*Calculateur!AS46*VLOOKUP('Données projet'!$B$10,Paramètres!$A$1:$I$89,3,0)*0.475*44/12</f>
        <v>2.9256992120943308</v>
      </c>
      <c r="AW46" s="21">
        <f>EXP(-LN(2)/2)*AW45+(1-EXP(-LN(2)/2))/(LN(2)/2)*AQ46*AT46*VLOOKUP('Données projet'!$B$10,Paramètres!$A$1:$I$89,3,0)*0.475*44/12</f>
        <v>6.7426178229065006E-2</v>
      </c>
      <c r="AX46" s="21">
        <f t="shared" si="6"/>
        <v>5.5695149162394397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188.59999999999997</v>
      </c>
      <c r="BE46" s="13">
        <f>BD46*VLOOKUP('Données projet'!$B$11,Paramètres!$A$1:$I$89,3,0)*VLOOKUP('Données projet'!$B$11,Paramètres!$A$1:$I$89,5,0)</f>
        <v>123.57071999999998</v>
      </c>
      <c r="BF46" s="13">
        <f t="shared" si="37"/>
        <v>32.506384557027673</v>
      </c>
      <c r="BG46" s="20">
        <f t="shared" si="7"/>
        <v>271.83429043682321</v>
      </c>
      <c r="BH46" s="59">
        <f t="shared" si="8"/>
        <v>565.16762377015652</v>
      </c>
      <c r="BI46" s="59">
        <f ca="1">AVERAGE(OFFSET($BH$3,0,0,'Données projet'!$E$11+1,1))-AVERAGE(OFFSET($H$3,0,0,'Données projet'!$E$11+1,1))</f>
        <v>172.9177436650786</v>
      </c>
      <c r="BJ46" s="59">
        <f t="shared" si="38"/>
        <v>173.73622806725865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1.2846838710119954</v>
      </c>
      <c r="BQ46" s="21">
        <f>EXP(-LN(2)/25)*BQ45+(1-EXP(-LN(2)/25))/(LN(2)/25)*Calculateur!BL46*Calculateur!BN46*VLOOKUP('Données projet'!$B$11,Paramètres!$A$1:$I$89,3,0)*0.475*44/12</f>
        <v>7.960886914614691</v>
      </c>
      <c r="BR46" s="21">
        <f>EXP(-LN(2)/2)*BR45+(1-EXP(-LN(2)/2))/(LN(2)/2)*BL46*BO46*VLOOKUP('Données projet'!$B$11,Paramètres!$A$1:$I$89,3,0)*0.475*44/12</f>
        <v>9.3009513447239803E-2</v>
      </c>
      <c r="BS46" s="22">
        <f t="shared" si="9"/>
        <v>9.3385802990739268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19</v>
      </c>
      <c r="BY46" s="12">
        <f>IF('Données projet'!$A$114&gt;35,BY45+BX46-CG45,IF(A46&lt;'Données projet'!$A$114,$BV$205^A46,IF(A46='Données projet'!$A$114,'Données projet'!$B$114,BY45+BX46-CG45)))</f>
        <v>280.00000000000006</v>
      </c>
      <c r="BZ46" s="13">
        <f>BY46*VLOOKUP('Données projet'!$B$12,Paramètres!$A$1:$I$89,3,0)*VLOOKUP('Données projet'!$B$12,Paramètres!$A$1:$I$89,5,0)</f>
        <v>167.44000000000005</v>
      </c>
      <c r="CA46" s="13">
        <f t="shared" si="39"/>
        <v>42.516163405082935</v>
      </c>
      <c r="CB46" s="20">
        <f t="shared" si="10"/>
        <v>365.67365126385283</v>
      </c>
      <c r="CC46" s="59">
        <f t="shared" si="11"/>
        <v>659.00698459718615</v>
      </c>
      <c r="CD46" s="59">
        <f ca="1">AVERAGE(OFFSET($CC$3,0,0,'Données projet'!$E$12+1,1))-AVERAGE(OFFSET($H$3,0,0,'Données projet'!$E$12+1,1))</f>
        <v>289.07218105343333</v>
      </c>
      <c r="CE46" s="59">
        <f t="shared" si="40"/>
        <v>217.57508587672368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0.93823111161923312</v>
      </c>
      <c r="CL46" s="21">
        <f>EXP(-LN(2)/25)*CL45+(1-EXP(-LN(2)/25))/(LN(2)/25)*Calculateur!CG46*Calculateur!CI46*VLOOKUP('Données projet'!$B$12,Paramètres!$A$1:$I$89,3,0)*0.475*44/12</f>
        <v>4.5836475992039087</v>
      </c>
      <c r="CM46" s="21">
        <f>EXP(-LN(2)/2)*CM45+(1-EXP(-LN(2)/2))/(LN(2)/2)*CG46*CJ46*VLOOKUP('Données projet'!$B$12,Paramètres!$A$1:$I$89,3,0)*0.475*44/12</f>
        <v>8.5291562799594253E-2</v>
      </c>
      <c r="CN46" s="22">
        <f t="shared" si="12"/>
        <v>5.607170273622736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149.60000000000005</v>
      </c>
      <c r="O47" s="13">
        <f>N47*VLOOKUP('Données projet'!$B$9,Paramètres!$A$1:$I$89,3,0)*VLOOKUP('Données projet'!$B$9,Paramètres!$A$1:$I$89,5,0)</f>
        <v>151.69440000000006</v>
      </c>
      <c r="P47" s="13">
        <f t="shared" si="33"/>
        <v>38.963392010880654</v>
      </c>
      <c r="Q47" s="20">
        <f t="shared" si="53"/>
        <v>332.06232108561721</v>
      </c>
      <c r="R47" s="59">
        <f t="shared" si="0"/>
        <v>625.39565441895047</v>
      </c>
      <c r="S47" s="59">
        <f ca="1">AVERAGE(OFFSET($R$3,0,0,'Données projet'!$E$9+1,1))-AVERAGE(OFFSET($H$3,0,0,'Données projet'!$E$9+1,1))</f>
        <v>272.93635583300755</v>
      </c>
      <c r="T47" s="59">
        <f t="shared" si="34"/>
        <v>179.56041631665812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2.8307142486050476</v>
      </c>
      <c r="AA47" s="21">
        <f>EXP(-LN(2)/25)*AA46+(1-EXP(-LN(2)/25))/(LN(2)/25)*Calculateur!V47*Calculateur!X47*VLOOKUP('Données projet'!$B$9,Paramètres!$A$1:$I$89,3,0)*0.475*44/12</f>
        <v>3.189141859714578</v>
      </c>
      <c r="AB47" s="21">
        <f>EXP(-LN(2)/2)*AB46+(1-EXP(-LN(2)/2))/(LN(2)/2)*V47*Y47*VLOOKUP('Données projet'!$B$9,Paramètres!$A$1:$I$89,3,0)*0.475*44/12</f>
        <v>5.343168983779658E-2</v>
      </c>
      <c r="AC47" s="22">
        <f t="shared" si="3"/>
        <v>6.0732877981574225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135.35808000000006</v>
      </c>
      <c r="AK47" s="13">
        <f t="shared" si="35"/>
        <v>35.231528980112834</v>
      </c>
      <c r="AL47" s="20">
        <f t="shared" si="4"/>
        <v>297.11023564036327</v>
      </c>
      <c r="AM47" s="59">
        <f t="shared" si="5"/>
        <v>590.44356897369653</v>
      </c>
      <c r="AN47" s="59">
        <f ca="1">AVERAGE(OFFSET($AM$3,0,0,'Données projet'!$E$10+1,1))-AVERAGE(OFFSET($H$3,0,0,'Données projet'!$E$10+1,1))</f>
        <v>237.64646718446005</v>
      </c>
      <c r="AO47" s="59">
        <f t="shared" si="36"/>
        <v>156.67965022779907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2.5258680987552746</v>
      </c>
      <c r="AV47" s="21">
        <f>EXP(-LN(2)/25)*AV46+(1-EXP(-LN(2)/25))/(LN(2)/25)*Calculateur!AQ47*Calculateur!AS47*VLOOKUP('Données projet'!$B$10,Paramètres!$A$1:$I$89,3,0)*0.475*44/12</f>
        <v>2.8456958132837764</v>
      </c>
      <c r="AW47" s="21">
        <f>EXP(-LN(2)/2)*AW46+(1-EXP(-LN(2)/2))/(LN(2)/2)*AQ47*AT47*VLOOKUP('Données projet'!$B$10,Paramètres!$A$1:$I$89,3,0)*0.475*44/12</f>
        <v>4.7677507855264624E-2</v>
      </c>
      <c r="AX47" s="21">
        <f t="shared" si="6"/>
        <v>5.4192414198943153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196.79999999999995</v>
      </c>
      <c r="BE47" s="13">
        <f>BD47*VLOOKUP('Données projet'!$B$11,Paramètres!$A$1:$I$89,3,0)*VLOOKUP('Données projet'!$B$11,Paramètres!$A$1:$I$89,5,0)</f>
        <v>128.94335999999996</v>
      </c>
      <c r="BF47" s="13">
        <f t="shared" si="37"/>
        <v>33.752085002132162</v>
      </c>
      <c r="BG47" s="20">
        <f t="shared" si="7"/>
        <v>283.36123337871345</v>
      </c>
      <c r="BH47" s="59">
        <f t="shared" si="8"/>
        <v>576.69456671204671</v>
      </c>
      <c r="BI47" s="59">
        <f ca="1">AVERAGE(OFFSET($BH$3,0,0,'Données projet'!$E$11+1,1))-AVERAGE(OFFSET($H$3,0,0,'Données projet'!$E$11+1,1))</f>
        <v>172.9177436650786</v>
      </c>
      <c r="BJ47" s="59">
        <f t="shared" si="38"/>
        <v>173.73622806725865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1.2594920038812394</v>
      </c>
      <c r="BQ47" s="21">
        <f>EXP(-LN(2)/25)*BQ46+(1-EXP(-LN(2)/25))/(LN(2)/25)*Calculateur!BL47*Calculateur!BN47*VLOOKUP('Données projet'!$B$11,Paramètres!$A$1:$I$89,3,0)*0.475*44/12</f>
        <v>7.7431960432897045</v>
      </c>
      <c r="BR47" s="21">
        <f>EXP(-LN(2)/2)*BR46+(1-EXP(-LN(2)/2))/(LN(2)/2)*BL47*BO47*VLOOKUP('Données projet'!$B$11,Paramètres!$A$1:$I$89,3,0)*0.475*44/12</f>
        <v>6.5767657673404645E-2</v>
      </c>
      <c r="BS47" s="22">
        <f t="shared" si="9"/>
        <v>9.0684557048443484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19</v>
      </c>
      <c r="BY47" s="12">
        <f>IF('Données projet'!$A$114&gt;35,BY46+BX47-CG46,IF(A47&lt;'Données projet'!$A$114,$BV$205^A47,IF(A47='Données projet'!$A$114,'Données projet'!$B$114,BY46+BX47-CG46)))</f>
        <v>299.00000000000006</v>
      </c>
      <c r="BZ47" s="13">
        <f>BY47*VLOOKUP('Données projet'!$B$12,Paramètres!$A$1:$I$89,3,0)*VLOOKUP('Données projet'!$B$12,Paramètres!$A$1:$I$89,5,0)</f>
        <v>178.80200000000002</v>
      </c>
      <c r="CA47" s="13">
        <f t="shared" si="39"/>
        <v>45.055549739375941</v>
      </c>
      <c r="CB47" s="20">
        <f t="shared" si="10"/>
        <v>389.88523246274644</v>
      </c>
      <c r="CC47" s="59">
        <f t="shared" si="11"/>
        <v>683.2185657960797</v>
      </c>
      <c r="CD47" s="59">
        <f ca="1">AVERAGE(OFFSET($CC$3,0,0,'Données projet'!$E$12+1,1))-AVERAGE(OFFSET($H$3,0,0,'Données projet'!$E$12+1,1))</f>
        <v>289.07218105343333</v>
      </c>
      <c r="CE47" s="59">
        <f t="shared" si="40"/>
        <v>217.57508587672368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0.91983297178485157</v>
      </c>
      <c r="CL47" s="21">
        <f>EXP(-LN(2)/25)*CL46+(1-EXP(-LN(2)/25))/(LN(2)/25)*Calculateur!CG47*Calculateur!CI47*VLOOKUP('Données projet'!$B$12,Paramètres!$A$1:$I$89,3,0)*0.475*44/12</f>
        <v>4.4583075145601265</v>
      </c>
      <c r="CM47" s="21">
        <f>EXP(-LN(2)/2)*CM46+(1-EXP(-LN(2)/2))/(LN(2)/2)*CG47*CJ47*VLOOKUP('Données projet'!$B$12,Paramètres!$A$1:$I$89,3,0)*0.475*44/12</f>
        <v>6.0310242433591371E-2</v>
      </c>
      <c r="CN47" s="22">
        <f t="shared" si="12"/>
        <v>5.4384507287785695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158.00000000000006</v>
      </c>
      <c r="O48" s="13">
        <f>N48*VLOOKUP('Données projet'!$B$9,Paramètres!$A$1:$I$89,3,0)*VLOOKUP('Données projet'!$B$9,Paramètres!$A$1:$I$89,5,0)</f>
        <v>160.21200000000007</v>
      </c>
      <c r="P48" s="13">
        <f t="shared" si="33"/>
        <v>40.890328912852731</v>
      </c>
      <c r="Q48" s="20">
        <f t="shared" si="53"/>
        <v>350.25322285655193</v>
      </c>
      <c r="R48" s="59">
        <f t="shared" si="0"/>
        <v>643.58655618988519</v>
      </c>
      <c r="S48" s="59">
        <f ca="1">AVERAGE(OFFSET($R$3,0,0,'Données projet'!$E$9+1,1))-AVERAGE(OFFSET($H$3,0,0,'Données projet'!$E$9+1,1))</f>
        <v>272.93635583300755</v>
      </c>
      <c r="T48" s="59">
        <f t="shared" si="34"/>
        <v>179.56041631665812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2.7752056687551101</v>
      </c>
      <c r="AA48" s="21">
        <f>EXP(-LN(2)/25)*AA47+(1-EXP(-LN(2)/25))/(LN(2)/25)*Calculateur!V48*Calculateur!X48*VLOOKUP('Données projet'!$B$9,Paramètres!$A$1:$I$89,3,0)*0.475*44/12</f>
        <v>3.1019346078510015</v>
      </c>
      <c r="AB48" s="21">
        <f>EXP(-LN(2)/2)*AB47+(1-EXP(-LN(2)/2))/(LN(2)/2)*V48*Y48*VLOOKUP('Données projet'!$B$9,Paramètres!$A$1:$I$89,3,0)*0.475*44/12</f>
        <v>3.77819102145623E-2</v>
      </c>
      <c r="AC48" s="22">
        <f t="shared" si="3"/>
        <v>5.9149221868206734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142.95840000000004</v>
      </c>
      <c r="AK48" s="13">
        <f t="shared" si="35"/>
        <v>36.973906370811264</v>
      </c>
      <c r="AL48" s="20">
        <f t="shared" si="4"/>
        <v>313.38210026249641</v>
      </c>
      <c r="AM48" s="59">
        <f t="shared" si="5"/>
        <v>606.71543359582972</v>
      </c>
      <c r="AN48" s="59">
        <f ca="1">AVERAGE(OFFSET($AM$3,0,0,'Données projet'!$E$10+1,1))-AVERAGE(OFFSET($H$3,0,0,'Données projet'!$E$10+1,1))</f>
        <v>237.64646718446005</v>
      </c>
      <c r="AO48" s="59">
        <f t="shared" si="36"/>
        <v>156.67965022779907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2.4763373659660997</v>
      </c>
      <c r="AV48" s="21">
        <f>EXP(-LN(2)/25)*AV47+(1-EXP(-LN(2)/25))/(LN(2)/25)*Calculateur!AQ48*Calculateur!AS48*VLOOKUP('Données projet'!$B$10,Paramètres!$A$1:$I$89,3,0)*0.475*44/12</f>
        <v>2.7678801116208929</v>
      </c>
      <c r="AW48" s="21">
        <f>EXP(-LN(2)/2)*AW47+(1-EXP(-LN(2)/2))/(LN(2)/2)*AQ48*AT48*VLOOKUP('Données projet'!$B$10,Paramètres!$A$1:$I$89,3,0)*0.475*44/12</f>
        <v>3.3713089114532503E-2</v>
      </c>
      <c r="AX48" s="21">
        <f t="shared" si="6"/>
        <v>5.2779305667015253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205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204.99999999999994</v>
      </c>
      <c r="BE48" s="13">
        <f>BD48*VLOOKUP('Données projet'!$B$11,Paramètres!$A$1:$I$89,3,0)*VLOOKUP('Données projet'!$B$11,Paramètres!$A$1:$I$89,5,0)</f>
        <v>134.31599999999995</v>
      </c>
      <c r="BF48" s="13">
        <f t="shared" si="37"/>
        <v>34.991756585122445</v>
      </c>
      <c r="BG48" s="20">
        <f t="shared" si="7"/>
        <v>294.87767605242146</v>
      </c>
      <c r="BH48" s="59">
        <f t="shared" si="8"/>
        <v>588.21100938575478</v>
      </c>
      <c r="BI48" s="59">
        <f ca="1">AVERAGE(OFFSET($BH$3,0,0,'Données projet'!$E$11+1,1))-AVERAGE(OFFSET($H$3,0,0,'Données projet'!$E$11+1,1))</f>
        <v>172.9177436650786</v>
      </c>
      <c r="BJ48" s="59">
        <f t="shared" si="38"/>
        <v>173.73622806725865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22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1.2347941338993957</v>
      </c>
      <c r="BQ48" s="21">
        <f>EXP(-LN(2)/25)*BQ47+(1-EXP(-LN(2)/25))/(LN(2)/25)*Calculateur!BL48*Calculateur!BN48*VLOOKUP('Données projet'!$B$11,Paramètres!$A$1:$I$89,3,0)*0.475*44/12</f>
        <v>7.5314579402889645</v>
      </c>
      <c r="BR48" s="21">
        <f>EXP(-LN(2)/2)*BR47+(1-EXP(-LN(2)/2))/(LN(2)/2)*BL48*BO48*VLOOKUP('Données projet'!$B$11,Paramètres!$A$1:$I$89,3,0)*0.475*44/12</f>
        <v>4.6504756723619901E-2</v>
      </c>
      <c r="BS48" s="22">
        <f t="shared" si="9"/>
        <v>8.8127568309119795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318</v>
      </c>
      <c r="BW48" s="12">
        <f>VLOOKUP(A48,'Données projet'!$A$113:$I$133,9,0)</f>
        <v>19</v>
      </c>
      <c r="BX48" s="12">
        <f t="array" ref="BX48">INDEX(BW:BW,MIN(IF(ISNUMBER(BW48:BW244),ROW(BW48:BW244),"")))</f>
        <v>19</v>
      </c>
      <c r="BY48" s="12">
        <f>IF('Données projet'!$A$114&gt;35,BY47+BX48-CG47,IF(A48&lt;'Données projet'!$A$114,$BV$205^A48,IF(A48='Données projet'!$A$114,'Données projet'!$B$114,BY47+BX48-CG47)))</f>
        <v>318.00000000000006</v>
      </c>
      <c r="BZ48" s="13">
        <f>BY48*VLOOKUP('Données projet'!$B$12,Paramètres!$A$1:$I$89,3,0)*VLOOKUP('Données projet'!$B$12,Paramètres!$A$1:$I$89,5,0)</f>
        <v>190.16400000000004</v>
      </c>
      <c r="CA48" s="13">
        <f t="shared" si="39"/>
        <v>47.576209101852911</v>
      </c>
      <c r="CB48" s="20">
        <f t="shared" si="10"/>
        <v>414.06419751906054</v>
      </c>
      <c r="CC48" s="59">
        <f t="shared" si="11"/>
        <v>707.39753085239386</v>
      </c>
      <c r="CD48" s="59">
        <f ca="1">AVERAGE(OFFSET($CC$3,0,0,'Données projet'!$E$12+1,1))-AVERAGE(OFFSET($H$3,0,0,'Données projet'!$E$12+1,1))</f>
        <v>289.07218105343333</v>
      </c>
      <c r="CE48" s="59">
        <f t="shared" si="40"/>
        <v>217.57508587672368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53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0.90179560825086502</v>
      </c>
      <c r="CL48" s="21">
        <f>EXP(-LN(2)/25)*CL47+(1-EXP(-LN(2)/25))/(LN(2)/25)*Calculateur!CG48*Calculateur!CI48*VLOOKUP('Données projet'!$B$12,Paramètres!$A$1:$I$89,3,0)*0.475*44/12</f>
        <v>4.3363948611222769</v>
      </c>
      <c r="CM48" s="21">
        <f>EXP(-LN(2)/2)*CM47+(1-EXP(-LN(2)/2))/(LN(2)/2)*CG48*CJ48*VLOOKUP('Données projet'!$B$12,Paramètres!$A$1:$I$89,3,0)*0.475*44/12</f>
        <v>4.2645781399797127E-2</v>
      </c>
      <c r="CN48" s="22">
        <f t="shared" si="12"/>
        <v>5.2808362507729383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145.20000000000005</v>
      </c>
      <c r="O49" s="13">
        <f>N49*VLOOKUP('Données projet'!$B$9,Paramètres!$A$1:$I$89,3,0)*VLOOKUP('Données projet'!$B$9,Paramètres!$A$1:$I$89,5,0)</f>
        <v>147.23280000000005</v>
      </c>
      <c r="P49" s="13">
        <f t="shared" si="33"/>
        <v>37.949049623906205</v>
      </c>
      <c r="Q49" s="20">
        <f t="shared" si="53"/>
        <v>322.52505476163668</v>
      </c>
      <c r="R49" s="59">
        <f t="shared" si="0"/>
        <v>615.85838809497</v>
      </c>
      <c r="S49" s="59">
        <f ca="1">AVERAGE(OFFSET($R$3,0,0,'Données projet'!$E$9+1,1))-AVERAGE(OFFSET($H$3,0,0,'Données projet'!$E$9+1,1))</f>
        <v>272.93635583300755</v>
      </c>
      <c r="T49" s="59">
        <f t="shared" si="34"/>
        <v>179.56041631665812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2.7207855782991395</v>
      </c>
      <c r="AA49" s="21">
        <f>EXP(-LN(2)/25)*AA48+(1-EXP(-LN(2)/25))/(LN(2)/25)*Calculateur!V49*Calculateur!X49*VLOOKUP('Données projet'!$B$9,Paramètres!$A$1:$I$89,3,0)*0.475*44/12</f>
        <v>3.0171120428756644</v>
      </c>
      <c r="AB49" s="21">
        <f>EXP(-LN(2)/2)*AB48+(1-EXP(-LN(2)/2))/(LN(2)/2)*V49*Y49*VLOOKUP('Données projet'!$B$9,Paramètres!$A$1:$I$89,3,0)*0.475*44/12</f>
        <v>2.671584491889829E-2</v>
      </c>
      <c r="AC49" s="22">
        <f t="shared" si="3"/>
        <v>5.764613466093703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131.37696000000003</v>
      </c>
      <c r="AK49" s="13">
        <f t="shared" si="35"/>
        <v>34.314338988223334</v>
      </c>
      <c r="AL49" s="20">
        <f t="shared" si="4"/>
        <v>288.57901240448905</v>
      </c>
      <c r="AM49" s="59">
        <f t="shared" si="5"/>
        <v>581.91234573782231</v>
      </c>
      <c r="AN49" s="59">
        <f ca="1">AVERAGE(OFFSET($AM$3,0,0,'Données projet'!$E$10+1,1))-AVERAGE(OFFSET($H$3,0,0,'Données projet'!$E$10+1,1))</f>
        <v>237.64646718446005</v>
      </c>
      <c r="AO49" s="59">
        <f t="shared" si="36"/>
        <v>156.67965022779907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2.4277779006361566</v>
      </c>
      <c r="AV49" s="21">
        <f>EXP(-LN(2)/25)*AV48+(1-EXP(-LN(2)/25))/(LN(2)/25)*Calculateur!AQ49*Calculateur!AS49*VLOOKUP('Données projet'!$B$10,Paramètres!$A$1:$I$89,3,0)*0.475*44/12</f>
        <v>2.6921922844121307</v>
      </c>
      <c r="AW49" s="21">
        <f>EXP(-LN(2)/2)*AW48+(1-EXP(-LN(2)/2))/(LN(2)/2)*AQ49*AT49*VLOOKUP('Données projet'!$B$10,Paramètres!$A$1:$I$89,3,0)*0.475*44/12</f>
        <v>2.3838753927632312E-2</v>
      </c>
      <c r="AX49" s="21">
        <f t="shared" si="6"/>
        <v>5.1438089389759192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7.2</v>
      </c>
      <c r="BD49" s="12">
        <f>IF('Données projet'!$A$88&gt;35,BD48+BC49-BL48,IF(A49&lt;'Données projet'!$A$88,$BA$205^A49,IF(A49='Données projet'!$A$88,'Données projet'!$B$88,BD48+BC49-BL48)))</f>
        <v>190.19999999999993</v>
      </c>
      <c r="BE49" s="13">
        <f>BD49*VLOOKUP('Données projet'!$B$11,Paramètres!$A$1:$I$89,3,0)*VLOOKUP('Données projet'!$B$11,Paramètres!$A$1:$I$89,5,0)</f>
        <v>124.61903999999996</v>
      </c>
      <c r="BF49" s="13">
        <f t="shared" si="37"/>
        <v>32.749934965107833</v>
      </c>
      <c r="BG49" s="20">
        <f t="shared" si="7"/>
        <v>274.08429806422936</v>
      </c>
      <c r="BH49" s="59">
        <f t="shared" si="8"/>
        <v>567.41763139756267</v>
      </c>
      <c r="BI49" s="59">
        <f ca="1">AVERAGE(OFFSET($BH$3,0,0,'Données projet'!$E$11+1,1))-AVERAGE(OFFSET($H$3,0,0,'Données projet'!$E$11+1,1))</f>
        <v>172.9177436650786</v>
      </c>
      <c r="BJ49" s="59">
        <f t="shared" si="38"/>
        <v>173.73622806725865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1.2105805740836828</v>
      </c>
      <c r="BQ49" s="21">
        <f>EXP(-LN(2)/25)*BQ48+(1-EXP(-LN(2)/25))/(LN(2)/25)*Calculateur!BL49*Calculateur!BN49*VLOOKUP('Données projet'!$B$11,Paramètres!$A$1:$I$89,3,0)*0.475*44/12</f>
        <v>7.3255098268496033</v>
      </c>
      <c r="BR49" s="21">
        <f>EXP(-LN(2)/2)*BR48+(1-EXP(-LN(2)/2))/(LN(2)/2)*BL49*BO49*VLOOKUP('Données projet'!$B$11,Paramètres!$A$1:$I$89,3,0)*0.475*44/12</f>
        <v>3.2883828836702322E-2</v>
      </c>
      <c r="BS49" s="22">
        <f t="shared" si="9"/>
        <v>8.5689742297699887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17.399999999999999</v>
      </c>
      <c r="BY49" s="12">
        <f>IF('Données projet'!$A$114&gt;35,BY48+BX49-CG48,IF(A49&lt;'Données projet'!$A$114,$BV$205^A49,IF(A49='Données projet'!$A$114,'Données projet'!$B$114,BY48+BX49-CG48)))</f>
        <v>282.40000000000003</v>
      </c>
      <c r="BZ49" s="13">
        <f>BY49*VLOOKUP('Données projet'!$B$12,Paramètres!$A$1:$I$89,3,0)*VLOOKUP('Données projet'!$B$12,Paramètres!$A$1:$I$89,5,0)</f>
        <v>168.87520000000004</v>
      </c>
      <c r="CA49" s="13">
        <f t="shared" si="39"/>
        <v>42.838008554673955</v>
      </c>
      <c r="CB49" s="20">
        <f t="shared" si="10"/>
        <v>368.73383823272388</v>
      </c>
      <c r="CC49" s="59">
        <f t="shared" si="11"/>
        <v>662.06717156605714</v>
      </c>
      <c r="CD49" s="59">
        <f ca="1">AVERAGE(OFFSET($CC$3,0,0,'Données projet'!$E$12+1,1))-AVERAGE(OFFSET($H$3,0,0,'Données projet'!$E$12+1,1))</f>
        <v>289.07218105343333</v>
      </c>
      <c r="CE49" s="59">
        <f t="shared" si="40"/>
        <v>217.57508587672368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0.88411194641407453</v>
      </c>
      <c r="CL49" s="21">
        <f>EXP(-LN(2)/25)*CL48+(1-EXP(-LN(2)/25))/(LN(2)/25)*Calculateur!CG49*Calculateur!CI49*VLOOKUP('Données projet'!$B$12,Paramètres!$A$1:$I$89,3,0)*0.475*44/12</f>
        <v>4.2178159156037935</v>
      </c>
      <c r="CM49" s="21">
        <f>EXP(-LN(2)/2)*CM48+(1-EXP(-LN(2)/2))/(LN(2)/2)*CG49*CJ49*VLOOKUP('Données projet'!$B$12,Paramètres!$A$1:$I$89,3,0)*0.475*44/12</f>
        <v>3.0155121216795686E-2</v>
      </c>
      <c r="CN49" s="22">
        <f t="shared" si="12"/>
        <v>5.1320829832346639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153.40000000000003</v>
      </c>
      <c r="O50" s="13">
        <f>N50*VLOOKUP('Données projet'!$B$9,Paramètres!$A$1:$I$89,3,0)*VLOOKUP('Données projet'!$B$9,Paramètres!$A$1:$I$89,5,0)</f>
        <v>155.54760000000005</v>
      </c>
      <c r="P50" s="13">
        <f t="shared" si="33"/>
        <v>39.836620617816237</v>
      </c>
      <c r="Q50" s="20">
        <f t="shared" si="53"/>
        <v>340.29418424269664</v>
      </c>
      <c r="R50" s="59">
        <f t="shared" si="0"/>
        <v>633.62751757602996</v>
      </c>
      <c r="S50" s="59">
        <f ca="1">AVERAGE(OFFSET($R$3,0,0,'Données projet'!$E$9+1,1))-AVERAGE(OFFSET($H$3,0,0,'Données projet'!$E$9+1,1))</f>
        <v>272.93635583300755</v>
      </c>
      <c r="T50" s="59">
        <f t="shared" si="34"/>
        <v>179.56041631665812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2.6674326326240325</v>
      </c>
      <c r="AA50" s="21">
        <f>EXP(-LN(2)/25)*AA49+(1-EXP(-LN(2)/25))/(LN(2)/25)*Calculateur!V50*Calculateur!X50*VLOOKUP('Données projet'!$B$9,Paramètres!$A$1:$I$89,3,0)*0.475*44/12</f>
        <v>2.9346089554002028</v>
      </c>
      <c r="AB50" s="21">
        <f>EXP(-LN(2)/2)*AB49+(1-EXP(-LN(2)/2))/(LN(2)/2)*V50*Y50*VLOOKUP('Données projet'!$B$9,Paramètres!$A$1:$I$89,3,0)*0.475*44/12</f>
        <v>1.889095510728115E-2</v>
      </c>
      <c r="AC50" s="22">
        <f t="shared" si="3"/>
        <v>5.6209325431315165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138.79632000000001</v>
      </c>
      <c r="AK50" s="13">
        <f t="shared" si="35"/>
        <v>36.021120886354588</v>
      </c>
      <c r="AL50" s="20">
        <f t="shared" si="4"/>
        <v>304.47370954373423</v>
      </c>
      <c r="AM50" s="59">
        <f t="shared" si="5"/>
        <v>597.80704287706749</v>
      </c>
      <c r="AN50" s="59">
        <f ca="1">AVERAGE(OFFSET($AM$3,0,0,'Données projet'!$E$10+1,1))-AVERAGE(OFFSET($H$3,0,0,'Données projet'!$E$10+1,1))</f>
        <v>237.64646718446005</v>
      </c>
      <c r="AO50" s="59">
        <f t="shared" si="36"/>
        <v>156.67965022779907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2.3801706568029841</v>
      </c>
      <c r="AV50" s="21">
        <f>EXP(-LN(2)/25)*AV49+(1-EXP(-LN(2)/25))/(LN(2)/25)*Calculateur!AQ50*Calculateur!AS50*VLOOKUP('Données projet'!$B$10,Paramètres!$A$1:$I$89,3,0)*0.475*44/12</f>
        <v>2.6185741448186417</v>
      </c>
      <c r="AW50" s="21">
        <f>EXP(-LN(2)/2)*AW49+(1-EXP(-LN(2)/2))/(LN(2)/2)*AQ50*AT50*VLOOKUP('Données projet'!$B$10,Paramètres!$A$1:$I$89,3,0)*0.475*44/12</f>
        <v>1.6856544557266252E-2</v>
      </c>
      <c r="AX50" s="21">
        <f t="shared" si="6"/>
        <v>5.0156013461788929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7.2</v>
      </c>
      <c r="BD50" s="12">
        <f>IF('Données projet'!$A$88&gt;35,BD49+BC50-BL49,IF(A50&lt;'Données projet'!$A$88,$BA$205^A50,IF(A50='Données projet'!$A$88,'Données projet'!$B$88,BD49+BC50-BL49)))</f>
        <v>197.39999999999992</v>
      </c>
      <c r="BE50" s="13">
        <f>BD50*VLOOKUP('Données projet'!$B$11,Paramètres!$A$1:$I$89,3,0)*VLOOKUP('Données projet'!$B$11,Paramètres!$A$1:$I$89,5,0)</f>
        <v>129.33647999999994</v>
      </c>
      <c r="BF50" s="13">
        <f t="shared" si="37"/>
        <v>33.84299371090448</v>
      </c>
      <c r="BG50" s="20">
        <f t="shared" si="7"/>
        <v>284.20425004649184</v>
      </c>
      <c r="BH50" s="59">
        <f t="shared" si="8"/>
        <v>577.53758337982515</v>
      </c>
      <c r="BI50" s="59">
        <f ca="1">AVERAGE(OFFSET($BH$3,0,0,'Données projet'!$E$11+1,1))-AVERAGE(OFFSET($H$3,0,0,'Données projet'!$E$11+1,1))</f>
        <v>172.9177436650786</v>
      </c>
      <c r="BJ50" s="59">
        <f t="shared" si="38"/>
        <v>173.73622806725865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1.1868418274071428</v>
      </c>
      <c r="BQ50" s="21">
        <f>EXP(-LN(2)/25)*BQ49+(1-EXP(-LN(2)/25))/(LN(2)/25)*Calculateur!BL50*Calculateur!BN50*VLOOKUP('Données projet'!$B$11,Paramètres!$A$1:$I$89,3,0)*0.475*44/12</f>
        <v>7.1251933754025814</v>
      </c>
      <c r="BR50" s="21">
        <f>EXP(-LN(2)/2)*BR49+(1-EXP(-LN(2)/2))/(LN(2)/2)*BL50*BO50*VLOOKUP('Données projet'!$B$11,Paramètres!$A$1:$I$89,3,0)*0.475*44/12</f>
        <v>2.3252378361809951E-2</v>
      </c>
      <c r="BS50" s="22">
        <f t="shared" si="9"/>
        <v>8.335287581171535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17.399999999999999</v>
      </c>
      <c r="BY50" s="12">
        <f>IF('Données projet'!$A$114&gt;35,BY49+BX50-CG49,IF(A50&lt;'Données projet'!$A$114,$BV$205^A50,IF(A50='Données projet'!$A$114,'Données projet'!$B$114,BY49+BX50-CG49)))</f>
        <v>299.8</v>
      </c>
      <c r="BZ50" s="13">
        <f>BY50*VLOOKUP('Données projet'!$B$12,Paramètres!$A$1:$I$89,3,0)*VLOOKUP('Données projet'!$B$12,Paramètres!$A$1:$I$89,5,0)</f>
        <v>179.28040000000001</v>
      </c>
      <c r="CA50" s="13">
        <f t="shared" si="39"/>
        <v>45.162051118824294</v>
      </c>
      <c r="CB50" s="20">
        <f t="shared" si="10"/>
        <v>390.90393569861902</v>
      </c>
      <c r="CC50" s="59">
        <f t="shared" si="11"/>
        <v>684.23726903195234</v>
      </c>
      <c r="CD50" s="59">
        <f ca="1">AVERAGE(OFFSET($CC$3,0,0,'Données projet'!$E$12+1,1))-AVERAGE(OFFSET($H$3,0,0,'Données projet'!$E$12+1,1))</f>
        <v>289.07218105343333</v>
      </c>
      <c r="CE50" s="59">
        <f t="shared" si="40"/>
        <v>217.57508587672368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0.86677505039993485</v>
      </c>
      <c r="CL50" s="21">
        <f>EXP(-LN(2)/25)*CL49+(1-EXP(-LN(2)/25))/(LN(2)/25)*Calculateur!CG50*Calculateur!CI50*VLOOKUP('Données projet'!$B$12,Paramètres!$A$1:$I$89,3,0)*0.475*44/12</f>
        <v>4.1024795175863087</v>
      </c>
      <c r="CM50" s="21">
        <f>EXP(-LN(2)/2)*CM49+(1-EXP(-LN(2)/2))/(LN(2)/2)*CG50*CJ50*VLOOKUP('Données projet'!$B$12,Paramètres!$A$1:$I$89,3,0)*0.475*44/12</f>
        <v>2.1322890699898563E-2</v>
      </c>
      <c r="CN50" s="22">
        <f t="shared" si="12"/>
        <v>4.9905774586861416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161.60000000000002</v>
      </c>
      <c r="O51" s="13">
        <f>N51*VLOOKUP('Données projet'!$B$9,Paramètres!$A$1:$I$89,3,0)*VLOOKUP('Données projet'!$B$9,Paramètres!$A$1:$I$89,5,0)</f>
        <v>163.86240000000004</v>
      </c>
      <c r="P51" s="13">
        <f t="shared" si="33"/>
        <v>41.712477409029084</v>
      </c>
      <c r="Q51" s="20">
        <f t="shared" si="53"/>
        <v>358.0429114873923</v>
      </c>
      <c r="R51" s="59">
        <f t="shared" si="0"/>
        <v>651.37624482072556</v>
      </c>
      <c r="S51" s="59">
        <f ca="1">AVERAGE(OFFSET($R$3,0,0,'Données projet'!$E$9+1,1))-AVERAGE(OFFSET($H$3,0,0,'Données projet'!$E$9+1,1))</f>
        <v>272.93635583300755</v>
      </c>
      <c r="T51" s="59">
        <f t="shared" si="34"/>
        <v>179.56041631665812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2.615125905671531</v>
      </c>
      <c r="AA51" s="21">
        <f>EXP(-LN(2)/25)*AA50+(1-EXP(-LN(2)/25))/(LN(2)/25)*Calculateur!V51*Calculateur!X51*VLOOKUP('Données projet'!$B$9,Paramètres!$A$1:$I$89,3,0)*0.475*44/12</f>
        <v>2.8543619191904064</v>
      </c>
      <c r="AB51" s="21">
        <f>EXP(-LN(2)/2)*AB50+(1-EXP(-LN(2)/2))/(LN(2)/2)*V51*Y51*VLOOKUP('Données projet'!$B$9,Paramètres!$A$1:$I$89,3,0)*0.475*44/12</f>
        <v>1.3357922459449145E-2</v>
      </c>
      <c r="AC51" s="22">
        <f t="shared" si="3"/>
        <v>5.4828457473213872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146.21568000000002</v>
      </c>
      <c r="AK51" s="13">
        <f t="shared" si="35"/>
        <v>37.717310552893402</v>
      </c>
      <c r="AL51" s="20">
        <f t="shared" si="4"/>
        <v>320.34995854628937</v>
      </c>
      <c r="AM51" s="59">
        <f t="shared" si="5"/>
        <v>613.68329187962263</v>
      </c>
      <c r="AN51" s="59">
        <f ca="1">AVERAGE(OFFSET($AM$3,0,0,'Données projet'!$E$10+1,1))-AVERAGE(OFFSET($H$3,0,0,'Données projet'!$E$10+1,1))</f>
        <v>237.64646718446005</v>
      </c>
      <c r="AO51" s="59">
        <f t="shared" si="36"/>
        <v>156.67965022779907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2.3334969619838288</v>
      </c>
      <c r="AV51" s="21">
        <f>EXP(-LN(2)/25)*AV50+(1-EXP(-LN(2)/25))/(LN(2)/25)*Calculateur!AQ51*Calculateur!AS51*VLOOKUP('Données projet'!$B$10,Paramètres!$A$1:$I$89,3,0)*0.475*44/12</f>
        <v>2.5469690971237466</v>
      </c>
      <c r="AW51" s="21">
        <f>EXP(-LN(2)/2)*AW50+(1-EXP(-LN(2)/2))/(LN(2)/2)*AQ51*AT51*VLOOKUP('Données projet'!$B$10,Paramètres!$A$1:$I$89,3,0)*0.475*44/12</f>
        <v>1.1919376963816156E-2</v>
      </c>
      <c r="AX51" s="21">
        <f t="shared" si="6"/>
        <v>4.8923854360713923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7.2</v>
      </c>
      <c r="BD51" s="12">
        <f>IF('Données projet'!$A$88&gt;35,BD50+BC51-BL50,IF(A51&lt;'Données projet'!$A$88,$BA$205^A51,IF(A51='Données projet'!$A$88,'Données projet'!$B$88,BD50+BC51-BL50)))</f>
        <v>204.59999999999991</v>
      </c>
      <c r="BE51" s="13">
        <f>BD51*VLOOKUP('Données projet'!$B$11,Paramètres!$A$1:$I$89,3,0)*VLOOKUP('Données projet'!$B$11,Paramètres!$A$1:$I$89,5,0)</f>
        <v>134.05391999999995</v>
      </c>
      <c r="BF51" s="13">
        <f t="shared" si="37"/>
        <v>34.931420526916924</v>
      </c>
      <c r="BG51" s="20">
        <f t="shared" si="7"/>
        <v>294.31613475104683</v>
      </c>
      <c r="BH51" s="59">
        <f t="shared" si="8"/>
        <v>587.64946808438015</v>
      </c>
      <c r="BI51" s="59">
        <f ca="1">AVERAGE(OFFSET($BH$3,0,0,'Données projet'!$E$11+1,1))-AVERAGE(OFFSET($H$3,0,0,'Données projet'!$E$11+1,1))</f>
        <v>172.9177436650786</v>
      </c>
      <c r="BJ51" s="59">
        <f t="shared" si="38"/>
        <v>173.73622806725865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1.1635685830737241</v>
      </c>
      <c r="BQ51" s="21">
        <f>EXP(-LN(2)/25)*BQ50+(1-EXP(-LN(2)/25))/(LN(2)/25)*Calculateur!BL51*Calculateur!BN51*VLOOKUP('Données projet'!$B$11,Paramètres!$A$1:$I$89,3,0)*0.475*44/12</f>
        <v>6.9303545878545627</v>
      </c>
      <c r="BR51" s="21">
        <f>EXP(-LN(2)/2)*BR50+(1-EXP(-LN(2)/2))/(LN(2)/2)*BL51*BO51*VLOOKUP('Données projet'!$B$11,Paramètres!$A$1:$I$89,3,0)*0.475*44/12</f>
        <v>1.6441914418351161E-2</v>
      </c>
      <c r="BS51" s="22">
        <f t="shared" si="9"/>
        <v>8.110365085346638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17.399999999999999</v>
      </c>
      <c r="BY51" s="12">
        <f>IF('Données projet'!$A$114&gt;35,BY50+BX51-CG50,IF(A51&lt;'Données projet'!$A$114,$BV$205^A51,IF(A51='Données projet'!$A$114,'Données projet'!$B$114,BY50+BX51-CG50)))</f>
        <v>317.2</v>
      </c>
      <c r="BZ51" s="13">
        <f>BY51*VLOOKUP('Données projet'!$B$12,Paramètres!$A$1:$I$89,3,0)*VLOOKUP('Données projet'!$B$12,Paramètres!$A$1:$I$89,5,0)</f>
        <v>189.68560000000002</v>
      </c>
      <c r="CA51" s="13">
        <f t="shared" si="39"/>
        <v>47.470436776872745</v>
      </c>
      <c r="CB51" s="20">
        <f t="shared" si="10"/>
        <v>413.04676405305344</v>
      </c>
      <c r="CC51" s="59">
        <f t="shared" si="11"/>
        <v>706.38009738638675</v>
      </c>
      <c r="CD51" s="59">
        <f ca="1">AVERAGE(OFFSET($CC$3,0,0,'Données projet'!$E$12+1,1))-AVERAGE(OFFSET($H$3,0,0,'Données projet'!$E$12+1,1))</f>
        <v>289.07218105343333</v>
      </c>
      <c r="CE51" s="59">
        <f t="shared" si="40"/>
        <v>217.57508587672368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0.84977812034217004</v>
      </c>
      <c r="CL51" s="21">
        <f>EXP(-LN(2)/25)*CL50+(1-EXP(-LN(2)/25))/(LN(2)/25)*Calculateur!CG51*Calculateur!CI51*VLOOKUP('Données projet'!$B$12,Paramètres!$A$1:$I$89,3,0)*0.475*44/12</f>
        <v>3.9902969994378896</v>
      </c>
      <c r="CM51" s="21">
        <f>EXP(-LN(2)/2)*CM50+(1-EXP(-LN(2)/2))/(LN(2)/2)*CG51*CJ51*VLOOKUP('Données projet'!$B$12,Paramètres!$A$1:$I$89,3,0)*0.475*44/12</f>
        <v>1.5077560608397843E-2</v>
      </c>
      <c r="CN51" s="22">
        <f t="shared" si="12"/>
        <v>4.855152680388457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169.8</v>
      </c>
      <c r="O52" s="13">
        <f>N52*VLOOKUP('Données projet'!$B$9,Paramètres!$A$1:$I$89,3,0)*VLOOKUP('Données projet'!$B$9,Paramètres!$A$1:$I$89,5,0)</f>
        <v>172.1772</v>
      </c>
      <c r="P52" s="13">
        <f t="shared" si="33"/>
        <v>43.577282221917017</v>
      </c>
      <c r="Q52" s="20">
        <f t="shared" si="53"/>
        <v>375.77238986983883</v>
      </c>
      <c r="R52" s="59">
        <f t="shared" si="0"/>
        <v>669.10572320317215</v>
      </c>
      <c r="S52" s="59">
        <f ca="1">AVERAGE(OFFSET($R$3,0,0,'Données projet'!$E$9+1,1))-AVERAGE(OFFSET($H$3,0,0,'Données projet'!$E$9+1,1))</f>
        <v>272.93635583300755</v>
      </c>
      <c r="T52" s="59">
        <f t="shared" si="34"/>
        <v>179.56041631665812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2.5638448817306148</v>
      </c>
      <c r="AA52" s="21">
        <f>EXP(-LN(2)/25)*AA51+(1-EXP(-LN(2)/25))/(LN(2)/25)*Calculateur!V52*Calculateur!X52*VLOOKUP('Données projet'!$B$9,Paramètres!$A$1:$I$89,3,0)*0.475*44/12</f>
        <v>2.7763092424057749</v>
      </c>
      <c r="AB52" s="21">
        <f>EXP(-LN(2)/2)*AB51+(1-EXP(-LN(2)/2))/(LN(2)/2)*V52*Y52*VLOOKUP('Données projet'!$B$9,Paramètres!$A$1:$I$89,3,0)*0.475*44/12</f>
        <v>9.4454775536405751E-3</v>
      </c>
      <c r="AC52" s="22">
        <f t="shared" si="3"/>
        <v>5.3495996016900307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153.63504</v>
      </c>
      <c r="AK52" s="13">
        <f t="shared" si="35"/>
        <v>39.403506785222667</v>
      </c>
      <c r="AL52" s="20">
        <f t="shared" si="4"/>
        <v>336.20880231759617</v>
      </c>
      <c r="AM52" s="59">
        <f t="shared" si="5"/>
        <v>629.54213565092948</v>
      </c>
      <c r="AN52" s="59">
        <f ca="1">AVERAGE(OFFSET($AM$3,0,0,'Données projet'!$E$10+1,1))-AVERAGE(OFFSET($H$3,0,0,'Données projet'!$E$10+1,1))</f>
        <v>237.64646718446005</v>
      </c>
      <c r="AO52" s="59">
        <f t="shared" si="36"/>
        <v>156.67965022779907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2.2877385098519345</v>
      </c>
      <c r="AV52" s="21">
        <f>EXP(-LN(2)/25)*AV51+(1-EXP(-LN(2)/25))/(LN(2)/25)*Calculateur!AQ52*Calculateur!AS52*VLOOKUP('Données projet'!$B$10,Paramètres!$A$1:$I$89,3,0)*0.475*44/12</f>
        <v>2.4773220932236142</v>
      </c>
      <c r="AW52" s="21">
        <f>EXP(-LN(2)/2)*AW51+(1-EXP(-LN(2)/2))/(LN(2)/2)*AQ52*AT52*VLOOKUP('Données projet'!$B$10,Paramètres!$A$1:$I$89,3,0)*0.475*44/12</f>
        <v>8.4282722786331258E-3</v>
      </c>
      <c r="AX52" s="21">
        <f t="shared" si="6"/>
        <v>4.7734888753541815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7.2</v>
      </c>
      <c r="BD52" s="12">
        <f>IF('Données projet'!$A$88&gt;35,BD51+BC52-BL51,IF(A52&lt;'Données projet'!$A$88,$BA$205^A52,IF(A52='Données projet'!$A$88,'Données projet'!$B$88,BD51+BC52-BL51)))</f>
        <v>211.7999999999999</v>
      </c>
      <c r="BE52" s="13">
        <f>BD52*VLOOKUP('Données projet'!$B$11,Paramètres!$A$1:$I$89,3,0)*VLOOKUP('Données projet'!$B$11,Paramètres!$A$1:$I$89,5,0)</f>
        <v>138.77135999999993</v>
      </c>
      <c r="BF52" s="13">
        <f t="shared" si="37"/>
        <v>36.015397090902717</v>
      </c>
      <c r="BG52" s="20">
        <f t="shared" si="7"/>
        <v>304.42026859998879</v>
      </c>
      <c r="BH52" s="59">
        <f t="shared" si="8"/>
        <v>597.7536019333221</v>
      </c>
      <c r="BI52" s="59">
        <f ca="1">AVERAGE(OFFSET($BH$3,0,0,'Données projet'!$E$11+1,1))-AVERAGE(OFFSET($H$3,0,0,'Données projet'!$E$11+1,1))</f>
        <v>172.9177436650786</v>
      </c>
      <c r="BJ52" s="59">
        <f t="shared" si="38"/>
        <v>173.73622806725865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1.1407517128664064</v>
      </c>
      <c r="BQ52" s="21">
        <f>EXP(-LN(2)/25)*BQ51+(1-EXP(-LN(2)/25))/(LN(2)/25)*Calculateur!BL52*Calculateur!BN52*VLOOKUP('Données projet'!$B$11,Paramètres!$A$1:$I$89,3,0)*0.475*44/12</f>
        <v>6.7408436771981712</v>
      </c>
      <c r="BR52" s="21">
        <f>EXP(-LN(2)/2)*BR51+(1-EXP(-LN(2)/2))/(LN(2)/2)*BL52*BO52*VLOOKUP('Données projet'!$B$11,Paramètres!$A$1:$I$89,3,0)*0.475*44/12</f>
        <v>1.1626189180904975E-2</v>
      </c>
      <c r="BS52" s="22">
        <f t="shared" si="9"/>
        <v>7.8932215792454832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17.399999999999999</v>
      </c>
      <c r="BY52" s="12">
        <f>IF('Données projet'!$A$114&gt;35,BY51+BX52-CG51,IF(A52&lt;'Données projet'!$A$114,$BV$205^A52,IF(A52='Données projet'!$A$114,'Données projet'!$B$114,BY51+BX52-CG51)))</f>
        <v>334.59999999999997</v>
      </c>
      <c r="BZ52" s="13">
        <f>BY52*VLOOKUP('Données projet'!$B$12,Paramètres!$A$1:$I$89,3,0)*VLOOKUP('Données projet'!$B$12,Paramètres!$A$1:$I$89,5,0)</f>
        <v>200.0908</v>
      </c>
      <c r="CA52" s="13">
        <f t="shared" si="39"/>
        <v>49.764122289960234</v>
      </c>
      <c r="CB52" s="20">
        <f t="shared" si="10"/>
        <v>435.16398965501406</v>
      </c>
      <c r="CC52" s="59">
        <f t="shared" si="11"/>
        <v>728.49732298834738</v>
      </c>
      <c r="CD52" s="59">
        <f ca="1">AVERAGE(OFFSET($CC$3,0,0,'Données projet'!$E$12+1,1))-AVERAGE(OFFSET($H$3,0,0,'Données projet'!$E$12+1,1))</f>
        <v>289.07218105343333</v>
      </c>
      <c r="CE52" s="59">
        <f t="shared" si="40"/>
        <v>217.57508587672368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0.83311448971573432</v>
      </c>
      <c r="CL52" s="21">
        <f>EXP(-LN(2)/25)*CL51+(1-EXP(-LN(2)/25))/(LN(2)/25)*Calculateur!CG52*Calculateur!CI52*VLOOKUP('Données projet'!$B$12,Paramètres!$A$1:$I$89,3,0)*0.475*44/12</f>
        <v>3.8811821181476613</v>
      </c>
      <c r="CM52" s="21">
        <f>EXP(-LN(2)/2)*CM51+(1-EXP(-LN(2)/2))/(LN(2)/2)*CG52*CJ52*VLOOKUP('Données projet'!$B$12,Paramètres!$A$1:$I$89,3,0)*0.475*44/12</f>
        <v>1.0661445349949282E-2</v>
      </c>
      <c r="CN52" s="22">
        <f t="shared" si="12"/>
        <v>4.7249580532133457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178</v>
      </c>
      <c r="O53" s="13">
        <f>N53*VLOOKUP('Données projet'!$B$9,Paramètres!$A$1:$I$89,3,0)*VLOOKUP('Données projet'!$B$9,Paramètres!$A$1:$I$89,5,0)</f>
        <v>180.49200000000002</v>
      </c>
      <c r="P53" s="13">
        <f t="shared" si="33"/>
        <v>45.431629706642653</v>
      </c>
      <c r="Q53" s="20">
        <f t="shared" si="53"/>
        <v>393.4836550724026</v>
      </c>
      <c r="R53" s="59">
        <f t="shared" si="0"/>
        <v>686.81698840573586</v>
      </c>
      <c r="S53" s="59">
        <f ca="1">AVERAGE(OFFSET($R$3,0,0,'Données projet'!$E$9+1,1))-AVERAGE(OFFSET($H$3,0,0,'Données projet'!$E$9+1,1))</f>
        <v>272.93635583300755</v>
      </c>
      <c r="T53" s="59">
        <f t="shared" si="34"/>
        <v>179.56041631665812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2.5135694473908439</v>
      </c>
      <c r="AA53" s="21">
        <f>EXP(-LN(2)/25)*AA52+(1-EXP(-LN(2)/25))/(LN(2)/25)*Calculateur!V53*Calculateur!X53*VLOOKUP('Données projet'!$B$9,Paramètres!$A$1:$I$89,3,0)*0.475*44/12</f>
        <v>2.7003909201724312</v>
      </c>
      <c r="AB53" s="21">
        <f>EXP(-LN(2)/2)*AB52+(1-EXP(-LN(2)/2))/(LN(2)/2)*V53*Y53*VLOOKUP('Données projet'!$B$9,Paramètres!$A$1:$I$89,3,0)*0.475*44/12</f>
        <v>6.6789612297245725E-3</v>
      </c>
      <c r="AC53" s="22">
        <f t="shared" si="3"/>
        <v>5.2206393287929993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161.05439999999999</v>
      </c>
      <c r="AK53" s="13">
        <f t="shared" si="35"/>
        <v>41.080247278685491</v>
      </c>
      <c r="AL53" s="20">
        <f t="shared" si="4"/>
        <v>352.05117734371055</v>
      </c>
      <c r="AM53" s="59">
        <f t="shared" si="5"/>
        <v>645.38451067704386</v>
      </c>
      <c r="AN53" s="59">
        <f ca="1">AVERAGE(OFFSET($AM$3,0,0,'Données projet'!$E$10+1,1))-AVERAGE(OFFSET($H$3,0,0,'Données projet'!$E$10+1,1))</f>
        <v>237.64646718446005</v>
      </c>
      <c r="AO53" s="59">
        <f t="shared" si="36"/>
        <v>156.67965022779907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2.2428773530564463</v>
      </c>
      <c r="AV53" s="21">
        <f>EXP(-LN(2)/25)*AV52+(1-EXP(-LN(2)/25))/(LN(2)/25)*Calculateur!AQ53*Calculateur!AS53*VLOOKUP('Données projet'!$B$10,Paramètres!$A$1:$I$89,3,0)*0.475*44/12</f>
        <v>2.4095795903077075</v>
      </c>
      <c r="AW53" s="21">
        <f>EXP(-LN(2)/2)*AW52+(1-EXP(-LN(2)/2))/(LN(2)/2)*AQ53*AT53*VLOOKUP('Données projet'!$B$10,Paramètres!$A$1:$I$89,3,0)*0.475*44/12</f>
        <v>5.959688481908078E-3</v>
      </c>
      <c r="AX53" s="21">
        <f t="shared" si="6"/>
        <v>4.6584166318460616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219</v>
      </c>
      <c r="BB53" s="12">
        <f>VLOOKUP(A53,'Données projet'!$A$87:$I$107,9,0)</f>
        <v>7.2</v>
      </c>
      <c r="BC53" s="12">
        <f t="array" ref="BC53">INDEX(BB:BB,MIN(IF(ISNUMBER(BB53:BB249),ROW(BB53:BB249),"")))</f>
        <v>7.2</v>
      </c>
      <c r="BD53" s="12">
        <f>IF('Données projet'!$A$88&gt;35,BD52+BC53-BL52,IF(A53&lt;'Données projet'!$A$88,$BA$205^A53,IF(A53='Données projet'!$A$88,'Données projet'!$B$88,BD52+BC53-BL52)))</f>
        <v>218.99999999999989</v>
      </c>
      <c r="BE53" s="13">
        <f>BD53*VLOOKUP('Données projet'!$B$11,Paramètres!$A$1:$I$89,3,0)*VLOOKUP('Données projet'!$B$11,Paramètres!$A$1:$I$89,5,0)</f>
        <v>143.48879999999991</v>
      </c>
      <c r="BF53" s="13">
        <f t="shared" si="37"/>
        <v>37.095092027878849</v>
      </c>
      <c r="BG53" s="20">
        <f t="shared" si="7"/>
        <v>314.51694528188881</v>
      </c>
      <c r="BH53" s="59">
        <f t="shared" si="8"/>
        <v>607.85027861522212</v>
      </c>
      <c r="BI53" s="59">
        <f ca="1">AVERAGE(OFFSET($BH$3,0,0,'Données projet'!$E$11+1,1))-AVERAGE(OFFSET($H$3,0,0,'Données projet'!$E$11+1,1))</f>
        <v>172.9177436650786</v>
      </c>
      <c r="BJ53" s="59">
        <f t="shared" si="38"/>
        <v>173.73622806725865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17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1.1183822675669375</v>
      </c>
      <c r="BQ53" s="21">
        <f>EXP(-LN(2)/25)*BQ52+(1-EXP(-LN(2)/25))/(LN(2)/25)*Calculateur!BL53*Calculateur!BN53*VLOOKUP('Données projet'!$B$11,Paramètres!$A$1:$I$89,3,0)*0.475*44/12</f>
        <v>6.5565149523596249</v>
      </c>
      <c r="BR53" s="21">
        <f>EXP(-LN(2)/2)*BR52+(1-EXP(-LN(2)/2))/(LN(2)/2)*BL53*BO53*VLOOKUP('Données projet'!$B$11,Paramètres!$A$1:$I$89,3,0)*0.475*44/12</f>
        <v>8.2209572091755806E-3</v>
      </c>
      <c r="BS53" s="22">
        <f t="shared" si="9"/>
        <v>7.6831181771357375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352</v>
      </c>
      <c r="BW53" s="12">
        <f>VLOOKUP(A53,'Données projet'!$A$113:$I$133,9,0)</f>
        <v>17.399999999999999</v>
      </c>
      <c r="BX53" s="12">
        <f t="array" ref="BX53">INDEX(BW:BW,MIN(IF(ISNUMBER(BW53:BW249),ROW(BW53:BW249),"")))</f>
        <v>17.399999999999999</v>
      </c>
      <c r="BY53" s="12">
        <f>IF('Données projet'!$A$114&gt;35,BY52+BX53-CG52,IF(A53&lt;'Données projet'!$A$114,$BV$205^A53,IF(A53='Données projet'!$A$114,'Données projet'!$B$114,BY52+BX53-CG52)))</f>
        <v>351.99999999999994</v>
      </c>
      <c r="BZ53" s="13">
        <f>BY53*VLOOKUP('Données projet'!$B$12,Paramètres!$A$1:$I$89,3,0)*VLOOKUP('Données projet'!$B$12,Paramètres!$A$1:$I$89,5,0)</f>
        <v>210.49599999999998</v>
      </c>
      <c r="CA53" s="13">
        <f t="shared" si="39"/>
        <v>52.043959291168463</v>
      </c>
      <c r="CB53" s="20">
        <f t="shared" si="10"/>
        <v>457.25709576545165</v>
      </c>
      <c r="CC53" s="59">
        <f t="shared" si="11"/>
        <v>750.59042909878497</v>
      </c>
      <c r="CD53" s="59">
        <f ca="1">AVERAGE(OFFSET($CC$3,0,0,'Données projet'!$E$12+1,1))-AVERAGE(OFFSET($H$3,0,0,'Données projet'!$E$12+1,1))</f>
        <v>289.07218105343333</v>
      </c>
      <c r="CE53" s="59">
        <f t="shared" si="40"/>
        <v>217.57508587672368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53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0.81677762272207188</v>
      </c>
      <c r="CL53" s="21">
        <f>EXP(-LN(2)/25)*CL52+(1-EXP(-LN(2)/25))/(LN(2)/25)*Calculateur!CG53*Calculateur!CI53*VLOOKUP('Données projet'!$B$12,Paramètres!$A$1:$I$89,3,0)*0.475*44/12</f>
        <v>3.7750509890244164</v>
      </c>
      <c r="CM53" s="21">
        <f>EXP(-LN(2)/2)*CM52+(1-EXP(-LN(2)/2))/(LN(2)/2)*CG53*CJ53*VLOOKUP('Données projet'!$B$12,Paramètres!$A$1:$I$89,3,0)*0.475*44/12</f>
        <v>7.5387803041989214E-3</v>
      </c>
      <c r="CN53" s="22">
        <f t="shared" si="12"/>
        <v>4.5993673920506879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165</v>
      </c>
      <c r="O54" s="13">
        <f>N54*VLOOKUP('Données projet'!$B$9,Paramètres!$A$1:$I$89,3,0)*VLOOKUP('Données projet'!$B$9,Paramètres!$A$1:$I$89,5,0)</f>
        <v>167.31</v>
      </c>
      <c r="P54" s="13">
        <f t="shared" si="33"/>
        <v>42.486994942347515</v>
      </c>
      <c r="Q54" s="20">
        <f t="shared" si="53"/>
        <v>365.39643285792187</v>
      </c>
      <c r="R54" s="59">
        <f t="shared" si="0"/>
        <v>658.72976619125518</v>
      </c>
      <c r="S54" s="59">
        <f ca="1">AVERAGE(OFFSET($R$3,0,0,'Données projet'!$E$9+1,1))-AVERAGE(OFFSET($H$3,0,0,'Données projet'!$E$9+1,1))</f>
        <v>272.93635583300755</v>
      </c>
      <c r="T54" s="59">
        <f t="shared" si="34"/>
        <v>179.56041631665812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2.4642798836534889</v>
      </c>
      <c r="AA54" s="21">
        <f>EXP(-LN(2)/25)*AA53+(1-EXP(-LN(2)/25))/(LN(2)/25)*Calculateur!V54*Calculateur!X54*VLOOKUP('Données projet'!$B$9,Paramètres!$A$1:$I$89,3,0)*0.475*44/12</f>
        <v>2.6265485884529296</v>
      </c>
      <c r="AB54" s="21">
        <f>EXP(-LN(2)/2)*AB53+(1-EXP(-LN(2)/2))/(LN(2)/2)*V54*Y54*VLOOKUP('Données projet'!$B$9,Paramètres!$A$1:$I$89,3,0)*0.475*44/12</f>
        <v>4.7227387768202875E-3</v>
      </c>
      <c r="AC54" s="22">
        <f t="shared" si="3"/>
        <v>5.0955512108832384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149.29199999999997</v>
      </c>
      <c r="AK54" s="13">
        <f t="shared" si="35"/>
        <v>38.417645803815411</v>
      </c>
      <c r="AL54" s="20">
        <f t="shared" si="4"/>
        <v>326.9276331083118</v>
      </c>
      <c r="AM54" s="59">
        <f t="shared" si="5"/>
        <v>620.26096644164511</v>
      </c>
      <c r="AN54" s="59">
        <f ca="1">AVERAGE(OFFSET($AM$3,0,0,'Données projet'!$E$10+1,1))-AVERAGE(OFFSET($H$3,0,0,'Données projet'!$E$10+1,1))</f>
        <v>237.64646718446005</v>
      </c>
      <c r="AO54" s="59">
        <f t="shared" si="36"/>
        <v>156.67965022779907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2.1988958961831142</v>
      </c>
      <c r="AV54" s="21">
        <f>EXP(-LN(2)/25)*AV53+(1-EXP(-LN(2)/25))/(LN(2)/25)*Calculateur!AQ54*Calculateur!AS54*VLOOKUP('Données projet'!$B$10,Paramètres!$A$1:$I$89,3,0)*0.475*44/12</f>
        <v>2.3436895096964596</v>
      </c>
      <c r="AW54" s="21">
        <f>EXP(-LN(2)/2)*AW53+(1-EXP(-LN(2)/2))/(LN(2)/2)*AQ54*AT54*VLOOKUP('Données projet'!$B$10,Paramètres!$A$1:$I$89,3,0)*0.475*44/12</f>
        <v>4.2141361393165629E-3</v>
      </c>
      <c r="AX54" s="21">
        <f t="shared" si="6"/>
        <v>4.5467995420188911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207.99999999999989</v>
      </c>
      <c r="BE54" s="13">
        <f>BD54*VLOOKUP('Données projet'!$B$11,Paramètres!$A$1:$I$89,3,0)*VLOOKUP('Données projet'!$B$11,Paramètres!$A$1:$I$89,5,0)</f>
        <v>136.28159999999991</v>
      </c>
      <c r="BF54" s="13">
        <f t="shared" si="37"/>
        <v>35.443842312892279</v>
      </c>
      <c r="BG54" s="20">
        <f t="shared" si="7"/>
        <v>299.08847869495389</v>
      </c>
      <c r="BH54" s="59">
        <f t="shared" si="8"/>
        <v>592.42181202828715</v>
      </c>
      <c r="BI54" s="59">
        <f ca="1">AVERAGE(OFFSET($BH$3,0,0,'Données projet'!$E$11+1,1))-AVERAGE(OFFSET($H$3,0,0,'Données projet'!$E$11+1,1))</f>
        <v>172.9177436650786</v>
      </c>
      <c r="BJ54" s="59">
        <f t="shared" si="38"/>
        <v>173.73622806725865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1.0964514734457766</v>
      </c>
      <c r="BQ54" s="21">
        <f>EXP(-LN(2)/25)*BQ53+(1-EXP(-LN(2)/25))/(LN(2)/25)*Calculateur!BL54*Calculateur!BN54*VLOOKUP('Données projet'!$B$11,Paramètres!$A$1:$I$89,3,0)*0.475*44/12</f>
        <v>6.3772267061952146</v>
      </c>
      <c r="BR54" s="21">
        <f>EXP(-LN(2)/2)*BR53+(1-EXP(-LN(2)/2))/(LN(2)/2)*BL54*BO54*VLOOKUP('Données projet'!$B$11,Paramètres!$A$1:$I$89,3,0)*0.475*44/12</f>
        <v>5.8130945904524877E-3</v>
      </c>
      <c r="BS54" s="22">
        <f t="shared" si="9"/>
        <v>7.4794912742314441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17.625</v>
      </c>
      <c r="BY54" s="12">
        <f>IF('Données projet'!$A$114&gt;35,BY53+BX54-CG53,IF(A54&lt;'Données projet'!$A$114,$BV$205^A54,IF(A54='Données projet'!$A$114,'Données projet'!$B$114,BY53+BX54-CG53)))</f>
        <v>316.62499999999994</v>
      </c>
      <c r="BZ54" s="13">
        <f>BY54*VLOOKUP('Données projet'!$B$12,Paramètres!$A$1:$I$89,3,0)*VLOOKUP('Données projet'!$B$12,Paramètres!$A$1:$I$89,5,0)</f>
        <v>189.34174999999999</v>
      </c>
      <c r="CA54" s="13">
        <f t="shared" si="39"/>
        <v>47.394393740797923</v>
      </c>
      <c r="CB54" s="20">
        <f t="shared" si="10"/>
        <v>412.31545034855634</v>
      </c>
      <c r="CC54" s="59">
        <f t="shared" si="11"/>
        <v>705.64878368188965</v>
      </c>
      <c r="CD54" s="59">
        <f ca="1">AVERAGE(OFFSET($CC$3,0,0,'Données projet'!$E$12+1,1))-AVERAGE(OFFSET($H$3,0,0,'Données projet'!$E$12+1,1))</f>
        <v>289.07218105343333</v>
      </c>
      <c r="CE54" s="59">
        <f t="shared" si="40"/>
        <v>217.57508587672368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0.80076111172565023</v>
      </c>
      <c r="CL54" s="21">
        <f>EXP(-LN(2)/25)*CL53+(1-EXP(-LN(2)/25))/(LN(2)/25)*Calculateur!CG54*Calculateur!CI54*VLOOKUP('Données projet'!$B$12,Paramètres!$A$1:$I$89,3,0)*0.475*44/12</f>
        <v>3.6718220212082402</v>
      </c>
      <c r="CM54" s="21">
        <f>EXP(-LN(2)/2)*CM53+(1-EXP(-LN(2)/2))/(LN(2)/2)*CG54*CJ54*VLOOKUP('Données projet'!$B$12,Paramètres!$A$1:$I$89,3,0)*0.475*44/12</f>
        <v>5.3307226749746408E-3</v>
      </c>
      <c r="CN54" s="22">
        <f t="shared" si="12"/>
        <v>4.4779138556088656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173</v>
      </c>
      <c r="O55" s="13">
        <f>N55*VLOOKUP('Données projet'!$B$9,Paramètres!$A$1:$I$89,3,0)*VLOOKUP('Données projet'!$B$9,Paramètres!$A$1:$I$89,5,0)</f>
        <v>175.422</v>
      </c>
      <c r="P55" s="13">
        <f t="shared" si="33"/>
        <v>44.302143412304737</v>
      </c>
      <c r="Q55" s="20">
        <f t="shared" si="53"/>
        <v>382.68621644309741</v>
      </c>
      <c r="R55" s="59">
        <f t="shared" si="0"/>
        <v>676.01954977643072</v>
      </c>
      <c r="S55" s="59">
        <f ca="1">AVERAGE(OFFSET($R$3,0,0,'Données projet'!$E$9+1,1))-AVERAGE(OFFSET($H$3,0,0,'Données projet'!$E$9+1,1))</f>
        <v>272.93635583300755</v>
      </c>
      <c r="T55" s="59">
        <f t="shared" si="34"/>
        <v>179.56041631665812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2.4159568581973581</v>
      </c>
      <c r="AA55" s="21">
        <f>EXP(-LN(2)/25)*AA54+(1-EXP(-LN(2)/25))/(LN(2)/25)*Calculateur!V55*Calculateur!X55*VLOOKUP('Données projet'!$B$9,Paramètres!$A$1:$I$89,3,0)*0.475*44/12</f>
        <v>2.5547254791774971</v>
      </c>
      <c r="AB55" s="21">
        <f>EXP(-LN(2)/2)*AB54+(1-EXP(-LN(2)/2))/(LN(2)/2)*V55*Y55*VLOOKUP('Données projet'!$B$9,Paramètres!$A$1:$I$89,3,0)*0.475*44/12</f>
        <v>3.3394806148622862E-3</v>
      </c>
      <c r="AC55" s="22">
        <f t="shared" si="3"/>
        <v>4.9740218179897173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156.53039999999999</v>
      </c>
      <c r="AK55" s="13">
        <f t="shared" si="35"/>
        <v>40.058941713182037</v>
      </c>
      <c r="AL55" s="20">
        <f t="shared" si="4"/>
        <v>342.393103483792</v>
      </c>
      <c r="AM55" s="59">
        <f t="shared" si="5"/>
        <v>635.72643681712532</v>
      </c>
      <c r="AN55" s="59">
        <f ca="1">AVERAGE(OFFSET($AM$3,0,0,'Données projet'!$E$10+1,1))-AVERAGE(OFFSET($H$3,0,0,'Données projet'!$E$10+1,1))</f>
        <v>237.64646718446005</v>
      </c>
      <c r="AO55" s="59">
        <f t="shared" si="36"/>
        <v>156.67965022779907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2.155776888853028</v>
      </c>
      <c r="AV55" s="21">
        <f>EXP(-LN(2)/25)*AV54+(1-EXP(-LN(2)/25))/(LN(2)/25)*Calculateur!AQ55*Calculateur!AS55*VLOOKUP('Données projet'!$B$10,Paramètres!$A$1:$I$89,3,0)*0.475*44/12</f>
        <v>2.2796011968045353</v>
      </c>
      <c r="AW55" s="21">
        <f>EXP(-LN(2)/2)*AW54+(1-EXP(-LN(2)/2))/(LN(2)/2)*AQ55*AT55*VLOOKUP('Données projet'!$B$10,Paramètres!$A$1:$I$89,3,0)*0.475*44/12</f>
        <v>2.979844240954039E-3</v>
      </c>
      <c r="AX55" s="21">
        <f t="shared" si="6"/>
        <v>4.4383579298985172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213.99999999999989</v>
      </c>
      <c r="BE55" s="13">
        <f>BD55*VLOOKUP('Données projet'!$B$11,Paramètres!$A$1:$I$89,3,0)*VLOOKUP('Données projet'!$B$11,Paramètres!$A$1:$I$89,5,0)</f>
        <v>140.21279999999993</v>
      </c>
      <c r="BF55" s="13">
        <f t="shared" si="37"/>
        <v>36.345750676634552</v>
      </c>
      <c r="BG55" s="20">
        <f t="shared" si="7"/>
        <v>307.50614242847166</v>
      </c>
      <c r="BH55" s="59">
        <f t="shared" si="8"/>
        <v>600.83947576180503</v>
      </c>
      <c r="BI55" s="59">
        <f ca="1">AVERAGE(OFFSET($BH$3,0,0,'Données projet'!$E$11+1,1))-AVERAGE(OFFSET($H$3,0,0,'Données projet'!$E$11+1,1))</f>
        <v>172.9177436650786</v>
      </c>
      <c r="BJ55" s="59">
        <f t="shared" si="38"/>
        <v>173.73622806725865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1.0749507288208682</v>
      </c>
      <c r="BQ55" s="21">
        <f>EXP(-LN(2)/25)*BQ54+(1-EXP(-LN(2)/25))/(LN(2)/25)*Calculateur!BL55*Calculateur!BN55*VLOOKUP('Données projet'!$B$11,Paramètres!$A$1:$I$89,3,0)*0.475*44/12</f>
        <v>6.2028411065505296</v>
      </c>
      <c r="BR55" s="21">
        <f>EXP(-LN(2)/2)*BR54+(1-EXP(-LN(2)/2))/(LN(2)/2)*BL55*BO55*VLOOKUP('Données projet'!$B$11,Paramètres!$A$1:$I$89,3,0)*0.475*44/12</f>
        <v>4.1104786045877903E-3</v>
      </c>
      <c r="BS55" s="22">
        <f t="shared" si="9"/>
        <v>7.2819023139759853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17.625</v>
      </c>
      <c r="BY55" s="12">
        <f>IF('Données projet'!$A$114&gt;35,BY54+BX55-CG54,IF(A55&lt;'Données projet'!$A$114,$BV$205^A55,IF(A55='Données projet'!$A$114,'Données projet'!$B$114,BY54+BX55-CG54)))</f>
        <v>334.24999999999994</v>
      </c>
      <c r="BZ55" s="13">
        <f>BY55*VLOOKUP('Données projet'!$B$12,Paramètres!$A$1:$I$89,3,0)*VLOOKUP('Données projet'!$B$12,Paramètres!$A$1:$I$89,5,0)</f>
        <v>199.88149999999996</v>
      </c>
      <c r="CA55" s="13">
        <f t="shared" si="39"/>
        <v>49.71812411377941</v>
      </c>
      <c r="CB55" s="20">
        <f t="shared" si="10"/>
        <v>434.71934533149914</v>
      </c>
      <c r="CC55" s="59">
        <f t="shared" si="11"/>
        <v>728.05267866483246</v>
      </c>
      <c r="CD55" s="59">
        <f ca="1">AVERAGE(OFFSET($CC$3,0,0,'Données projet'!$E$12+1,1))-AVERAGE(OFFSET($H$3,0,0,'Données projet'!$E$12+1,1))</f>
        <v>289.07218105343333</v>
      </c>
      <c r="CE55" s="59">
        <f t="shared" si="40"/>
        <v>217.57508587672368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0.7850586747407613</v>
      </c>
      <c r="CL55" s="21">
        <f>EXP(-LN(2)/25)*CL54+(1-EXP(-LN(2)/25))/(LN(2)/25)*Calculateur!CG55*Calculateur!CI55*VLOOKUP('Données projet'!$B$12,Paramètres!$A$1:$I$89,3,0)*0.475*44/12</f>
        <v>3.571415854945573</v>
      </c>
      <c r="CM55" s="21">
        <f>EXP(-LN(2)/2)*CM54+(1-EXP(-LN(2)/2))/(LN(2)/2)*CG55*CJ55*VLOOKUP('Données projet'!$B$12,Paramètres!$A$1:$I$89,3,0)*0.475*44/12</f>
        <v>3.7693901520994607E-3</v>
      </c>
      <c r="CN55" s="22">
        <f t="shared" si="12"/>
        <v>4.3602439198384335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181</v>
      </c>
      <c r="O56" s="13">
        <f>N56*VLOOKUP('Données projet'!$B$9,Paramètres!$A$1:$I$89,3,0)*VLOOKUP('Données projet'!$B$9,Paramètres!$A$1:$I$89,5,0)</f>
        <v>183.53400000000002</v>
      </c>
      <c r="P56" s="13">
        <f t="shared" si="33"/>
        <v>46.107544136839593</v>
      </c>
      <c r="Q56" s="20">
        <f t="shared" si="53"/>
        <v>399.95902270499568</v>
      </c>
      <c r="R56" s="59">
        <f t="shared" si="0"/>
        <v>693.29235603832899</v>
      </c>
      <c r="S56" s="59">
        <f ca="1">AVERAGE(OFFSET($R$3,0,0,'Données projet'!$E$9+1,1))-AVERAGE(OFFSET($H$3,0,0,'Données projet'!$E$9+1,1))</f>
        <v>272.93635583300755</v>
      </c>
      <c r="T56" s="59">
        <f t="shared" si="34"/>
        <v>179.56041631665812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2.3685814177962867</v>
      </c>
      <c r="AA56" s="21">
        <f>EXP(-LN(2)/25)*AA55+(1-EXP(-LN(2)/25))/(LN(2)/25)*Calculateur!V56*Calculateur!X56*VLOOKUP('Données projet'!$B$9,Paramètres!$A$1:$I$89,3,0)*0.475*44/12</f>
        <v>2.4848663766022145</v>
      </c>
      <c r="AB56" s="21">
        <f>EXP(-LN(2)/2)*AB55+(1-EXP(-LN(2)/2))/(LN(2)/2)*V56*Y56*VLOOKUP('Données projet'!$B$9,Paramètres!$A$1:$I$89,3,0)*0.475*44/12</f>
        <v>2.3613693884101438E-3</v>
      </c>
      <c r="AC56" s="22">
        <f t="shared" si="3"/>
        <v>4.8558091637869119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163.7688</v>
      </c>
      <c r="AK56" s="13">
        <f t="shared" si="35"/>
        <v>41.691423503509803</v>
      </c>
      <c r="AL56" s="20">
        <f t="shared" si="4"/>
        <v>357.84322260194625</v>
      </c>
      <c r="AM56" s="59">
        <f t="shared" si="5"/>
        <v>651.17655593527957</v>
      </c>
      <c r="AN56" s="59">
        <f ca="1">AVERAGE(OFFSET($AM$3,0,0,'Données projet'!$E$10+1,1))-AVERAGE(OFFSET($H$3,0,0,'Données projet'!$E$10+1,1))</f>
        <v>237.64646718446005</v>
      </c>
      <c r="AO56" s="59">
        <f t="shared" si="36"/>
        <v>156.67965022779907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2.1135034189566873</v>
      </c>
      <c r="AV56" s="21">
        <f>EXP(-LN(2)/25)*AV55+(1-EXP(-LN(2)/25))/(LN(2)/25)*Calculateur!AQ56*Calculateur!AS56*VLOOKUP('Données projet'!$B$10,Paramètres!$A$1:$I$89,3,0)*0.475*44/12</f>
        <v>2.2172653821988986</v>
      </c>
      <c r="AW56" s="21">
        <f>EXP(-LN(2)/2)*AW55+(1-EXP(-LN(2)/2))/(LN(2)/2)*AQ56*AT56*VLOOKUP('Données projet'!$B$10,Paramètres!$A$1:$I$89,3,0)*0.475*44/12</f>
        <v>2.1070680696582814E-3</v>
      </c>
      <c r="AX56" s="21">
        <f t="shared" si="6"/>
        <v>4.3328758692252434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219.99999999999989</v>
      </c>
      <c r="BE56" s="13">
        <f>BD56*VLOOKUP('Données projet'!$B$11,Paramètres!$A$1:$I$89,3,0)*VLOOKUP('Données projet'!$B$11,Paramètres!$A$1:$I$89,5,0)</f>
        <v>144.14399999999992</v>
      </c>
      <c r="BF56" s="13">
        <f t="shared" si="37"/>
        <v>37.244720006976216</v>
      </c>
      <c r="BG56" s="20">
        <f t="shared" si="7"/>
        <v>315.91868734548342</v>
      </c>
      <c r="BH56" s="59">
        <f t="shared" si="8"/>
        <v>609.25202067881673</v>
      </c>
      <c r="BI56" s="59">
        <f ca="1">AVERAGE(OFFSET($BH$3,0,0,'Données projet'!$E$11+1,1))-AVERAGE(OFFSET($H$3,0,0,'Données projet'!$E$11+1,1))</f>
        <v>172.9177436650786</v>
      </c>
      <c r="BJ56" s="59">
        <f t="shared" si="38"/>
        <v>173.73622806725865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1.0538716006838948</v>
      </c>
      <c r="BQ56" s="21">
        <f>EXP(-LN(2)/25)*BQ55+(1-EXP(-LN(2)/25))/(LN(2)/25)*Calculateur!BL56*Calculateur!BN56*VLOOKUP('Données projet'!$B$11,Paramètres!$A$1:$I$89,3,0)*0.475*44/12</f>
        <v>6.0332240902986687</v>
      </c>
      <c r="BR56" s="21">
        <f>EXP(-LN(2)/2)*BR55+(1-EXP(-LN(2)/2))/(LN(2)/2)*BL56*BO56*VLOOKUP('Données projet'!$B$11,Paramètres!$A$1:$I$89,3,0)*0.475*44/12</f>
        <v>2.9065472952262438E-3</v>
      </c>
      <c r="BS56" s="22">
        <f t="shared" si="9"/>
        <v>7.0900022382777896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17.625</v>
      </c>
      <c r="BY56" s="12">
        <f>IF('Données projet'!$A$114&gt;35,BY55+BX56-CG55,IF(A56&lt;'Données projet'!$A$114,$BV$205^A56,IF(A56='Données projet'!$A$114,'Données projet'!$B$114,BY55+BX56-CG55)))</f>
        <v>351.87499999999994</v>
      </c>
      <c r="BZ56" s="13">
        <f>BY56*VLOOKUP('Données projet'!$B$12,Paramètres!$A$1:$I$89,3,0)*VLOOKUP('Données projet'!$B$12,Paramètres!$A$1:$I$89,5,0)</f>
        <v>210.42124999999999</v>
      </c>
      <c r="CA56" s="13">
        <f t="shared" si="39"/>
        <v>52.027628682866947</v>
      </c>
      <c r="CB56" s="20">
        <f t="shared" si="10"/>
        <v>457.09846370599325</v>
      </c>
      <c r="CC56" s="59">
        <f t="shared" si="11"/>
        <v>750.43179703932651</v>
      </c>
      <c r="CD56" s="59">
        <f ca="1">AVERAGE(OFFSET($CC$3,0,0,'Données projet'!$E$12+1,1))-AVERAGE(OFFSET($H$3,0,0,'Données projet'!$E$12+1,1))</f>
        <v>289.07218105343333</v>
      </c>
      <c r="CE56" s="59">
        <f t="shared" si="40"/>
        <v>217.57508587672368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0.76966415296760515</v>
      </c>
      <c r="CL56" s="21">
        <f>EXP(-LN(2)/25)*CL55+(1-EXP(-LN(2)/25))/(LN(2)/25)*Calculateur!CG56*Calculateur!CI56*VLOOKUP('Données projet'!$B$12,Paramètres!$A$1:$I$89,3,0)*0.475*44/12</f>
        <v>3.473755300579489</v>
      </c>
      <c r="CM56" s="21">
        <f>EXP(-LN(2)/2)*CM55+(1-EXP(-LN(2)/2))/(LN(2)/2)*CG56*CJ56*VLOOKUP('Données projet'!$B$12,Paramètres!$A$1:$I$89,3,0)*0.475*44/12</f>
        <v>2.6653613374873204E-3</v>
      </c>
      <c r="CN56" s="22">
        <f t="shared" si="12"/>
        <v>4.2460848148845818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189</v>
      </c>
      <c r="O57" s="13">
        <f>N57*VLOOKUP('Données projet'!$B$9,Paramètres!$A$1:$I$89,3,0)*VLOOKUP('Données projet'!$B$9,Paramètres!$A$1:$I$89,5,0)</f>
        <v>191.64600000000002</v>
      </c>
      <c r="P57" s="13">
        <f t="shared" si="33"/>
        <v>47.903677189291635</v>
      </c>
      <c r="Q57" s="20">
        <f t="shared" si="53"/>
        <v>417.21568777134962</v>
      </c>
      <c r="R57" s="59">
        <f t="shared" si="0"/>
        <v>710.54902110468288</v>
      </c>
      <c r="S57" s="59">
        <f ca="1">AVERAGE(OFFSET($R$3,0,0,'Données projet'!$E$9+1,1))-AVERAGE(OFFSET($H$3,0,0,'Données projet'!$E$9+1,1))</f>
        <v>272.93635583300755</v>
      </c>
      <c r="T57" s="59">
        <f t="shared" si="34"/>
        <v>179.56041631665812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2.3221349808853149</v>
      </c>
      <c r="AA57" s="21">
        <f>EXP(-LN(2)/25)*AA56+(1-EXP(-LN(2)/25))/(LN(2)/25)*Calculateur!V57*Calculateur!X57*VLOOKUP('Données projet'!$B$9,Paramètres!$A$1:$I$89,3,0)*0.475*44/12</f>
        <v>2.4169175748605833</v>
      </c>
      <c r="AB57" s="21">
        <f>EXP(-LN(2)/2)*AB56+(1-EXP(-LN(2)/2))/(LN(2)/2)*V57*Y57*VLOOKUP('Données projet'!$B$9,Paramètres!$A$1:$I$89,3,0)*0.475*44/12</f>
        <v>1.6697403074311431E-3</v>
      </c>
      <c r="AC57" s="22">
        <f t="shared" si="3"/>
        <v>4.7407222960533293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171.00719999999998</v>
      </c>
      <c r="AK57" s="13">
        <f t="shared" si="35"/>
        <v>43.315525267338089</v>
      </c>
      <c r="AL57" s="20">
        <f t="shared" si="4"/>
        <v>373.27874650728046</v>
      </c>
      <c r="AM57" s="59">
        <f t="shared" si="5"/>
        <v>666.61207984061377</v>
      </c>
      <c r="AN57" s="59">
        <f ca="1">AVERAGE(OFFSET($AM$3,0,0,'Données projet'!$E$10+1,1))-AVERAGE(OFFSET($H$3,0,0,'Données projet'!$E$10+1,1))</f>
        <v>237.64646718446005</v>
      </c>
      <c r="AO57" s="59">
        <f t="shared" si="36"/>
        <v>156.67965022779907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2.0720589060207431</v>
      </c>
      <c r="AV57" s="21">
        <f>EXP(-LN(2)/25)*AV56+(1-EXP(-LN(2)/25))/(LN(2)/25)*Calculateur!AQ57*Calculateur!AS57*VLOOKUP('Données projet'!$B$10,Paramètres!$A$1:$I$89,3,0)*0.475*44/12</f>
        <v>2.1566341437217509</v>
      </c>
      <c r="AW57" s="21">
        <f>EXP(-LN(2)/2)*AW56+(1-EXP(-LN(2)/2))/(LN(2)/2)*AQ57*AT57*VLOOKUP('Données projet'!$B$10,Paramètres!$A$1:$I$89,3,0)*0.475*44/12</f>
        <v>1.4899221204770195E-3</v>
      </c>
      <c r="AX57" s="21">
        <f t="shared" si="6"/>
        <v>4.2301829718629715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225.99999999999989</v>
      </c>
      <c r="BE57" s="13">
        <f>BD57*VLOOKUP('Données projet'!$B$11,Paramètres!$A$1:$I$89,3,0)*VLOOKUP('Données projet'!$B$11,Paramètres!$A$1:$I$89,5,0)</f>
        <v>148.07519999999991</v>
      </c>
      <c r="BF57" s="13">
        <f t="shared" si="37"/>
        <v>38.140839670017236</v>
      </c>
      <c r="BG57" s="20">
        <f t="shared" si="7"/>
        <v>324.32626909194659</v>
      </c>
      <c r="BH57" s="59">
        <f t="shared" si="8"/>
        <v>617.6596024252799</v>
      </c>
      <c r="BI57" s="59">
        <f ca="1">AVERAGE(OFFSET($BH$3,0,0,'Données projet'!$E$11+1,1))-AVERAGE(OFFSET($H$3,0,0,'Données projet'!$E$11+1,1))</f>
        <v>172.9177436650786</v>
      </c>
      <c r="BJ57" s="59">
        <f t="shared" si="38"/>
        <v>173.73622806725865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1.0332058213926891</v>
      </c>
      <c r="BQ57" s="21">
        <f>EXP(-LN(2)/25)*BQ56+(1-EXP(-LN(2)/25))/(LN(2)/25)*Calculateur!BL57*Calculateur!BN57*VLOOKUP('Données projet'!$B$11,Paramètres!$A$1:$I$89,3,0)*0.475*44/12</f>
        <v>5.8682452602759856</v>
      </c>
      <c r="BR57" s="21">
        <f>EXP(-LN(2)/2)*BR56+(1-EXP(-LN(2)/2))/(LN(2)/2)*BL57*BO57*VLOOKUP('Données projet'!$B$11,Paramètres!$A$1:$I$89,3,0)*0.475*44/12</f>
        <v>2.0552393022938951E-3</v>
      </c>
      <c r="BS57" s="22">
        <f t="shared" si="9"/>
        <v>6.9035063209709691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17.625</v>
      </c>
      <c r="BY57" s="12">
        <f>IF('Données projet'!$A$114&gt;35,BY56+BX57-CG56,IF(A57&lt;'Données projet'!$A$114,$BV$205^A57,IF(A57='Données projet'!$A$114,'Données projet'!$B$114,BY56+BX57-CG56)))</f>
        <v>369.49999999999994</v>
      </c>
      <c r="BZ57" s="13">
        <f>BY57*VLOOKUP('Données projet'!$B$12,Paramètres!$A$1:$I$89,3,0)*VLOOKUP('Données projet'!$B$12,Paramètres!$A$1:$I$89,5,0)</f>
        <v>220.96099999999996</v>
      </c>
      <c r="CA57" s="13">
        <f t="shared" si="39"/>
        <v>54.323701308314696</v>
      </c>
      <c r="CB57" s="20">
        <f t="shared" si="10"/>
        <v>479.45418811198141</v>
      </c>
      <c r="CC57" s="59">
        <f t="shared" si="11"/>
        <v>772.78752144531472</v>
      </c>
      <c r="CD57" s="59">
        <f ca="1">AVERAGE(OFFSET($CC$3,0,0,'Données projet'!$E$12+1,1))-AVERAGE(OFFSET($H$3,0,0,'Données projet'!$E$12+1,1))</f>
        <v>289.07218105343333</v>
      </c>
      <c r="CE57" s="59">
        <f t="shared" si="40"/>
        <v>217.57508587672368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0.75457150837668951</v>
      </c>
      <c r="CL57" s="21">
        <f>EXP(-LN(2)/25)*CL56+(1-EXP(-LN(2)/25))/(LN(2)/25)*Calculateur!CG57*Calculateur!CI57*VLOOKUP('Données projet'!$B$12,Paramètres!$A$1:$I$89,3,0)*0.475*44/12</f>
        <v>3.3787652792082912</v>
      </c>
      <c r="CM57" s="21">
        <f>EXP(-LN(2)/2)*CM56+(1-EXP(-LN(2)/2))/(LN(2)/2)*CG57*CJ57*VLOOKUP('Données projet'!$B$12,Paramètres!$A$1:$I$89,3,0)*0.475*44/12</f>
        <v>1.8846950760497303E-3</v>
      </c>
      <c r="CN57" s="22">
        <f t="shared" si="12"/>
        <v>4.1352214826610298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197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197</v>
      </c>
      <c r="O58" s="13">
        <f>N58*VLOOKUP('Données projet'!$B$9,Paramètres!$A$1:$I$89,3,0)*VLOOKUP('Données projet'!$B$9,Paramètres!$A$1:$I$89,5,0)</f>
        <v>199.75800000000004</v>
      </c>
      <c r="P58" s="13">
        <f t="shared" si="33"/>
        <v>49.690979702964015</v>
      </c>
      <c r="Q58" s="20">
        <f t="shared" si="53"/>
        <v>434.45697298266236</v>
      </c>
      <c r="R58" s="59">
        <f t="shared" si="0"/>
        <v>727.79030631599562</v>
      </c>
      <c r="S58" s="59">
        <f ca="1">AVERAGE(OFFSET($R$3,0,0,'Données projet'!$E$9+1,1))-AVERAGE(OFFSET($H$3,0,0,'Données projet'!$E$9+1,1))</f>
        <v>272.93635583300755</v>
      </c>
      <c r="T58" s="59">
        <f t="shared" si="34"/>
        <v>179.56041631665812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2.2765993302726382</v>
      </c>
      <c r="AA58" s="21">
        <f>EXP(-LN(2)/25)*AA57+(1-EXP(-LN(2)/25))/(LN(2)/25)*Calculateur!V58*Calculateur!X58*VLOOKUP('Données projet'!$B$9,Paramètres!$A$1:$I$89,3,0)*0.475*44/12</f>
        <v>2.3508268366758496</v>
      </c>
      <c r="AB58" s="21">
        <f>EXP(-LN(2)/2)*AB57+(1-EXP(-LN(2)/2))/(LN(2)/2)*V58*Y58*VLOOKUP('Données projet'!$B$9,Paramètres!$A$1:$I$89,3,0)*0.475*44/12</f>
        <v>1.1806846942050719E-3</v>
      </c>
      <c r="AC58" s="22">
        <f t="shared" si="3"/>
        <v>4.6286068516426928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178.2456</v>
      </c>
      <c r="AK58" s="13">
        <f t="shared" si="35"/>
        <v>44.931642269910427</v>
      </c>
      <c r="AL58" s="20">
        <f t="shared" si="4"/>
        <v>388.70036362009404</v>
      </c>
      <c r="AM58" s="59">
        <f t="shared" si="5"/>
        <v>682.03369695342735</v>
      </c>
      <c r="AN58" s="59">
        <f ca="1">AVERAGE(OFFSET($AM$3,0,0,'Données projet'!$E$10+1,1))-AVERAGE(OFFSET($H$3,0,0,'Données projet'!$E$10+1,1))</f>
        <v>237.64646718446005</v>
      </c>
      <c r="AO58" s="59">
        <f t="shared" si="36"/>
        <v>156.67965022779907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2.0314270947048159</v>
      </c>
      <c r="AV58" s="21">
        <f>EXP(-LN(2)/25)*AV57+(1-EXP(-LN(2)/25))/(LN(2)/25)*Calculateur!AQ58*Calculateur!AS58*VLOOKUP('Données projet'!$B$10,Paramètres!$A$1:$I$89,3,0)*0.475*44/12</f>
        <v>2.0976608696492192</v>
      </c>
      <c r="AW58" s="21">
        <f>EXP(-LN(2)/2)*AW57+(1-EXP(-LN(2)/2))/(LN(2)/2)*AQ58*AT58*VLOOKUP('Données projet'!$B$10,Paramètres!$A$1:$I$89,3,0)*0.475*44/12</f>
        <v>1.0535340348291407E-3</v>
      </c>
      <c r="AX58" s="21">
        <f t="shared" si="6"/>
        <v>4.1301414983888645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232</v>
      </c>
      <c r="BB58" s="12">
        <f>VLOOKUP(A58,'Données projet'!$A$87:$I$107,9,0)</f>
        <v>6</v>
      </c>
      <c r="BC58" s="12">
        <f t="array" ref="BC58">INDEX(BB:BB,MIN(IF(ISNUMBER(BB58:BB254),ROW(BB58:BB254),"")))</f>
        <v>6</v>
      </c>
      <c r="BD58" s="12">
        <f>IF('Données projet'!$A$88&gt;35,BD57+BC58-BL57,IF(A58&lt;'Données projet'!$A$88,$BA$205^A58,IF(A58='Données projet'!$A$88,'Données projet'!$B$88,BD57+BC58-BL57)))</f>
        <v>231.99999999999989</v>
      </c>
      <c r="BE58" s="13">
        <f>BD58*VLOOKUP('Données projet'!$B$11,Paramètres!$A$1:$I$89,3,0)*VLOOKUP('Données projet'!$B$11,Paramètres!$A$1:$I$89,5,0)</f>
        <v>152.00639999999993</v>
      </c>
      <c r="BF58" s="13">
        <f t="shared" si="37"/>
        <v>39.03419401656145</v>
      </c>
      <c r="BG58" s="20">
        <f t="shared" si="7"/>
        <v>332.72903457884439</v>
      </c>
      <c r="BH58" s="59">
        <f t="shared" si="8"/>
        <v>626.06236791217771</v>
      </c>
      <c r="BI58" s="59">
        <f ca="1">AVERAGE(OFFSET($BH$3,0,0,'Données projet'!$E$11+1,1))-AVERAGE(OFFSET($H$3,0,0,'Données projet'!$E$11+1,1))</f>
        <v>172.9177436650786</v>
      </c>
      <c r="BJ58" s="59">
        <f t="shared" si="38"/>
        <v>173.73622806725865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13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1.012945285428503</v>
      </c>
      <c r="BQ58" s="21">
        <f>EXP(-LN(2)/25)*BQ57+(1-EXP(-LN(2)/25))/(LN(2)/25)*Calculateur!BL58*Calculateur!BN58*VLOOKUP('Données projet'!$B$11,Paramètres!$A$1:$I$89,3,0)*0.475*44/12</f>
        <v>5.7077777850361322</v>
      </c>
      <c r="BR58" s="21">
        <f>EXP(-LN(2)/2)*BR57+(1-EXP(-LN(2)/2))/(LN(2)/2)*BL58*BO58*VLOOKUP('Données projet'!$B$11,Paramètres!$A$1:$I$89,3,0)*0.475*44/12</f>
        <v>1.4532736476131219E-3</v>
      </c>
      <c r="BS58" s="22">
        <f t="shared" si="9"/>
        <v>6.7221763441122482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17.625</v>
      </c>
      <c r="BY58" s="12">
        <f>IF('Données projet'!$A$114&gt;35,BY57+BX58-CG57,IF(A58&lt;'Données projet'!$A$114,$BV$205^A58,IF(A58='Données projet'!$A$114,'Données projet'!$B$114,BY57+BX58-CG57)))</f>
        <v>387.12499999999994</v>
      </c>
      <c r="BZ58" s="13">
        <f>BY58*VLOOKUP('Données projet'!$B$12,Paramètres!$A$1:$I$89,3,0)*VLOOKUP('Données projet'!$B$12,Paramètres!$A$1:$I$89,5,0)</f>
        <v>231.50074999999998</v>
      </c>
      <c r="CA58" s="13">
        <f t="shared" si="39"/>
        <v>56.607055837426749</v>
      </c>
      <c r="CB58" s="20">
        <f t="shared" si="10"/>
        <v>501.78776183351812</v>
      </c>
      <c r="CC58" s="59">
        <f t="shared" si="11"/>
        <v>795.12109516685143</v>
      </c>
      <c r="CD58" s="59">
        <f ca="1">AVERAGE(OFFSET($CC$3,0,0,'Données projet'!$E$12+1,1))-AVERAGE(OFFSET($H$3,0,0,'Données projet'!$E$12+1,1))</f>
        <v>289.07218105343333</v>
      </c>
      <c r="CE58" s="59">
        <f t="shared" si="40"/>
        <v>217.57508587672368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0.73977482134059747</v>
      </c>
      <c r="CL58" s="21">
        <f>EXP(-LN(2)/25)*CL57+(1-EXP(-LN(2)/25))/(LN(2)/25)*Calculateur!CG58*Calculateur!CI58*VLOOKUP('Données projet'!$B$12,Paramètres!$A$1:$I$89,3,0)*0.475*44/12</f>
        <v>3.2863727649667966</v>
      </c>
      <c r="CM58" s="21">
        <f>EXP(-LN(2)/2)*CM57+(1-EXP(-LN(2)/2))/(LN(2)/2)*CG58*CJ58*VLOOKUP('Données projet'!$B$12,Paramètres!$A$1:$I$89,3,0)*0.475*44/12</f>
        <v>1.3326806687436602E-3</v>
      </c>
      <c r="CN58" s="22">
        <f t="shared" si="12"/>
        <v>4.0274802669761369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183.6</v>
      </c>
      <c r="O59" s="13">
        <f>N59*VLOOKUP('Données projet'!$B$9,Paramètres!$A$1:$I$89,3,0)*VLOOKUP('Données projet'!$B$9,Paramètres!$A$1:$I$89,5,0)</f>
        <v>186.1704</v>
      </c>
      <c r="P59" s="13">
        <f t="shared" si="33"/>
        <v>46.692281933796018</v>
      </c>
      <c r="Q59" s="20">
        <f t="shared" si="53"/>
        <v>405.56917103469476</v>
      </c>
      <c r="R59" s="59">
        <f t="shared" si="0"/>
        <v>698.90250436802808</v>
      </c>
      <c r="S59" s="59">
        <f ca="1">AVERAGE(OFFSET($R$3,0,0,'Données projet'!$E$9+1,1))-AVERAGE(OFFSET($H$3,0,0,'Données projet'!$E$9+1,1))</f>
        <v>272.93635583300755</v>
      </c>
      <c r="T59" s="59">
        <f t="shared" si="34"/>
        <v>179.56041631665812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2.2319566059944713</v>
      </c>
      <c r="AA59" s="21">
        <f>EXP(-LN(2)/25)*AA58+(1-EXP(-LN(2)/25))/(LN(2)/25)*Calculateur!V59*Calculateur!X59*VLOOKUP('Données projet'!$B$9,Paramètres!$A$1:$I$89,3,0)*0.475*44/12</f>
        <v>2.286543353202338</v>
      </c>
      <c r="AB59" s="21">
        <f>EXP(-LN(2)/2)*AB58+(1-EXP(-LN(2)/2))/(LN(2)/2)*V59*Y59*VLOOKUP('Données projet'!$B$9,Paramètres!$A$1:$I$89,3,0)*0.475*44/12</f>
        <v>8.3487015371557156E-4</v>
      </c>
      <c r="AC59" s="22">
        <f t="shared" si="3"/>
        <v>4.5193348293505249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166.12127999999998</v>
      </c>
      <c r="AK59" s="13">
        <f t="shared" si="35"/>
        <v>42.220155874487318</v>
      </c>
      <c r="AL59" s="20">
        <f t="shared" si="4"/>
        <v>362.8613341480654</v>
      </c>
      <c r="AM59" s="59">
        <f t="shared" si="5"/>
        <v>656.19466748139871</v>
      </c>
      <c r="AN59" s="59">
        <f ca="1">AVERAGE(OFFSET($AM$3,0,0,'Données projet'!$E$10+1,1))-AVERAGE(OFFSET($H$3,0,0,'Données projet'!$E$10+1,1))</f>
        <v>237.64646718446005</v>
      </c>
      <c r="AO59" s="59">
        <f t="shared" si="36"/>
        <v>156.67965022779907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1.9915920484258363</v>
      </c>
      <c r="AV59" s="21">
        <f>EXP(-LN(2)/25)*AV58+(1-EXP(-LN(2)/25))/(LN(2)/25)*Calculateur!AQ59*Calculateur!AS59*VLOOKUP('Données projet'!$B$10,Paramètres!$A$1:$I$89,3,0)*0.475*44/12</f>
        <v>2.0403002228574705</v>
      </c>
      <c r="AW59" s="21">
        <f>EXP(-LN(2)/2)*AW58+(1-EXP(-LN(2)/2))/(LN(2)/2)*AQ59*AT59*VLOOKUP('Données projet'!$B$10,Paramètres!$A$1:$I$89,3,0)*0.475*44/12</f>
        <v>7.4496106023850975E-4</v>
      </c>
      <c r="AX59" s="21">
        <f t="shared" si="6"/>
        <v>4.0326372323435455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224.19999999999987</v>
      </c>
      <c r="BE59" s="13">
        <f>BD59*VLOOKUP('Données projet'!$B$11,Paramètres!$A$1:$I$89,3,0)*VLOOKUP('Données projet'!$B$11,Paramètres!$A$1:$I$89,5,0)</f>
        <v>146.89583999999991</v>
      </c>
      <c r="BF59" s="13">
        <f t="shared" si="37"/>
        <v>37.872297874710249</v>
      </c>
      <c r="BG59" s="20">
        <f t="shared" si="7"/>
        <v>321.80450679845353</v>
      </c>
      <c r="BH59" s="59">
        <f t="shared" si="8"/>
        <v>615.13784013178679</v>
      </c>
      <c r="BI59" s="59">
        <f ca="1">AVERAGE(OFFSET($BH$3,0,0,'Données projet'!$E$11+1,1))-AVERAGE(OFFSET($H$3,0,0,'Données projet'!$E$11+1,1))</f>
        <v>172.9177436650786</v>
      </c>
      <c r="BJ59" s="59">
        <f t="shared" si="38"/>
        <v>173.73622806725865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0.99308204621686802</v>
      </c>
      <c r="BQ59" s="21">
        <f>EXP(-LN(2)/25)*BQ58+(1-EXP(-LN(2)/25))/(LN(2)/25)*Calculateur!BL59*Calculateur!BN59*VLOOKUP('Données projet'!$B$11,Paramètres!$A$1:$I$89,3,0)*0.475*44/12</f>
        <v>5.5516983013453309</v>
      </c>
      <c r="BR59" s="21">
        <f>EXP(-LN(2)/2)*BR58+(1-EXP(-LN(2)/2))/(LN(2)/2)*BL59*BO59*VLOOKUP('Données projet'!$B$11,Paramètres!$A$1:$I$89,3,0)*0.475*44/12</f>
        <v>1.0276196511469476E-3</v>
      </c>
      <c r="BS59" s="22">
        <f t="shared" si="9"/>
        <v>6.5458079672133458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17.625</v>
      </c>
      <c r="BY59" s="12">
        <f>IF('Données projet'!$A$114&gt;35,BY58+BX59-CG58,IF(A59&lt;'Données projet'!$A$114,$BV$205^A59,IF(A59='Données projet'!$A$114,'Données projet'!$B$114,BY58+BX59-CG58)))</f>
        <v>404.74999999999994</v>
      </c>
      <c r="BZ59" s="13">
        <f>BY59*VLOOKUP('Données projet'!$B$12,Paramètres!$A$1:$I$89,3,0)*VLOOKUP('Données projet'!$B$12,Paramètres!$A$1:$I$89,5,0)</f>
        <v>242.04049999999998</v>
      </c>
      <c r="CA59" s="13">
        <f t="shared" si="39"/>
        <v>58.878337443371535</v>
      </c>
      <c r="CB59" s="20">
        <f t="shared" si="10"/>
        <v>524.10030854720526</v>
      </c>
      <c r="CC59" s="59">
        <f t="shared" si="11"/>
        <v>817.43364188053852</v>
      </c>
      <c r="CD59" s="59">
        <f ca="1">AVERAGE(OFFSET($CC$3,0,0,'Données projet'!$E$12+1,1))-AVERAGE(OFFSET($H$3,0,0,'Données projet'!$E$12+1,1))</f>
        <v>289.07218105343333</v>
      </c>
      <c r="CE59" s="59">
        <f t="shared" si="40"/>
        <v>217.57508587672368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0.72526828831219525</v>
      </c>
      <c r="CL59" s="21">
        <f>EXP(-LN(2)/25)*CL58+(1-EXP(-LN(2)/25))/(LN(2)/25)*Calculateur!CG59*Calculateur!CI59*VLOOKUP('Données projet'!$B$12,Paramètres!$A$1:$I$89,3,0)*0.475*44/12</f>
        <v>3.196506728885947</v>
      </c>
      <c r="CM59" s="21">
        <f>EXP(-LN(2)/2)*CM58+(1-EXP(-LN(2)/2))/(LN(2)/2)*CG59*CJ59*VLOOKUP('Données projet'!$B$12,Paramètres!$A$1:$I$89,3,0)*0.475*44/12</f>
        <v>9.4234753802486517E-4</v>
      </c>
      <c r="CN59" s="22">
        <f t="shared" si="12"/>
        <v>3.9227173647361671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191.2</v>
      </c>
      <c r="O60" s="13">
        <f>N60*VLOOKUP('Données projet'!$B$9,Paramètres!$A$1:$I$89,3,0)*VLOOKUP('Données projet'!$B$9,Paramètres!$A$1:$I$89,5,0)</f>
        <v>193.8768</v>
      </c>
      <c r="P60" s="13">
        <f t="shared" si="33"/>
        <v>48.396048099527611</v>
      </c>
      <c r="Q60" s="20">
        <f t="shared" si="53"/>
        <v>421.95854377334393</v>
      </c>
      <c r="R60" s="59">
        <f t="shared" si="0"/>
        <v>715.29187710667725</v>
      </c>
      <c r="S60" s="59">
        <f ca="1">AVERAGE(OFFSET($R$3,0,0,'Données projet'!$E$9+1,1))-AVERAGE(OFFSET($H$3,0,0,'Données projet'!$E$9+1,1))</f>
        <v>272.93635583300755</v>
      </c>
      <c r="T60" s="59">
        <f t="shared" si="34"/>
        <v>179.56041631665812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2.1881892983100264</v>
      </c>
      <c r="AA60" s="21">
        <f>EXP(-LN(2)/25)*AA59+(1-EXP(-LN(2)/25))/(LN(2)/25)*Calculateur!V60*Calculateur!X60*VLOOKUP('Données projet'!$B$9,Paramètres!$A$1:$I$89,3,0)*0.475*44/12</f>
        <v>2.2240177049649312</v>
      </c>
      <c r="AB60" s="21">
        <f>EXP(-LN(2)/2)*AB59+(1-EXP(-LN(2)/2))/(LN(2)/2)*V60*Y60*VLOOKUP('Données projet'!$B$9,Paramètres!$A$1:$I$89,3,0)*0.475*44/12</f>
        <v>5.9034234710253594E-4</v>
      </c>
      <c r="AC60" s="22">
        <f t="shared" si="3"/>
        <v>4.4127973456220602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172.99775999999997</v>
      </c>
      <c r="AK60" s="13">
        <f t="shared" si="35"/>
        <v>43.760737531919609</v>
      </c>
      <c r="AL60" s="20">
        <f t="shared" si="4"/>
        <v>377.52104986809326</v>
      </c>
      <c r="AM60" s="59">
        <f t="shared" si="5"/>
        <v>670.85438320142657</v>
      </c>
      <c r="AN60" s="59">
        <f ca="1">AVERAGE(OFFSET($AM$3,0,0,'Données projet'!$E$10+1,1))-AVERAGE(OFFSET($H$3,0,0,'Données projet'!$E$10+1,1))</f>
        <v>237.64646718446005</v>
      </c>
      <c r="AO60" s="59">
        <f t="shared" si="36"/>
        <v>156.67965022779907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1.9525381431074085</v>
      </c>
      <c r="AV60" s="21">
        <f>EXP(-LN(2)/25)*AV59+(1-EXP(-LN(2)/25))/(LN(2)/25)*Calculateur!AQ60*Calculateur!AS60*VLOOKUP('Données projet'!$B$10,Paramètres!$A$1:$I$89,3,0)*0.475*44/12</f>
        <v>1.9845081059687073</v>
      </c>
      <c r="AW60" s="21">
        <f>EXP(-LN(2)/2)*AW59+(1-EXP(-LN(2)/2))/(LN(2)/2)*AQ60*AT60*VLOOKUP('Données projet'!$B$10,Paramètres!$A$1:$I$89,3,0)*0.475*44/12</f>
        <v>5.2676701741457036E-4</v>
      </c>
      <c r="AX60" s="21">
        <f t="shared" si="6"/>
        <v>3.9375730160935305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229.39999999999986</v>
      </c>
      <c r="BE60" s="13">
        <f>BD60*VLOOKUP('Données projet'!$B$11,Paramètres!$A$1:$I$89,3,0)*VLOOKUP('Données projet'!$B$11,Paramètres!$A$1:$I$89,5,0)</f>
        <v>150.3028799999999</v>
      </c>
      <c r="BF60" s="13">
        <f t="shared" si="37"/>
        <v>38.647408104976812</v>
      </c>
      <c r="BG60" s="20">
        <f t="shared" si="7"/>
        <v>329.08841844950109</v>
      </c>
      <c r="BH60" s="59">
        <f t="shared" si="8"/>
        <v>622.42175178283446</v>
      </c>
      <c r="BI60" s="59">
        <f ca="1">AVERAGE(OFFSET($BH$3,0,0,'Données projet'!$E$11+1,1))-AVERAGE(OFFSET($H$3,0,0,'Données projet'!$E$11+1,1))</f>
        <v>172.9177436650786</v>
      </c>
      <c r="BJ60" s="59">
        <f t="shared" si="38"/>
        <v>173.73622806725865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0.97360831301079354</v>
      </c>
      <c r="BQ60" s="21">
        <f>EXP(-LN(2)/25)*BQ59+(1-EXP(-LN(2)/25))/(LN(2)/25)*Calculateur!BL60*Calculateur!BN60*VLOOKUP('Données projet'!$B$11,Paramètres!$A$1:$I$89,3,0)*0.475*44/12</f>
        <v>5.3998868193439176</v>
      </c>
      <c r="BR60" s="21">
        <f>EXP(-LN(2)/2)*BR59+(1-EXP(-LN(2)/2))/(LN(2)/2)*BL60*BO60*VLOOKUP('Données projet'!$B$11,Paramètres!$A$1:$I$89,3,0)*0.475*44/12</f>
        <v>7.2663682380656096E-4</v>
      </c>
      <c r="BS60" s="22">
        <f t="shared" si="9"/>
        <v>6.3742217691785177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17.625</v>
      </c>
      <c r="BY60" s="12">
        <f>IF('Données projet'!$A$114&gt;35,BY59+BX60-CG59,IF(A60&lt;'Données projet'!$A$114,$BV$205^A60,IF(A60='Données projet'!$A$114,'Données projet'!$B$114,BY59+BX60-CG59)))</f>
        <v>422.37499999999994</v>
      </c>
      <c r="BZ60" s="13">
        <f>BY60*VLOOKUP('Données projet'!$B$12,Paramètres!$A$1:$I$89,3,0)*VLOOKUP('Données projet'!$B$12,Paramètres!$A$1:$I$89,5,0)</f>
        <v>252.58025000000001</v>
      </c>
      <c r="CA60" s="13">
        <f t="shared" si="39"/>
        <v>61.138131933251593</v>
      </c>
      <c r="CB60" s="20">
        <f t="shared" si="10"/>
        <v>546.39284853374647</v>
      </c>
      <c r="CC60" s="59">
        <f t="shared" si="11"/>
        <v>839.72618186707973</v>
      </c>
      <c r="CD60" s="59">
        <f ca="1">AVERAGE(OFFSET($CC$3,0,0,'Données projet'!$E$12+1,1))-AVERAGE(OFFSET($H$3,0,0,'Données projet'!$E$12+1,1))</f>
        <v>289.07218105343333</v>
      </c>
      <c r="CE60" s="59">
        <f t="shared" si="40"/>
        <v>217.57508587672368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0.71104621954836855</v>
      </c>
      <c r="CL60" s="21">
        <f>EXP(-LN(2)/25)*CL59+(1-EXP(-LN(2)/25))/(LN(2)/25)*Calculateur!CG60*Calculateur!CI60*VLOOKUP('Données projet'!$B$12,Paramètres!$A$1:$I$89,3,0)*0.475*44/12</f>
        <v>3.1090980842875777</v>
      </c>
      <c r="CM60" s="21">
        <f>EXP(-LN(2)/2)*CM59+(1-EXP(-LN(2)/2))/(LN(2)/2)*CG60*CJ60*VLOOKUP('Données projet'!$B$12,Paramètres!$A$1:$I$89,3,0)*0.475*44/12</f>
        <v>6.663403343718301E-4</v>
      </c>
      <c r="CN60" s="22">
        <f t="shared" si="12"/>
        <v>3.8208106441703178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198.79999999999998</v>
      </c>
      <c r="O61" s="13">
        <f>N61*VLOOKUP('Données projet'!$B$9,Paramètres!$A$1:$I$89,3,0)*VLOOKUP('Données projet'!$B$9,Paramètres!$A$1:$I$89,5,0)</f>
        <v>201.58320000000001</v>
      </c>
      <c r="P61" s="13">
        <f t="shared" si="33"/>
        <v>50.091947337331924</v>
      </c>
      <c r="Q61" s="20">
        <f t="shared" si="53"/>
        <v>438.33421494585309</v>
      </c>
      <c r="R61" s="59">
        <f t="shared" si="0"/>
        <v>731.66754827918635</v>
      </c>
      <c r="S61" s="59">
        <f ca="1">AVERAGE(OFFSET($R$3,0,0,'Données projet'!$E$9+1,1))-AVERAGE(OFFSET($H$3,0,0,'Données projet'!$E$9+1,1))</f>
        <v>272.93635583300755</v>
      </c>
      <c r="T61" s="59">
        <f t="shared" si="34"/>
        <v>179.56041631665812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2.1452802408338516</v>
      </c>
      <c r="AA61" s="21">
        <f>EXP(-LN(2)/25)*AA60+(1-EXP(-LN(2)/25))/(LN(2)/25)*Calculateur!V61*Calculateur!X61*VLOOKUP('Données projet'!$B$9,Paramètres!$A$1:$I$89,3,0)*0.475*44/12</f>
        <v>2.163201823866657</v>
      </c>
      <c r="AB61" s="21">
        <f>EXP(-LN(2)/2)*AB60+(1-EXP(-LN(2)/2))/(LN(2)/2)*V61*Y61*VLOOKUP('Données projet'!$B$9,Paramètres!$A$1:$I$89,3,0)*0.475*44/12</f>
        <v>4.1743507685778578E-4</v>
      </c>
      <c r="AC61" s="22">
        <f t="shared" si="3"/>
        <v>4.3088994997773664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179.87423999999999</v>
      </c>
      <c r="AK61" s="13">
        <f t="shared" si="35"/>
        <v>45.294205745553846</v>
      </c>
      <c r="AL61" s="20">
        <f t="shared" si="4"/>
        <v>392.16837634017293</v>
      </c>
      <c r="AM61" s="59">
        <f t="shared" si="5"/>
        <v>685.50170967350618</v>
      </c>
      <c r="AN61" s="59">
        <f ca="1">AVERAGE(OFFSET($AM$3,0,0,'Données projet'!$E$10+1,1))-AVERAGE(OFFSET($H$3,0,0,'Données projet'!$E$10+1,1))</f>
        <v>237.64646718446005</v>
      </c>
      <c r="AO61" s="59">
        <f t="shared" si="36"/>
        <v>156.67965022779907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1.9142500610517448</v>
      </c>
      <c r="AV61" s="21">
        <f>EXP(-LN(2)/25)*AV60+(1-EXP(-LN(2)/25))/(LN(2)/25)*Calculateur!AQ61*Calculateur!AS61*VLOOKUP('Données projet'!$B$10,Paramètres!$A$1:$I$89,3,0)*0.475*44/12</f>
        <v>1.9302416274502474</v>
      </c>
      <c r="AW61" s="21">
        <f>EXP(-LN(2)/2)*AW60+(1-EXP(-LN(2)/2))/(LN(2)/2)*AQ61*AT61*VLOOKUP('Données projet'!$B$10,Paramètres!$A$1:$I$89,3,0)*0.475*44/12</f>
        <v>3.7248053011925487E-4</v>
      </c>
      <c r="AX61" s="21">
        <f t="shared" si="6"/>
        <v>3.8448641690321113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234.59999999999985</v>
      </c>
      <c r="BE61" s="13">
        <f>BD61*VLOOKUP('Données projet'!$B$11,Paramètres!$A$1:$I$89,3,0)*VLOOKUP('Données projet'!$B$11,Paramètres!$A$1:$I$89,5,0)</f>
        <v>153.7099199999999</v>
      </c>
      <c r="BF61" s="13">
        <f t="shared" si="37"/>
        <v>39.420475690379796</v>
      </c>
      <c r="BG61" s="20">
        <f t="shared" si="7"/>
        <v>336.36877249407797</v>
      </c>
      <c r="BH61" s="59">
        <f t="shared" si="8"/>
        <v>629.70210582741129</v>
      </c>
      <c r="BI61" s="59">
        <f ca="1">AVERAGE(OFFSET($BH$3,0,0,'Données projet'!$E$11+1,1))-AVERAGE(OFFSET($H$3,0,0,'Données projet'!$E$11+1,1))</f>
        <v>172.9177436650786</v>
      </c>
      <c r="BJ61" s="59">
        <f t="shared" si="38"/>
        <v>173.73622806725865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0.95451644783508571</v>
      </c>
      <c r="BQ61" s="21">
        <f>EXP(-LN(2)/25)*BQ60+(1-EXP(-LN(2)/25))/(LN(2)/25)*Calculateur!BL61*Calculateur!BN61*VLOOKUP('Données projet'!$B$11,Paramètres!$A$1:$I$89,3,0)*0.475*44/12</f>
        <v>5.2522266303012515</v>
      </c>
      <c r="BR61" s="21">
        <f>EXP(-LN(2)/2)*BR60+(1-EXP(-LN(2)/2))/(LN(2)/2)*BL61*BO61*VLOOKUP('Données projet'!$B$11,Paramètres!$A$1:$I$89,3,0)*0.475*44/12</f>
        <v>5.1380982557347379E-4</v>
      </c>
      <c r="BS61" s="22">
        <f t="shared" si="9"/>
        <v>6.2072568879619103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440</v>
      </c>
      <c r="BW61" s="12">
        <f>VLOOKUP(A61,'Données projet'!$A$113:$I$133,9,0)</f>
        <v>17.625</v>
      </c>
      <c r="BX61" s="12">
        <f t="array" ref="BX61">INDEX(BW:BW,MIN(IF(ISNUMBER(BW61:BW257),ROW(BW61:BW257),"")))</f>
        <v>17.625</v>
      </c>
      <c r="BY61" s="12">
        <f>IF('Données projet'!$A$114&gt;35,BY60+BX61-CG60,IF(A61&lt;'Données projet'!$A$114,$BV$205^A61,IF(A61='Données projet'!$A$114,'Données projet'!$B$114,BY60+BX61-CG60)))</f>
        <v>439.99999999999994</v>
      </c>
      <c r="BZ61" s="13">
        <f>BY61*VLOOKUP('Données projet'!$B$12,Paramètres!$A$1:$I$89,3,0)*VLOOKUP('Données projet'!$B$12,Paramètres!$A$1:$I$89,5,0)</f>
        <v>263.12</v>
      </c>
      <c r="CA61" s="13">
        <f t="shared" si="39"/>
        <v>63.386973458752003</v>
      </c>
      <c r="CB61" s="20">
        <f t="shared" si="10"/>
        <v>568.66631210732646</v>
      </c>
      <c r="CC61" s="59">
        <f t="shared" si="11"/>
        <v>861.99964544065983</v>
      </c>
      <c r="CD61" s="59">
        <f ca="1">AVERAGE(OFFSET($CC$3,0,0,'Données projet'!$E$12+1,1))-AVERAGE(OFFSET($H$3,0,0,'Données projet'!$E$12+1,1))</f>
        <v>289.07218105343333</v>
      </c>
      <c r="CE61" s="59">
        <f t="shared" si="40"/>
        <v>217.57508587672368</v>
      </c>
      <c r="CF61" s="15">
        <f>IF(ISNA(VLOOKUP(A61,'Données projet'!$A$113:$I$133,3,0)),0,VLOOKUP(A61,'Données projet'!$A$113:$I$133,3,0))</f>
        <v>8</v>
      </c>
      <c r="CG61" s="15">
        <f>IF(ISNA(VLOOKUP(A61,'Données projet'!$A$113:$I$133,4,0)),0,VLOOKUP(A61,'Données projet'!$A$113:$I$133,4,0))</f>
        <v>78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0.69710303687839514</v>
      </c>
      <c r="CL61" s="21">
        <f>EXP(-LN(2)/25)*CL60+(1-EXP(-LN(2)/25))/(LN(2)/25)*Calculateur!CG61*Calculateur!CI61*VLOOKUP('Données projet'!$B$12,Paramètres!$A$1:$I$89,3,0)*0.475*44/12</f>
        <v>3.0240796336723714</v>
      </c>
      <c r="CM61" s="21">
        <f>EXP(-LN(2)/2)*CM60+(1-EXP(-LN(2)/2))/(LN(2)/2)*CG61*CJ61*VLOOKUP('Données projet'!$B$12,Paramètres!$A$1:$I$89,3,0)*0.475*44/12</f>
        <v>4.7117376901243259E-4</v>
      </c>
      <c r="CN61" s="22">
        <f t="shared" si="12"/>
        <v>3.7216538443197793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206.39999999999998</v>
      </c>
      <c r="O62" s="13">
        <f>N62*VLOOKUP('Données projet'!$B$9,Paramètres!$A$1:$I$89,3,0)*VLOOKUP('Données projet'!$B$9,Paramètres!$A$1:$I$89,5,0)</f>
        <v>209.28960000000001</v>
      </c>
      <c r="P62" s="13">
        <f t="shared" si="33"/>
        <v>51.780314822292169</v>
      </c>
      <c r="Q62" s="20">
        <f t="shared" si="53"/>
        <v>454.69676831549214</v>
      </c>
      <c r="R62" s="59">
        <f t="shared" si="0"/>
        <v>748.03010164882539</v>
      </c>
      <c r="S62" s="59">
        <f ca="1">AVERAGE(OFFSET($R$3,0,0,'Données projet'!$E$9+1,1))-AVERAGE(OFFSET($H$3,0,0,'Données projet'!$E$9+1,1))</f>
        <v>272.93635583300755</v>
      </c>
      <c r="T62" s="59">
        <f t="shared" si="34"/>
        <v>179.56041631665812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2.1032126038028438</v>
      </c>
      <c r="AA62" s="21">
        <f>EXP(-LN(2)/25)*AA61+(1-EXP(-LN(2)/25))/(LN(2)/25)*Calculateur!V62*Calculateur!X62*VLOOKUP('Données projet'!$B$9,Paramètres!$A$1:$I$89,3,0)*0.475*44/12</f>
        <v>2.1040489562351836</v>
      </c>
      <c r="AB62" s="21">
        <f>EXP(-LN(2)/2)*AB61+(1-EXP(-LN(2)/2))/(LN(2)/2)*V62*Y62*VLOOKUP('Données projet'!$B$9,Paramètres!$A$1:$I$89,3,0)*0.475*44/12</f>
        <v>2.9517117355126797E-4</v>
      </c>
      <c r="AC62" s="22">
        <f t="shared" si="3"/>
        <v>4.2075567312115787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186.75071999999997</v>
      </c>
      <c r="AK62" s="13">
        <f t="shared" si="35"/>
        <v>46.820863587839391</v>
      </c>
      <c r="AL62" s="20">
        <f t="shared" si="4"/>
        <v>406.80384141548689</v>
      </c>
      <c r="AM62" s="59">
        <f t="shared" si="5"/>
        <v>700.13717474882014</v>
      </c>
      <c r="AN62" s="59">
        <f ca="1">AVERAGE(OFFSET($AM$3,0,0,'Données projet'!$E$10+1,1))-AVERAGE(OFFSET($H$3,0,0,'Données projet'!$E$10+1,1))</f>
        <v>237.64646718446005</v>
      </c>
      <c r="AO62" s="59">
        <f t="shared" si="36"/>
        <v>156.67965022779907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1.8767127849317686</v>
      </c>
      <c r="AV62" s="21">
        <f>EXP(-LN(2)/25)*AV61+(1-EXP(-LN(2)/25))/(LN(2)/25)*Calculateur!AQ62*Calculateur!AS62*VLOOKUP('Données projet'!$B$10,Paramètres!$A$1:$I$89,3,0)*0.475*44/12</f>
        <v>1.8774590686406247</v>
      </c>
      <c r="AW62" s="21">
        <f>EXP(-LN(2)/2)*AW61+(1-EXP(-LN(2)/2))/(LN(2)/2)*AQ62*AT62*VLOOKUP('Données projet'!$B$10,Paramètres!$A$1:$I$89,3,0)*0.475*44/12</f>
        <v>2.6338350870728518E-4</v>
      </c>
      <c r="AX62" s="21">
        <f t="shared" si="6"/>
        <v>3.7544352370811009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239.79999999999984</v>
      </c>
      <c r="BE62" s="13">
        <f>BD62*VLOOKUP('Données projet'!$B$11,Paramètres!$A$1:$I$89,3,0)*VLOOKUP('Données projet'!$B$11,Paramètres!$A$1:$I$89,5,0)</f>
        <v>157.11695999999989</v>
      </c>
      <c r="BF62" s="13">
        <f t="shared" si="37"/>
        <v>40.191551120265821</v>
      </c>
      <c r="BG62" s="20">
        <f t="shared" si="7"/>
        <v>343.64565686779611</v>
      </c>
      <c r="BH62" s="59">
        <f t="shared" si="8"/>
        <v>636.97899020112936</v>
      </c>
      <c r="BI62" s="59">
        <f ca="1">AVERAGE(OFFSET($BH$3,0,0,'Données projet'!$E$11+1,1))-AVERAGE(OFFSET($H$3,0,0,'Données projet'!$E$11+1,1))</f>
        <v>172.9177436650786</v>
      </c>
      <c r="BJ62" s="59">
        <f t="shared" si="38"/>
        <v>173.73622806725865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0.93579896249058558</v>
      </c>
      <c r="BQ62" s="21">
        <f>EXP(-LN(2)/25)*BQ61+(1-EXP(-LN(2)/25))/(LN(2)/25)*Calculateur!BL62*Calculateur!BN62*VLOOKUP('Données projet'!$B$11,Paramètres!$A$1:$I$89,3,0)*0.475*44/12</f>
        <v>5.1086042168930694</v>
      </c>
      <c r="BR62" s="21">
        <f>EXP(-LN(2)/2)*BR61+(1-EXP(-LN(2)/2))/(LN(2)/2)*BL62*BO62*VLOOKUP('Données projet'!$B$11,Paramètres!$A$1:$I$89,3,0)*0.475*44/12</f>
        <v>3.6331841190328048E-4</v>
      </c>
      <c r="BS62" s="22">
        <f t="shared" si="9"/>
        <v>6.0447664977955586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16.625</v>
      </c>
      <c r="BY62" s="12">
        <f>IF('Données projet'!$A$114&gt;35,BY61+BX62-CG61,IF(A62&lt;'Données projet'!$A$114,$BV$205^A62,IF(A62='Données projet'!$A$114,'Données projet'!$B$114,BY61+BX62-CG61)))</f>
        <v>378.62499999999994</v>
      </c>
      <c r="BZ62" s="13">
        <f>BY62*VLOOKUP('Données projet'!$B$12,Paramètres!$A$1:$I$89,3,0)*VLOOKUP('Données projet'!$B$12,Paramètres!$A$1:$I$89,5,0)</f>
        <v>226.41774999999998</v>
      </c>
      <c r="CA62" s="13">
        <f t="shared" si="39"/>
        <v>55.507409107649494</v>
      </c>
      <c r="CB62" s="20">
        <f t="shared" si="10"/>
        <v>491.0196521124895</v>
      </c>
      <c r="CC62" s="59">
        <f t="shared" si="11"/>
        <v>784.35298544582281</v>
      </c>
      <c r="CD62" s="59">
        <f ca="1">AVERAGE(OFFSET($CC$3,0,0,'Données projet'!$E$12+1,1))-AVERAGE(OFFSET($H$3,0,0,'Données projet'!$E$12+1,1))</f>
        <v>289.07218105343333</v>
      </c>
      <c r="CE62" s="59">
        <f t="shared" si="40"/>
        <v>217.57508587672368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0.68343327151607824</v>
      </c>
      <c r="CL62" s="21">
        <f>EXP(-LN(2)/25)*CL61+(1-EXP(-LN(2)/25))/(LN(2)/25)*Calculateur!CG62*Calculateur!CI62*VLOOKUP('Données projet'!$B$12,Paramètres!$A$1:$I$89,3,0)*0.475*44/12</f>
        <v>2.941386017060164</v>
      </c>
      <c r="CM62" s="21">
        <f>EXP(-LN(2)/2)*CM61+(1-EXP(-LN(2)/2))/(LN(2)/2)*CG62*CJ62*VLOOKUP('Données projet'!$B$12,Paramètres!$A$1:$I$89,3,0)*0.475*44/12</f>
        <v>3.3317016718591505E-4</v>
      </c>
      <c r="CN62" s="22">
        <f t="shared" si="12"/>
        <v>3.6251524587434285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213.99999999999997</v>
      </c>
      <c r="O63" s="13">
        <f>N63*VLOOKUP('Données projet'!$B$9,Paramètres!$A$1:$I$89,3,0)*VLOOKUP('Données projet'!$B$9,Paramètres!$A$1:$I$89,5,0)</f>
        <v>216.99600000000001</v>
      </c>
      <c r="P63" s="13">
        <f t="shared" si="33"/>
        <v>53.461459647386917</v>
      </c>
      <c r="Q63" s="20">
        <f t="shared" si="53"/>
        <v>471.04674221919896</v>
      </c>
      <c r="R63" s="59">
        <f t="shared" si="0"/>
        <v>764.38007555253228</v>
      </c>
      <c r="S63" s="59">
        <f ca="1">AVERAGE(OFFSET($R$3,0,0,'Données projet'!$E$9+1,1))-AVERAGE(OFFSET($H$3,0,0,'Données projet'!$E$9+1,1))</f>
        <v>272.93635583300755</v>
      </c>
      <c r="T63" s="59">
        <f t="shared" si="34"/>
        <v>179.56041631665812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2.0619698874752892</v>
      </c>
      <c r="AA63" s="21">
        <f>EXP(-LN(2)/25)*AA62+(1-EXP(-LN(2)/25))/(LN(2)/25)*Calculateur!V63*Calculateur!X63*VLOOKUP('Données projet'!$B$9,Paramètres!$A$1:$I$89,3,0)*0.475*44/12</f>
        <v>2.0465136268798068</v>
      </c>
      <c r="AB63" s="21">
        <f>EXP(-LN(2)/2)*AB62+(1-EXP(-LN(2)/2))/(LN(2)/2)*V63*Y63*VLOOKUP('Données projet'!$B$9,Paramètres!$A$1:$I$89,3,0)*0.475*44/12</f>
        <v>2.0871753842889289E-4</v>
      </c>
      <c r="AC63" s="22">
        <f t="shared" si="3"/>
        <v>4.1086922318935253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193.62719999999996</v>
      </c>
      <c r="AK63" s="13">
        <f t="shared" si="35"/>
        <v>48.340990547231193</v>
      </c>
      <c r="AL63" s="20">
        <f t="shared" si="4"/>
        <v>421.42793186976087</v>
      </c>
      <c r="AM63" s="59">
        <f t="shared" si="5"/>
        <v>714.76126520309413</v>
      </c>
      <c r="AN63" s="59">
        <f ca="1">AVERAGE(OFFSET($AM$3,0,0,'Données projet'!$E$10+1,1))-AVERAGE(OFFSET($H$3,0,0,'Données projet'!$E$10+1,1))</f>
        <v>237.64646718446005</v>
      </c>
      <c r="AO63" s="59">
        <f t="shared" si="36"/>
        <v>156.67965022779907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1.8399115919010276</v>
      </c>
      <c r="AV63" s="21">
        <f>EXP(-LN(2)/25)*AV62+(1-EXP(-LN(2)/25))/(LN(2)/25)*Calculateur!AQ63*Calculateur!AS63*VLOOKUP('Données projet'!$B$10,Paramètres!$A$1:$I$89,3,0)*0.475*44/12</f>
        <v>1.8261198516773653</v>
      </c>
      <c r="AW63" s="21">
        <f>EXP(-LN(2)/2)*AW62+(1-EXP(-LN(2)/2))/(LN(2)/2)*AQ63*AT63*VLOOKUP('Données projet'!$B$10,Paramètres!$A$1:$I$89,3,0)*0.475*44/12</f>
        <v>1.8624026505962744E-4</v>
      </c>
      <c r="AX63" s="21">
        <f t="shared" si="6"/>
        <v>3.6662176838434526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245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244.99999999999983</v>
      </c>
      <c r="BE63" s="13">
        <f>BD63*VLOOKUP('Données projet'!$B$11,Paramètres!$A$1:$I$89,3,0)*VLOOKUP('Données projet'!$B$11,Paramètres!$A$1:$I$89,5,0)</f>
        <v>160.52399999999989</v>
      </c>
      <c r="BF63" s="13">
        <f t="shared" si="37"/>
        <v>40.960682569221547</v>
      </c>
      <c r="BG63" s="20">
        <f t="shared" si="7"/>
        <v>350.91915547472735</v>
      </c>
      <c r="BH63" s="59">
        <f t="shared" si="8"/>
        <v>644.25248880806066</v>
      </c>
      <c r="BI63" s="59">
        <f ca="1">AVERAGE(OFFSET($BH$3,0,0,'Données projet'!$E$11+1,1))-AVERAGE(OFFSET($H$3,0,0,'Données projet'!$E$11+1,1))</f>
        <v>172.9177436650786</v>
      </c>
      <c r="BJ63" s="59">
        <f t="shared" si="38"/>
        <v>173.73622806725865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12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0.91744851561715235</v>
      </c>
      <c r="BQ63" s="21">
        <f>EXP(-LN(2)/25)*BQ62+(1-EXP(-LN(2)/25))/(LN(2)/25)*Calculateur!BL63*Calculateur!BN63*VLOOKUP('Données projet'!$B$11,Paramètres!$A$1:$I$89,3,0)*0.475*44/12</f>
        <v>4.9689091659323088</v>
      </c>
      <c r="BR63" s="21">
        <f>EXP(-LN(2)/2)*BR62+(1-EXP(-LN(2)/2))/(LN(2)/2)*BL63*BO63*VLOOKUP('Données projet'!$B$11,Paramètres!$A$1:$I$89,3,0)*0.475*44/12</f>
        <v>2.5690491278673689E-4</v>
      </c>
      <c r="BS63" s="22">
        <f t="shared" si="9"/>
        <v>5.8866145864622474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16.625</v>
      </c>
      <c r="BY63" s="12">
        <f>IF('Données projet'!$A$114&gt;35,BY62+BX63-CG62,IF(A63&lt;'Données projet'!$A$114,$BV$205^A63,IF(A63='Données projet'!$A$114,'Données projet'!$B$114,BY62+BX63-CG62)))</f>
        <v>395.24999999999994</v>
      </c>
      <c r="BZ63" s="13">
        <f>BY63*VLOOKUP('Données projet'!$B$12,Paramètres!$A$1:$I$89,3,0)*VLOOKUP('Données projet'!$B$12,Paramètres!$A$1:$I$89,5,0)</f>
        <v>236.35949999999997</v>
      </c>
      <c r="CA63" s="13">
        <f t="shared" si="39"/>
        <v>57.655563749416167</v>
      </c>
      <c r="CB63" s="20">
        <f t="shared" si="10"/>
        <v>512.07623603023308</v>
      </c>
      <c r="CC63" s="59">
        <f t="shared" si="11"/>
        <v>805.40956936356633</v>
      </c>
      <c r="CD63" s="59">
        <f ca="1">AVERAGE(OFFSET($CC$3,0,0,'Données projet'!$E$12+1,1))-AVERAGE(OFFSET($H$3,0,0,'Données projet'!$E$12+1,1))</f>
        <v>289.07218105343333</v>
      </c>
      <c r="CE63" s="59">
        <f t="shared" si="40"/>
        <v>217.57508587672368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0.67003156191478275</v>
      </c>
      <c r="CL63" s="21">
        <f>EXP(-LN(2)/25)*CL62+(1-EXP(-LN(2)/25))/(LN(2)/25)*Calculateur!CG63*Calculateur!CI63*VLOOKUP('Données projet'!$B$12,Paramètres!$A$1:$I$89,3,0)*0.475*44/12</f>
        <v>2.8609536617428857</v>
      </c>
      <c r="CM63" s="21">
        <f>EXP(-LN(2)/2)*CM62+(1-EXP(-LN(2)/2))/(LN(2)/2)*CG63*CJ63*VLOOKUP('Données projet'!$B$12,Paramètres!$A$1:$I$89,3,0)*0.475*44/12</f>
        <v>2.3558688450621629E-4</v>
      </c>
      <c r="CN63" s="22">
        <f t="shared" si="12"/>
        <v>3.531220810542175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200.19999999999996</v>
      </c>
      <c r="O64" s="13">
        <f>N64*VLOOKUP('Données projet'!$B$9,Paramètres!$A$1:$I$89,3,0)*VLOOKUP('Données projet'!$B$9,Paramètres!$A$1:$I$89,5,0)</f>
        <v>203.00279999999995</v>
      </c>
      <c r="P64" s="13">
        <f t="shared" si="33"/>
        <v>50.403518824343074</v>
      </c>
      <c r="Q64" s="20">
        <f t="shared" si="53"/>
        <v>441.3493386190641</v>
      </c>
      <c r="R64" s="59">
        <f t="shared" si="0"/>
        <v>734.68267195239741</v>
      </c>
      <c r="S64" s="59">
        <f ca="1">AVERAGE(OFFSET($R$3,0,0,'Données projet'!$E$9+1,1))-AVERAGE(OFFSET($H$3,0,0,'Données projet'!$E$9+1,1))</f>
        <v>272.93635583300755</v>
      </c>
      <c r="T64" s="59">
        <f t="shared" si="34"/>
        <v>179.56041631665812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2.0215359156593449</v>
      </c>
      <c r="AA64" s="21">
        <f>EXP(-LN(2)/25)*AA63+(1-EXP(-LN(2)/25))/(LN(2)/25)*Calculateur!V64*Calculateur!X64*VLOOKUP('Données projet'!$B$9,Paramètres!$A$1:$I$89,3,0)*0.475*44/12</f>
        <v>1.9905516041313043</v>
      </c>
      <c r="AB64" s="21">
        <f>EXP(-LN(2)/2)*AB63+(1-EXP(-LN(2)/2))/(LN(2)/2)*V64*Y64*VLOOKUP('Données projet'!$B$9,Paramètres!$A$1:$I$89,3,0)*0.475*44/12</f>
        <v>1.4758558677563399E-4</v>
      </c>
      <c r="AC64" s="22">
        <f t="shared" si="3"/>
        <v>4.0122351053774246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181.14095999999995</v>
      </c>
      <c r="AK64" s="13">
        <f t="shared" si="35"/>
        <v>45.575935320610945</v>
      </c>
      <c r="AL64" s="20">
        <f t="shared" si="4"/>
        <v>394.86525935006392</v>
      </c>
      <c r="AM64" s="59">
        <f t="shared" si="5"/>
        <v>688.19859268339724</v>
      </c>
      <c r="AN64" s="59">
        <f ca="1">AVERAGE(OFFSET($AM$3,0,0,'Données projet'!$E$10+1,1))-AVERAGE(OFFSET($H$3,0,0,'Données projet'!$E$10+1,1))</f>
        <v>237.64646718446005</v>
      </c>
      <c r="AO64" s="59">
        <f t="shared" si="36"/>
        <v>156.67965022779907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1.8038320478191079</v>
      </c>
      <c r="AV64" s="21">
        <f>EXP(-LN(2)/25)*AV63+(1-EXP(-LN(2)/25))/(LN(2)/25)*Calculateur!AQ64*Calculateur!AS64*VLOOKUP('Données projet'!$B$10,Paramètres!$A$1:$I$89,3,0)*0.475*44/12</f>
        <v>1.7761845083017784</v>
      </c>
      <c r="AW64" s="21">
        <f>EXP(-LN(2)/2)*AW63+(1-EXP(-LN(2)/2))/(LN(2)/2)*AQ64*AT64*VLOOKUP('Données projet'!$B$10,Paramètres!$A$1:$I$89,3,0)*0.475*44/12</f>
        <v>1.3169175435364259E-4</v>
      </c>
      <c r="AX64" s="21">
        <f t="shared" si="6"/>
        <v>3.5801482478752398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237.39999999999984</v>
      </c>
      <c r="BE64" s="13">
        <f>BD64*VLOOKUP('Données projet'!$B$11,Paramètres!$A$1:$I$89,3,0)*VLOOKUP('Données projet'!$B$11,Paramètres!$A$1:$I$89,5,0)</f>
        <v>155.54447999999988</v>
      </c>
      <c r="BF64" s="13">
        <f t="shared" si="37"/>
        <v>39.835914576715631</v>
      </c>
      <c r="BG64" s="20">
        <f t="shared" si="7"/>
        <v>340.28752055444613</v>
      </c>
      <c r="BH64" s="59">
        <f t="shared" si="8"/>
        <v>633.6208538877795</v>
      </c>
      <c r="BI64" s="59">
        <f ca="1">AVERAGE(OFFSET($BH$3,0,0,'Données projet'!$E$11+1,1))-AVERAGE(OFFSET($H$3,0,0,'Données projet'!$E$11+1,1))</f>
        <v>172.9177436650786</v>
      </c>
      <c r="BJ64" s="59">
        <f t="shared" si="38"/>
        <v>173.73622806725865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0.89945790981423979</v>
      </c>
      <c r="BQ64" s="21">
        <f>EXP(-LN(2)/25)*BQ63+(1-EXP(-LN(2)/25))/(LN(2)/25)*Calculateur!BL64*Calculateur!BN64*VLOOKUP('Données projet'!$B$11,Paramètres!$A$1:$I$89,3,0)*0.475*44/12</f>
        <v>4.8330340834863135</v>
      </c>
      <c r="BR64" s="21">
        <f>EXP(-LN(2)/2)*BR63+(1-EXP(-LN(2)/2))/(LN(2)/2)*BL64*BO64*VLOOKUP('Données projet'!$B$11,Paramètres!$A$1:$I$89,3,0)*0.475*44/12</f>
        <v>1.8165920595164024E-4</v>
      </c>
      <c r="BS64" s="22">
        <f t="shared" si="9"/>
        <v>5.732673652506505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16.625</v>
      </c>
      <c r="BY64" s="12">
        <f>IF('Données projet'!$A$114&gt;35,BY63+BX64-CG63,IF(A64&lt;'Données projet'!$A$114,$BV$205^A64,IF(A64='Données projet'!$A$114,'Données projet'!$B$114,BY63+BX64-CG63)))</f>
        <v>411.87499999999994</v>
      </c>
      <c r="BZ64" s="13">
        <f>BY64*VLOOKUP('Données projet'!$B$12,Paramètres!$A$1:$I$89,3,0)*VLOOKUP('Données projet'!$B$12,Paramètres!$A$1:$I$89,5,0)</f>
        <v>246.30124999999998</v>
      </c>
      <c r="CA64" s="13">
        <f t="shared" si="39"/>
        <v>59.793223430016852</v>
      </c>
      <c r="CB64" s="20">
        <f t="shared" si="10"/>
        <v>533.11454122394582</v>
      </c>
      <c r="CC64" s="59">
        <f t="shared" si="11"/>
        <v>826.44787455727919</v>
      </c>
      <c r="CD64" s="59">
        <f ca="1">AVERAGE(OFFSET($CC$3,0,0,'Données projet'!$E$12+1,1))-AVERAGE(OFFSET($H$3,0,0,'Données projet'!$E$12+1,1))</f>
        <v>289.07218105343333</v>
      </c>
      <c r="CE64" s="59">
        <f t="shared" si="40"/>
        <v>217.57508587672368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0.65689265166453292</v>
      </c>
      <c r="CL64" s="21">
        <f>EXP(-LN(2)/25)*CL63+(1-EXP(-LN(2)/25))/(LN(2)/25)*Calculateur!CG64*Calculateur!CI64*VLOOKUP('Données projet'!$B$12,Paramètres!$A$1:$I$89,3,0)*0.475*44/12</f>
        <v>2.7827207334115123</v>
      </c>
      <c r="CM64" s="21">
        <f>EXP(-LN(2)/2)*CM63+(1-EXP(-LN(2)/2))/(LN(2)/2)*CG64*CJ64*VLOOKUP('Données projet'!$B$12,Paramètres!$A$1:$I$89,3,0)*0.475*44/12</f>
        <v>1.6658508359295753E-4</v>
      </c>
      <c r="CN64" s="22">
        <f t="shared" si="12"/>
        <v>3.4397799701596381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207.39999999999995</v>
      </c>
      <c r="O65" s="13">
        <f>N65*VLOOKUP('Données projet'!$B$9,Paramètres!$A$1:$I$89,3,0)*VLOOKUP('Données projet'!$B$9,Paramètres!$A$1:$I$89,5,0)</f>
        <v>210.30359999999996</v>
      </c>
      <c r="P65" s="13">
        <f t="shared" si="33"/>
        <v>52.001924357524459</v>
      </c>
      <c r="Q65" s="20">
        <f t="shared" si="53"/>
        <v>456.84878825602163</v>
      </c>
      <c r="R65" s="59">
        <f t="shared" si="0"/>
        <v>750.18212158935489</v>
      </c>
      <c r="S65" s="59">
        <f ca="1">AVERAGE(OFFSET($R$3,0,0,'Données projet'!$E$9+1,1))-AVERAGE(OFFSET($H$3,0,0,'Données projet'!$E$9+1,1))</f>
        <v>272.93635583300755</v>
      </c>
      <c r="T65" s="59">
        <f t="shared" si="34"/>
        <v>179.56041631665812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1.9818948293684235</v>
      </c>
      <c r="AA65" s="21">
        <f>EXP(-LN(2)/25)*AA64+(1-EXP(-LN(2)/25))/(LN(2)/25)*Calculateur!V65*Calculateur!X65*VLOOKUP('Données projet'!$B$9,Paramètres!$A$1:$I$89,3,0)*0.475*44/12</f>
        <v>1.9361198658377743</v>
      </c>
      <c r="AB65" s="21">
        <f>EXP(-LN(2)/2)*AB64+(1-EXP(-LN(2)/2))/(LN(2)/2)*V65*Y65*VLOOKUP('Données projet'!$B$9,Paramètres!$A$1:$I$89,3,0)*0.475*44/12</f>
        <v>1.0435876921444644E-4</v>
      </c>
      <c r="AC65" s="22">
        <f t="shared" si="3"/>
        <v>3.9181190539754125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187.65551999999994</v>
      </c>
      <c r="AK65" s="13">
        <f t="shared" si="35"/>
        <v>47.021247649900147</v>
      </c>
      <c r="AL65" s="20">
        <f t="shared" si="4"/>
        <v>408.72870365690932</v>
      </c>
      <c r="AM65" s="59">
        <f t="shared" si="5"/>
        <v>702.06203699024263</v>
      </c>
      <c r="AN65" s="59">
        <f ca="1">AVERAGE(OFFSET($AM$3,0,0,'Données projet'!$E$10+1,1))-AVERAGE(OFFSET($H$3,0,0,'Données projet'!$E$10+1,1))</f>
        <v>237.64646718446005</v>
      </c>
      <c r="AO65" s="59">
        <f t="shared" si="36"/>
        <v>156.67965022779907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1.7684600015902858</v>
      </c>
      <c r="AV65" s="21">
        <f>EXP(-LN(2)/25)*AV64+(1-EXP(-LN(2)/25))/(LN(2)/25)*Calculateur!AQ65*Calculateur!AS65*VLOOKUP('Données projet'!$B$10,Paramètres!$A$1:$I$89,3,0)*0.475*44/12</f>
        <v>1.7276146495167826</v>
      </c>
      <c r="AW65" s="21">
        <f>EXP(-LN(2)/2)*AW64+(1-EXP(-LN(2)/2))/(LN(2)/2)*AQ65*AT65*VLOOKUP('Données projet'!$B$10,Paramètres!$A$1:$I$89,3,0)*0.475*44/12</f>
        <v>9.3120132529813719E-5</v>
      </c>
      <c r="AX65" s="21">
        <f t="shared" si="6"/>
        <v>3.4961677712395982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241.79999999999984</v>
      </c>
      <c r="BE65" s="13">
        <f>BD65*VLOOKUP('Données projet'!$B$11,Paramètres!$A$1:$I$89,3,0)*VLOOKUP('Données projet'!$B$11,Paramètres!$A$1:$I$89,5,0)</f>
        <v>158.42735999999988</v>
      </c>
      <c r="BF65" s="13">
        <f t="shared" si="37"/>
        <v>40.487598405868212</v>
      </c>
      <c r="BG65" s="20">
        <f t="shared" si="7"/>
        <v>346.44355255688691</v>
      </c>
      <c r="BH65" s="59">
        <f t="shared" si="8"/>
        <v>639.77688589022023</v>
      </c>
      <c r="BI65" s="59">
        <f ca="1">AVERAGE(OFFSET($BH$3,0,0,'Données projet'!$E$11+1,1))-AVERAGE(OFFSET($H$3,0,0,'Données projet'!$E$11+1,1))</f>
        <v>172.9177436650786</v>
      </c>
      <c r="BJ65" s="59">
        <f t="shared" si="38"/>
        <v>173.73622806725865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0.88182008881793628</v>
      </c>
      <c r="BQ65" s="21">
        <f>EXP(-LN(2)/25)*BQ64+(1-EXP(-LN(2)/25))/(LN(2)/25)*Calculateur!BL65*Calculateur!BN65*VLOOKUP('Données projet'!$B$11,Paramètres!$A$1:$I$89,3,0)*0.475*44/12</f>
        <v>4.7008745123151634</v>
      </c>
      <c r="BR65" s="21">
        <f>EXP(-LN(2)/2)*BR64+(1-EXP(-LN(2)/2))/(LN(2)/2)*BL65*BO65*VLOOKUP('Données projet'!$B$11,Paramètres!$A$1:$I$89,3,0)*0.475*44/12</f>
        <v>1.2845245639336845E-4</v>
      </c>
      <c r="BS65" s="22">
        <f t="shared" si="9"/>
        <v>5.5828230535894932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16.625</v>
      </c>
      <c r="BY65" s="12">
        <f>IF('Données projet'!$A$114&gt;35,BY64+BX65-CG64,IF(A65&lt;'Données projet'!$A$114,$BV$205^A65,IF(A65='Données projet'!$A$114,'Données projet'!$B$114,BY64+BX65-CG64)))</f>
        <v>428.49999999999994</v>
      </c>
      <c r="BZ65" s="13">
        <f>BY65*VLOOKUP('Données projet'!$B$12,Paramètres!$A$1:$I$89,3,0)*VLOOKUP('Données projet'!$B$12,Paramètres!$A$1:$I$89,5,0)</f>
        <v>256.24299999999999</v>
      </c>
      <c r="CA65" s="13">
        <f t="shared" si="39"/>
        <v>61.920860231490025</v>
      </c>
      <c r="CB65" s="20">
        <f t="shared" si="10"/>
        <v>554.13538990317852</v>
      </c>
      <c r="CC65" s="59">
        <f t="shared" si="11"/>
        <v>847.46872323651178</v>
      </c>
      <c r="CD65" s="59">
        <f ca="1">AVERAGE(OFFSET($CC$3,0,0,'Données projet'!$E$12+1,1))-AVERAGE(OFFSET($H$3,0,0,'Données projet'!$E$12+1,1))</f>
        <v>289.07218105343333</v>
      </c>
      <c r="CE65" s="59">
        <f t="shared" si="40"/>
        <v>217.57508587672368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0.64401138743034658</v>
      </c>
      <c r="CL65" s="21">
        <f>EXP(-LN(2)/25)*CL64+(1-EXP(-LN(2)/25))/(LN(2)/25)*Calculateur!CG65*Calculateur!CI65*VLOOKUP('Données projet'!$B$12,Paramètres!$A$1:$I$89,3,0)*0.475*44/12</f>
        <v>2.706627088619451</v>
      </c>
      <c r="CM65" s="21">
        <f>EXP(-LN(2)/2)*CM64+(1-EXP(-LN(2)/2))/(LN(2)/2)*CG65*CJ65*VLOOKUP('Données projet'!$B$12,Paramètres!$A$1:$I$89,3,0)*0.475*44/12</f>
        <v>1.1779344225310815E-4</v>
      </c>
      <c r="CN65" s="22">
        <f t="shared" si="12"/>
        <v>3.350756269492051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214.59999999999994</v>
      </c>
      <c r="O66" s="13">
        <f>N66*VLOOKUP('Données projet'!$B$9,Paramètres!$A$1:$I$89,3,0)*VLOOKUP('Données projet'!$B$9,Paramètres!$A$1:$I$89,5,0)</f>
        <v>217.60439999999994</v>
      </c>
      <c r="P66" s="13">
        <f t="shared" si="33"/>
        <v>53.593882578706356</v>
      </c>
      <c r="Q66" s="20">
        <f t="shared" si="53"/>
        <v>472.33700882458015</v>
      </c>
      <c r="R66" s="59">
        <f t="shared" si="0"/>
        <v>765.67034215791341</v>
      </c>
      <c r="S66" s="59">
        <f ca="1">AVERAGE(OFFSET($R$3,0,0,'Données projet'!$E$9+1,1))-AVERAGE(OFFSET($H$3,0,0,'Données projet'!$E$9+1,1))</f>
        <v>272.93635583300755</v>
      </c>
      <c r="T66" s="59">
        <f t="shared" si="34"/>
        <v>179.56041631665812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1.9430310806009921</v>
      </c>
      <c r="AA66" s="21">
        <f>EXP(-LN(2)/25)*AA65+(1-EXP(-LN(2)/25))/(LN(2)/25)*Calculateur!V66*Calculateur!X66*VLOOKUP('Données projet'!$B$9,Paramètres!$A$1:$I$89,3,0)*0.475*44/12</f>
        <v>1.8831765662903217</v>
      </c>
      <c r="AB66" s="21">
        <f>EXP(-LN(2)/2)*AB65+(1-EXP(-LN(2)/2))/(LN(2)/2)*V66*Y66*VLOOKUP('Données projet'!$B$9,Paramètres!$A$1:$I$89,3,0)*0.475*44/12</f>
        <v>7.3792793387816993E-5</v>
      </c>
      <c r="AC66" s="22">
        <f t="shared" si="3"/>
        <v>3.8262814396847018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194.17007999999996</v>
      </c>
      <c r="AK66" s="13">
        <f t="shared" si="35"/>
        <v>48.460730182351035</v>
      </c>
      <c r="AL66" s="20">
        <f t="shared" si="4"/>
        <v>422.5819944009279</v>
      </c>
      <c r="AM66" s="59">
        <f t="shared" si="5"/>
        <v>715.91532773426115</v>
      </c>
      <c r="AN66" s="59">
        <f ca="1">AVERAGE(OFFSET($AM$3,0,0,'Données projet'!$E$10+1,1))-AVERAGE(OFFSET($H$3,0,0,'Données projet'!$E$10+1,1))</f>
        <v>237.64646718446005</v>
      </c>
      <c r="AO66" s="59">
        <f t="shared" si="36"/>
        <v>156.67965022779907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1.733781579613193</v>
      </c>
      <c r="AV66" s="21">
        <f>EXP(-LN(2)/25)*AV65+(1-EXP(-LN(2)/25))/(LN(2)/25)*Calculateur!AQ66*Calculateur!AS66*VLOOKUP('Données projet'!$B$10,Paramètres!$A$1:$I$89,3,0)*0.475*44/12</f>
        <v>1.6803729360744402</v>
      </c>
      <c r="AW66" s="21">
        <f>EXP(-LN(2)/2)*AW65+(1-EXP(-LN(2)/2))/(LN(2)/2)*AQ66*AT66*VLOOKUP('Données projet'!$B$10,Paramètres!$A$1:$I$89,3,0)*0.475*44/12</f>
        <v>6.5845877176821295E-5</v>
      </c>
      <c r="AX66" s="21">
        <f t="shared" si="6"/>
        <v>3.4142203615648099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246.19999999999985</v>
      </c>
      <c r="BE66" s="13">
        <f>BD66*VLOOKUP('Données projet'!$B$11,Paramètres!$A$1:$I$89,3,0)*VLOOKUP('Données projet'!$B$11,Paramètres!$A$1:$I$89,5,0)</f>
        <v>161.31023999999988</v>
      </c>
      <c r="BF66" s="13">
        <f t="shared" si="37"/>
        <v>41.137903274661063</v>
      </c>
      <c r="BG66" s="20">
        <f t="shared" si="7"/>
        <v>352.59718287003443</v>
      </c>
      <c r="BH66" s="59">
        <f t="shared" si="8"/>
        <v>645.93051620336769</v>
      </c>
      <c r="BI66" s="59">
        <f ca="1">AVERAGE(OFFSET($BH$3,0,0,'Données projet'!$E$11+1,1))-AVERAGE(OFFSET($H$3,0,0,'Données projet'!$E$11+1,1))</f>
        <v>172.9177436650786</v>
      </c>
      <c r="BJ66" s="59">
        <f t="shared" si="38"/>
        <v>173.73622806725865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0.86452813473336176</v>
      </c>
      <c r="BQ66" s="21">
        <f>EXP(-LN(2)/25)*BQ65+(1-EXP(-LN(2)/25))/(LN(2)/25)*Calculateur!BL66*Calculateur!BN66*VLOOKUP('Données projet'!$B$11,Paramètres!$A$1:$I$89,3,0)*0.475*44/12</f>
        <v>4.5723288515676588</v>
      </c>
      <c r="BR66" s="21">
        <f>EXP(-LN(2)/2)*BR65+(1-EXP(-LN(2)/2))/(LN(2)/2)*BL66*BO66*VLOOKUP('Données projet'!$B$11,Paramètres!$A$1:$I$89,3,0)*0.475*44/12</f>
        <v>9.082960297582012E-5</v>
      </c>
      <c r="BS66" s="22">
        <f t="shared" si="9"/>
        <v>5.4369478159039959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16.625</v>
      </c>
      <c r="BY66" s="12">
        <f>IF('Données projet'!$A$114&gt;35,BY65+BX66-CG65,IF(A66&lt;'Données projet'!$A$114,$BV$205^A66,IF(A66='Données projet'!$A$114,'Données projet'!$B$114,BY65+BX66-CG65)))</f>
        <v>445.12499999999994</v>
      </c>
      <c r="BZ66" s="13">
        <f>BY66*VLOOKUP('Données projet'!$B$12,Paramètres!$A$1:$I$89,3,0)*VLOOKUP('Données projet'!$B$12,Paramètres!$A$1:$I$89,5,0)</f>
        <v>266.18475000000001</v>
      </c>
      <c r="CA66" s="13">
        <f t="shared" si="39"/>
        <v>64.038907529798962</v>
      </c>
      <c r="CB66" s="20">
        <f t="shared" si="10"/>
        <v>575.13953686439993</v>
      </c>
      <c r="CC66" s="59">
        <f t="shared" si="11"/>
        <v>868.4728701977333</v>
      </c>
      <c r="CD66" s="59">
        <f ca="1">AVERAGE(OFFSET($CC$3,0,0,'Données projet'!$E$12+1,1))-AVERAGE(OFFSET($H$3,0,0,'Données projet'!$E$12+1,1))</f>
        <v>289.07218105343333</v>
      </c>
      <c r="CE66" s="59">
        <f t="shared" si="40"/>
        <v>217.57508587672368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0.63138271693099723</v>
      </c>
      <c r="CL66" s="21">
        <f>EXP(-LN(2)/25)*CL65+(1-EXP(-LN(2)/25))/(LN(2)/25)*Calculateur!CG66*Calculateur!CI66*VLOOKUP('Données projet'!$B$12,Paramètres!$A$1:$I$89,3,0)*0.475*44/12</f>
        <v>2.6326142285458194</v>
      </c>
      <c r="CM66" s="21">
        <f>EXP(-LN(2)/2)*CM65+(1-EXP(-LN(2)/2))/(LN(2)/2)*CG66*CJ66*VLOOKUP('Données projet'!$B$12,Paramètres!$A$1:$I$89,3,0)*0.475*44/12</f>
        <v>8.3292541796478763E-5</v>
      </c>
      <c r="CN66" s="22">
        <f t="shared" si="12"/>
        <v>3.2640802380186131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221.79999999999993</v>
      </c>
      <c r="O67" s="13">
        <f>N67*VLOOKUP('Données projet'!$B$9,Paramètres!$A$1:$I$89,3,0)*VLOOKUP('Données projet'!$B$9,Paramètres!$A$1:$I$89,5,0)</f>
        <v>224.90519999999995</v>
      </c>
      <c r="P67" s="13">
        <f t="shared" si="33"/>
        <v>55.17963460003309</v>
      </c>
      <c r="Q67" s="20">
        <f t="shared" ref="Q67:Q98" si="54">(O67+P67)*0.475*44/12</f>
        <v>487.81442026172425</v>
      </c>
      <c r="R67" s="59">
        <f t="shared" ref="R67:R130" si="55">Q67+(I67+J67)*44/12</f>
        <v>781.14775359505757</v>
      </c>
      <c r="S67" s="59">
        <f ca="1">AVERAGE(OFFSET($R$3,0,0,'Données projet'!$E$9+1,1))-AVERAGE(OFFSET($H$3,0,0,'Données projet'!$E$9+1,1))</f>
        <v>272.93635583300755</v>
      </c>
      <c r="T67" s="59">
        <f t="shared" si="34"/>
        <v>179.56041631665812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1.9049294262423437</v>
      </c>
      <c r="AA67" s="21">
        <f>EXP(-LN(2)/25)*AA66+(1-EXP(-LN(2)/25))/(LN(2)/25)*Calculateur!V67*Calculateur!X67*VLOOKUP('Données projet'!$B$9,Paramètres!$A$1:$I$89,3,0)*0.475*44/12</f>
        <v>1.8316810040531613</v>
      </c>
      <c r="AB67" s="21">
        <f>EXP(-LN(2)/2)*AB66+(1-EXP(-LN(2)/2))/(LN(2)/2)*V67*Y67*VLOOKUP('Données projet'!$B$9,Paramètres!$A$1:$I$89,3,0)*0.475*44/12</f>
        <v>5.2179384607223222E-5</v>
      </c>
      <c r="AC67" s="22">
        <f t="shared" si="3"/>
        <v>3.7366626096801121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200.68463999999992</v>
      </c>
      <c r="AK67" s="13">
        <f t="shared" si="35"/>
        <v>49.894600936700193</v>
      </c>
      <c r="AL67" s="20">
        <f t="shared" si="4"/>
        <v>436.42551129808606</v>
      </c>
      <c r="AM67" s="59">
        <f t="shared" si="5"/>
        <v>729.75884463141938</v>
      </c>
      <c r="AN67" s="59">
        <f ca="1">AVERAGE(OFFSET($AM$3,0,0,'Données projet'!$E$10+1,1))-AVERAGE(OFFSET($H$3,0,0,'Données projet'!$E$10+1,1))</f>
        <v>237.64646718446005</v>
      </c>
      <c r="AO67" s="59">
        <f t="shared" si="36"/>
        <v>156.67965022779907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1.6997831803393222</v>
      </c>
      <c r="AV67" s="21">
        <f>EXP(-LN(2)/25)*AV66+(1-EXP(-LN(2)/25))/(LN(2)/25)*Calculateur!AQ67*Calculateur!AS67*VLOOKUP('Données projet'!$B$10,Paramètres!$A$1:$I$89,3,0)*0.475*44/12</f>
        <v>1.6344230497705123</v>
      </c>
      <c r="AW67" s="21">
        <f>EXP(-LN(2)/2)*AW66+(1-EXP(-LN(2)/2))/(LN(2)/2)*AQ67*AT67*VLOOKUP('Données projet'!$B$10,Paramètres!$A$1:$I$89,3,0)*0.475*44/12</f>
        <v>4.6560066264906859E-5</v>
      </c>
      <c r="AX67" s="21">
        <f t="shared" si="6"/>
        <v>3.334252790176099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250.59999999999985</v>
      </c>
      <c r="BE67" s="13">
        <f>BD67*VLOOKUP('Données projet'!$B$11,Paramètres!$A$1:$I$89,3,0)*VLOOKUP('Données projet'!$B$11,Paramètres!$A$1:$I$89,5,0)</f>
        <v>164.19311999999991</v>
      </c>
      <c r="BF67" s="13">
        <f t="shared" si="37"/>
        <v>41.786856670339013</v>
      </c>
      <c r="BG67" s="20">
        <f t="shared" si="7"/>
        <v>358.74845936750694</v>
      </c>
      <c r="BH67" s="59">
        <f t="shared" si="8"/>
        <v>652.0817927008402</v>
      </c>
      <c r="BI67" s="59">
        <f ca="1">AVERAGE(OFFSET($BH$3,0,0,'Données projet'!$E$11+1,1))-AVERAGE(OFFSET($H$3,0,0,'Données projet'!$E$11+1,1))</f>
        <v>172.9177436650786</v>
      </c>
      <c r="BJ67" s="59">
        <f t="shared" si="38"/>
        <v>173.73622806725865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0.8475752653213352</v>
      </c>
      <c r="BQ67" s="21">
        <f>EXP(-LN(2)/25)*BQ66+(1-EXP(-LN(2)/25))/(LN(2)/25)*Calculateur!BL67*Calculateur!BN67*VLOOKUP('Données projet'!$B$11,Paramètres!$A$1:$I$89,3,0)*0.475*44/12</f>
        <v>4.4472982786732169</v>
      </c>
      <c r="BR67" s="21">
        <f>EXP(-LN(2)/2)*BR66+(1-EXP(-LN(2)/2))/(LN(2)/2)*BL67*BO67*VLOOKUP('Données projet'!$B$11,Paramètres!$A$1:$I$89,3,0)*0.475*44/12</f>
        <v>6.4226228196684223E-5</v>
      </c>
      <c r="BS67" s="22">
        <f t="shared" si="9"/>
        <v>5.2949377702227487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16.625</v>
      </c>
      <c r="BY67" s="12">
        <f>IF('Données projet'!$A$114&gt;35,BY66+BX67-CG66,IF(A67&lt;'Données projet'!$A$114,$BV$205^A67,IF(A67='Données projet'!$A$114,'Données projet'!$B$114,BY66+BX67-CG66)))</f>
        <v>461.74999999999994</v>
      </c>
      <c r="BZ67" s="13">
        <f>BY67*VLOOKUP('Données projet'!$B$12,Paramètres!$A$1:$I$89,3,0)*VLOOKUP('Données projet'!$B$12,Paramètres!$A$1:$I$89,5,0)</f>
        <v>276.12649999999996</v>
      </c>
      <c r="CA67" s="13">
        <f t="shared" si="39"/>
        <v>66.147764494536574</v>
      </c>
      <c r="CB67" s="20">
        <f t="shared" si="10"/>
        <v>596.12767732798443</v>
      </c>
      <c r="CC67" s="59">
        <f t="shared" si="11"/>
        <v>889.46101066131769</v>
      </c>
      <c r="CD67" s="59">
        <f ca="1">AVERAGE(OFFSET($CC$3,0,0,'Données projet'!$E$12+1,1))-AVERAGE(OFFSET($H$3,0,0,'Données projet'!$E$12+1,1))</f>
        <v>289.07218105343333</v>
      </c>
      <c r="CE67" s="59">
        <f t="shared" si="40"/>
        <v>217.57508587672368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0.61900168695741176</v>
      </c>
      <c r="CL67" s="21">
        <f>EXP(-LN(2)/25)*CL66+(1-EXP(-LN(2)/25))/(LN(2)/25)*Calculateur!CG67*Calculateur!CI67*VLOOKUP('Données projet'!$B$12,Paramètres!$A$1:$I$89,3,0)*0.475*44/12</f>
        <v>2.5606252540230687</v>
      </c>
      <c r="CM67" s="21">
        <f>EXP(-LN(2)/2)*CM66+(1-EXP(-LN(2)/2))/(LN(2)/2)*CG67*CJ67*VLOOKUP('Données projet'!$B$12,Paramètres!$A$1:$I$89,3,0)*0.475*44/12</f>
        <v>5.8896721126554073E-5</v>
      </c>
      <c r="CN67" s="22">
        <f t="shared" si="12"/>
        <v>3.1796858377016068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229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228.99999999999991</v>
      </c>
      <c r="O68" s="13">
        <f>N68*VLOOKUP('Données projet'!$B$9,Paramètres!$A$1:$I$89,3,0)*VLOOKUP('Données projet'!$B$9,Paramètres!$A$1:$I$89,5,0)</f>
        <v>232.2059999999999</v>
      </c>
      <c r="P68" s="13">
        <f t="shared" si="33"/>
        <v>56.759404991217522</v>
      </c>
      <c r="Q68" s="20">
        <f t="shared" si="54"/>
        <v>503.281413693037</v>
      </c>
      <c r="R68" s="59">
        <f t="shared" si="55"/>
        <v>796.61474702637031</v>
      </c>
      <c r="S68" s="59">
        <f ca="1">AVERAGE(OFFSET($R$3,0,0,'Données projet'!$E$9+1,1))-AVERAGE(OFFSET($H$3,0,0,'Données projet'!$E$9+1,1))</f>
        <v>272.93635583300755</v>
      </c>
      <c r="T68" s="59">
        <f t="shared" si="34"/>
        <v>179.56041631665812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21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1.8675749220859541</v>
      </c>
      <c r="AA68" s="21">
        <f>EXP(-LN(2)/25)*AA67+(1-EXP(-LN(2)/25))/(LN(2)/25)*Calculateur!V68*Calculateur!X68*VLOOKUP('Données projet'!$B$9,Paramètres!$A$1:$I$89,3,0)*0.475*44/12</f>
        <v>1.7815935906734099</v>
      </c>
      <c r="AB68" s="21">
        <f>EXP(-LN(2)/2)*AB67+(1-EXP(-LN(2)/2))/(LN(2)/2)*V68*Y68*VLOOKUP('Données projet'!$B$9,Paramètres!$A$1:$I$89,3,0)*0.475*44/12</f>
        <v>3.6896396693908496E-5</v>
      </c>
      <c r="AC68" s="22">
        <f t="shared" ref="AC68:AC131" si="57">SUM(Z68:AB68)</f>
        <v>3.6492054091560582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207.19919999999991</v>
      </c>
      <c r="AK68" s="13">
        <f t="shared" si="35"/>
        <v>51.3230629736655</v>
      </c>
      <c r="AL68" s="20">
        <f t="shared" ref="AL68:AL131" si="58">(AJ68+AK68)*0.475*44/12</f>
        <v>450.25960801246725</v>
      </c>
      <c r="AM68" s="59">
        <f t="shared" ref="AM68:AM131" si="59">AL68+(AD68+AE68)*44/12</f>
        <v>743.59294134580057</v>
      </c>
      <c r="AN68" s="59">
        <f ca="1">AVERAGE(OFFSET($AM$3,0,0,'Données projet'!$E$10+1,1))-AVERAGE(OFFSET($H$3,0,0,'Données projet'!$E$10+1,1))</f>
        <v>237.64646718446005</v>
      </c>
      <c r="AO68" s="59">
        <f t="shared" si="36"/>
        <v>156.67965022779907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1.6664514689382359</v>
      </c>
      <c r="AV68" s="21">
        <f>EXP(-LN(2)/25)*AV67+(1-EXP(-LN(2)/25))/(LN(2)/25)*Calculateur!AQ68*Calculateur!AS68*VLOOKUP('Données projet'!$B$10,Paramètres!$A$1:$I$89,3,0)*0.475*44/12</f>
        <v>1.589729665523965</v>
      </c>
      <c r="AW68" s="21">
        <f>EXP(-LN(2)/2)*AW67+(1-EXP(-LN(2)/2))/(LN(2)/2)*AQ68*AT68*VLOOKUP('Données projet'!$B$10,Paramètres!$A$1:$I$89,3,0)*0.475*44/12</f>
        <v>3.2922938588410648E-5</v>
      </c>
      <c r="AX68" s="21">
        <f t="shared" ref="AX68:AX131" si="60">SUM(AU68:AW68)</f>
        <v>3.2562140574007894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254.99999999999986</v>
      </c>
      <c r="BE68" s="13">
        <f>BD68*VLOOKUP('Données projet'!$B$11,Paramètres!$A$1:$I$89,3,0)*VLOOKUP('Données projet'!$B$11,Paramètres!$A$1:$I$89,5,0)</f>
        <v>167.07599999999991</v>
      </c>
      <c r="BF68" s="13">
        <f t="shared" si="37"/>
        <v>42.434485059621636</v>
      </c>
      <c r="BG68" s="20">
        <f t="shared" ref="BG68:BG131" si="61">(BE68+BF68)*0.475*44/12</f>
        <v>364.89742814550755</v>
      </c>
      <c r="BH68" s="59">
        <f t="shared" ref="BH68:BH131" si="62">BG68+(AY68+AZ68)*44/12</f>
        <v>658.2307614788408</v>
      </c>
      <c r="BI68" s="59">
        <f ca="1">AVERAGE(OFFSET($BH$3,0,0,'Données projet'!$E$11+1,1))-AVERAGE(OFFSET($H$3,0,0,'Données projet'!$E$11+1,1))</f>
        <v>172.9177436650786</v>
      </c>
      <c r="BJ68" s="59">
        <f t="shared" si="38"/>
        <v>173.73622806725865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11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0.8309548313382491</v>
      </c>
      <c r="BQ68" s="21">
        <f>EXP(-LN(2)/25)*BQ67+(1-EXP(-LN(2)/25))/(LN(2)/25)*Calculateur!BL68*Calculateur!BN68*VLOOKUP('Données projet'!$B$11,Paramètres!$A$1:$I$89,3,0)*0.475*44/12</f>
        <v>4.3256866733696455</v>
      </c>
      <c r="BR68" s="21">
        <f>EXP(-LN(2)/2)*BR67+(1-EXP(-LN(2)/2))/(LN(2)/2)*BL68*BO68*VLOOKUP('Données projet'!$B$11,Paramètres!$A$1:$I$89,3,0)*0.475*44/12</f>
        <v>4.541480148791006E-5</v>
      </c>
      <c r="BS68" s="22">
        <f t="shared" ref="BS68:BS131" si="63">SUM(BP68:BR68)</f>
        <v>5.156686919509383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16.625</v>
      </c>
      <c r="BY68" s="12">
        <f>IF('Données projet'!$A$114&gt;35,BY67+BX68-CG67,IF(A68&lt;'Données projet'!$A$114,$BV$205^A68,IF(A68='Données projet'!$A$114,'Données projet'!$B$114,BY67+BX68-CG67)))</f>
        <v>478.37499999999994</v>
      </c>
      <c r="BZ68" s="13">
        <f>BY68*VLOOKUP('Données projet'!$B$12,Paramètres!$A$1:$I$89,3,0)*VLOOKUP('Données projet'!$B$12,Paramètres!$A$1:$I$89,5,0)</f>
        <v>286.06824999999998</v>
      </c>
      <c r="CA68" s="13">
        <f t="shared" si="39"/>
        <v>68.247799922382825</v>
      </c>
      <c r="CB68" s="20">
        <f t="shared" ref="CB68:CB131" si="64">(BZ68+CA68)*0.475*44/12</f>
        <v>617.10045361481673</v>
      </c>
      <c r="CC68" s="59">
        <f t="shared" ref="CC68:CC131" si="65">CB68+(BT68+BU68)*44/12</f>
        <v>910.4337869481501</v>
      </c>
      <c r="CD68" s="59">
        <f ca="1">AVERAGE(OFFSET($CC$3,0,0,'Données projet'!$E$12+1,1))-AVERAGE(OFFSET($H$3,0,0,'Données projet'!$E$12+1,1))</f>
        <v>289.07218105343333</v>
      </c>
      <c r="CE68" s="59">
        <f t="shared" si="40"/>
        <v>217.57508587672368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0.60686344142992565</v>
      </c>
      <c r="CL68" s="21">
        <f>EXP(-LN(2)/25)*CL67+(1-EXP(-LN(2)/25))/(LN(2)/25)*Calculateur!CG68*Calculateur!CI68*VLOOKUP('Données projet'!$B$12,Paramètres!$A$1:$I$89,3,0)*0.475*44/12</f>
        <v>2.4906048217943781</v>
      </c>
      <c r="CM68" s="21">
        <f>EXP(-LN(2)/2)*CM67+(1-EXP(-LN(2)/2))/(LN(2)/2)*CG68*CJ68*VLOOKUP('Données projet'!$B$12,Paramètres!$A$1:$I$89,3,0)*0.475*44/12</f>
        <v>4.1646270898239381E-5</v>
      </c>
      <c r="CN68" s="22">
        <f t="shared" ref="CN68:CN131" si="66">SUM(CK68:CM68)</f>
        <v>3.0975099094952019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214.79999999999993</v>
      </c>
      <c r="O69" s="13">
        <f>N69*VLOOKUP('Données projet'!$B$9,Paramètres!$A$1:$I$89,3,0)*VLOOKUP('Données projet'!$B$9,Paramètres!$A$1:$I$89,5,0)</f>
        <v>217.80719999999994</v>
      </c>
      <c r="P69" s="13">
        <f t="shared" ref="P69:P132" si="87">EXP(-1.0587+0.8836*LN(O69)+0.284)</f>
        <v>53.638013973813976</v>
      </c>
      <c r="Q69" s="20">
        <f t="shared" si="54"/>
        <v>472.76708100439259</v>
      </c>
      <c r="R69" s="59">
        <f t="shared" si="55"/>
        <v>766.10041433772585</v>
      </c>
      <c r="S69" s="59">
        <f ca="1">AVERAGE(OFFSET($R$3,0,0,'Données projet'!$E$9+1,1))-AVERAGE(OFFSET($H$3,0,0,'Données projet'!$E$9+1,1))</f>
        <v>272.93635583300755</v>
      </c>
      <c r="T69" s="59">
        <f t="shared" ref="T69:T132" si="88">$T$3</f>
        <v>179.56041631665812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1.8309529169720735</v>
      </c>
      <c r="AA69" s="21">
        <f>EXP(-LN(2)/25)*AA68+(1-EXP(-LN(2)/25))/(LN(2)/25)*Calculateur!V69*Calculateur!X69*VLOOKUP('Données projet'!$B$9,Paramètres!$A$1:$I$89,3,0)*0.475*44/12</f>
        <v>1.7328758202465104</v>
      </c>
      <c r="AB69" s="21">
        <f>EXP(-LN(2)/2)*AB68+(1-EXP(-LN(2)/2))/(LN(2)/2)*V69*Y69*VLOOKUP('Données projet'!$B$9,Paramètres!$A$1:$I$89,3,0)*0.475*44/12</f>
        <v>2.6089692303611611E-5</v>
      </c>
      <c r="AC69" s="22">
        <f t="shared" si="57"/>
        <v>3.5638548269108874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194.35103999999993</v>
      </c>
      <c r="AK69" s="13">
        <f t="shared" ref="AK69:AK132" si="89">EXP(-1.0587+0.8836*LN(AJ69)+0.284)</f>
        <v>48.500634729810159</v>
      </c>
      <c r="AL69" s="20">
        <f t="shared" si="58"/>
        <v>422.96666682108594</v>
      </c>
      <c r="AM69" s="59">
        <f t="shared" si="59"/>
        <v>716.30000015441919</v>
      </c>
      <c r="AN69" s="59">
        <f ca="1">AVERAGE(OFFSET($AM$3,0,0,'Données projet'!$E$10+1,1))-AVERAGE(OFFSET($H$3,0,0,'Données projet'!$E$10+1,1))</f>
        <v>237.64646718446005</v>
      </c>
      <c r="AO69" s="59">
        <f t="shared" ref="AO69:AO132" si="90">$AO$3</f>
        <v>156.67965022779907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1.6337733720673886</v>
      </c>
      <c r="AV69" s="21">
        <f>EXP(-LN(2)/25)*AV68+(1-EXP(-LN(2)/25))/(LN(2)/25)*Calculateur!AQ69*Calculateur!AS69*VLOOKUP('Données projet'!$B$10,Paramètres!$A$1:$I$89,3,0)*0.475*44/12</f>
        <v>1.5462584242199624</v>
      </c>
      <c r="AW69" s="21">
        <f>EXP(-LN(2)/2)*AW68+(1-EXP(-LN(2)/2))/(LN(2)/2)*AQ69*AT69*VLOOKUP('Données projet'!$B$10,Paramètres!$A$1:$I$89,3,0)*0.475*44/12</f>
        <v>2.328003313245343E-5</v>
      </c>
      <c r="AX69" s="21">
        <f t="shared" si="60"/>
        <v>3.1800550763204836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3.8</v>
      </c>
      <c r="BD69" s="12">
        <f>IF('Données projet'!$A$88&gt;35,BD68+BC69-BL68,IF(A69&lt;'Données projet'!$A$88,$BA$205^A69,IF(A69='Données projet'!$A$88,'Données projet'!$B$88,BD68+BC69-BL68)))</f>
        <v>247.79999999999984</v>
      </c>
      <c r="BE69" s="13">
        <f>BD69*VLOOKUP('Données projet'!$B$11,Paramètres!$A$1:$I$89,3,0)*VLOOKUP('Données projet'!$B$11,Paramètres!$A$1:$I$89,5,0)</f>
        <v>162.3585599999999</v>
      </c>
      <c r="BF69" s="13">
        <f t="shared" ref="BF69:BF132" si="91">EXP(-1.0587+0.8836*LN(BE69)+0.284)</f>
        <v>41.374041283105406</v>
      </c>
      <c r="BG69" s="20">
        <f t="shared" si="61"/>
        <v>354.83428056807503</v>
      </c>
      <c r="BH69" s="59">
        <f t="shared" si="62"/>
        <v>648.16761390140834</v>
      </c>
      <c r="BI69" s="59">
        <f ca="1">AVERAGE(OFFSET($BH$3,0,0,'Données projet'!$E$11+1,1))-AVERAGE(OFFSET($H$3,0,0,'Données projet'!$E$11+1,1))</f>
        <v>172.9177436650786</v>
      </c>
      <c r="BJ69" s="59">
        <f t="shared" ref="BJ69:BJ132" si="92">$BJ$3</f>
        <v>173.73622806725865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0.81466031392810756</v>
      </c>
      <c r="BQ69" s="21">
        <f>EXP(-LN(2)/25)*BQ68+(1-EXP(-LN(2)/25))/(LN(2)/25)*Calculateur!BL69*Calculateur!BN69*VLOOKUP('Données projet'!$B$11,Paramètres!$A$1:$I$89,3,0)*0.475*44/12</f>
        <v>4.2074005438083768</v>
      </c>
      <c r="BR69" s="21">
        <f>EXP(-LN(2)/2)*BR68+(1-EXP(-LN(2)/2))/(LN(2)/2)*BL69*BO69*VLOOKUP('Données projet'!$B$11,Paramètres!$A$1:$I$89,3,0)*0.475*44/12</f>
        <v>3.2113114098342112E-5</v>
      </c>
      <c r="BS69" s="22">
        <f t="shared" si="63"/>
        <v>5.0220929708505828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495</v>
      </c>
      <c r="BW69" s="12">
        <f>VLOOKUP(A69,'Données projet'!$A$113:$I$133,9,0)</f>
        <v>16.625</v>
      </c>
      <c r="BX69" s="12">
        <f t="array" ref="BX69">INDEX(BW:BW,MIN(IF(ISNUMBER(BW69:BW265),ROW(BW69:BW265),"")))</f>
        <v>16.625</v>
      </c>
      <c r="BY69" s="12">
        <f>IF('Données projet'!$A$114&gt;35,BY68+BX69-CG68,IF(A69&lt;'Données projet'!$A$114,$BV$205^A69,IF(A69='Données projet'!$A$114,'Données projet'!$B$114,BY68+BX69-CG68)))</f>
        <v>494.99999999999994</v>
      </c>
      <c r="BZ69" s="13">
        <f>BY69*VLOOKUP('Données projet'!$B$12,Paramètres!$A$1:$I$89,3,0)*VLOOKUP('Données projet'!$B$12,Paramètres!$A$1:$I$89,5,0)</f>
        <v>296.01</v>
      </c>
      <c r="CA69" s="13">
        <f t="shared" ref="CA69:CA132" si="93">EXP(-1.0587+0.8836*LN(BZ69)+0.284)</f>
        <v>70.339355522692159</v>
      </c>
      <c r="CB69" s="20">
        <f t="shared" si="64"/>
        <v>638.05846086868871</v>
      </c>
      <c r="CC69" s="59">
        <f t="shared" si="65"/>
        <v>931.39179420202208</v>
      </c>
      <c r="CD69" s="59">
        <f ca="1">AVERAGE(OFFSET($CC$3,0,0,'Données projet'!$E$12+1,1))-AVERAGE(OFFSET($H$3,0,0,'Données projet'!$E$12+1,1))</f>
        <v>289.07218105343333</v>
      </c>
      <c r="CE69" s="59">
        <f t="shared" ref="CE69:CE132" si="94">$CE$3</f>
        <v>217.57508587672368</v>
      </c>
      <c r="CF69" s="15">
        <f>IF(ISNA(VLOOKUP(A69,'Données projet'!$A$113:$I$133,3,0)),0,VLOOKUP(A69,'Données projet'!$A$113:$I$133,3,0))</f>
        <v>9</v>
      </c>
      <c r="CG69" s="15">
        <f>IF(ISNA(VLOOKUP(A69,'Données projet'!$A$113:$I$133,4,0)),0,VLOOKUP(A69,'Données projet'!$A$113:$I$133,4,0))</f>
        <v>65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0.59496321949363484</v>
      </c>
      <c r="CL69" s="21">
        <f>EXP(-LN(2)/25)*CL68+(1-EXP(-LN(2)/25))/(LN(2)/25)*Calculateur!CG69*Calculateur!CI69*VLOOKUP('Données projet'!$B$12,Paramètres!$A$1:$I$89,3,0)*0.475*44/12</f>
        <v>2.4224991019671958</v>
      </c>
      <c r="CM69" s="21">
        <f>EXP(-LN(2)/2)*CM68+(1-EXP(-LN(2)/2))/(LN(2)/2)*CG69*CJ69*VLOOKUP('Données projet'!$B$12,Paramètres!$A$1:$I$89,3,0)*0.475*44/12</f>
        <v>2.9448360563277037E-5</v>
      </c>
      <c r="CN69" s="22">
        <f t="shared" si="66"/>
        <v>3.0174917698213939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221.59999999999994</v>
      </c>
      <c r="O70" s="13">
        <f>N70*VLOOKUP('Données projet'!$B$9,Paramètres!$A$1:$I$89,3,0)*VLOOKUP('Données projet'!$B$9,Paramètres!$A$1:$I$89,5,0)</f>
        <v>224.70239999999995</v>
      </c>
      <c r="P70" s="13">
        <f t="shared" si="87"/>
        <v>55.135667706678262</v>
      </c>
      <c r="Q70" s="20">
        <f t="shared" si="54"/>
        <v>487.38463458913128</v>
      </c>
      <c r="R70" s="59">
        <f t="shared" si="55"/>
        <v>780.7179679224646</v>
      </c>
      <c r="S70" s="59">
        <f ca="1">AVERAGE(OFFSET($R$3,0,0,'Données projet'!$E$9+1,1))-AVERAGE(OFFSET($H$3,0,0,'Données projet'!$E$9+1,1))</f>
        <v>272.93635583300755</v>
      </c>
      <c r="T70" s="59">
        <f t="shared" si="88"/>
        <v>179.56041631665812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1.7950490470412586</v>
      </c>
      <c r="AA70" s="21">
        <f>EXP(-LN(2)/25)*AA69+(1-EXP(-LN(2)/25))/(LN(2)/25)*Calculateur!V70*Calculateur!X70*VLOOKUP('Données projet'!$B$9,Paramètres!$A$1:$I$89,3,0)*0.475*44/12</f>
        <v>1.6854902398138907</v>
      </c>
      <c r="AB70" s="21">
        <f>EXP(-LN(2)/2)*AB69+(1-EXP(-LN(2)/2))/(LN(2)/2)*V70*Y70*VLOOKUP('Données projet'!$B$9,Paramètres!$A$1:$I$89,3,0)*0.475*44/12</f>
        <v>1.8448198346954248E-5</v>
      </c>
      <c r="AC70" s="22">
        <f t="shared" si="57"/>
        <v>3.4805577350534964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200.50367999999995</v>
      </c>
      <c r="AK70" s="13">
        <f t="shared" si="89"/>
        <v>49.854845135229887</v>
      </c>
      <c r="AL70" s="20">
        <f t="shared" si="58"/>
        <v>436.04109794385857</v>
      </c>
      <c r="AM70" s="59">
        <f t="shared" si="59"/>
        <v>729.37443127719189</v>
      </c>
      <c r="AN70" s="59">
        <f ca="1">AVERAGE(OFFSET($AM$3,0,0,'Données projet'!$E$10+1,1))-AVERAGE(OFFSET($H$3,0,0,'Données projet'!$E$10+1,1))</f>
        <v>237.64646718446005</v>
      </c>
      <c r="AO70" s="59">
        <f t="shared" si="90"/>
        <v>156.67965022779907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1.6017360727445076</v>
      </c>
      <c r="AV70" s="21">
        <f>EXP(-LN(2)/25)*AV69+(1-EXP(-LN(2)/25))/(LN(2)/25)*Calculateur!AQ70*Calculateur!AS70*VLOOKUP('Données projet'!$B$10,Paramètres!$A$1:$I$89,3,0)*0.475*44/12</f>
        <v>1.503975906295471</v>
      </c>
      <c r="AW70" s="21">
        <f>EXP(-LN(2)/2)*AW69+(1-EXP(-LN(2)/2))/(LN(2)/2)*AQ70*AT70*VLOOKUP('Données projet'!$B$10,Paramètres!$A$1:$I$89,3,0)*0.475*44/12</f>
        <v>1.6461469294205324E-5</v>
      </c>
      <c r="AX70" s="21">
        <f t="shared" si="60"/>
        <v>3.1057284405092727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3.8</v>
      </c>
      <c r="BD70" s="12">
        <f>IF('Données projet'!$A$88&gt;35,BD69+BC70-BL69,IF(A70&lt;'Données projet'!$A$88,$BA$205^A70,IF(A70='Données projet'!$A$88,'Données projet'!$B$88,BD69+BC70-BL69)))</f>
        <v>251.59999999999985</v>
      </c>
      <c r="BE70" s="13">
        <f>BD70*VLOOKUP('Données projet'!$B$11,Paramètres!$A$1:$I$89,3,0)*VLOOKUP('Données projet'!$B$11,Paramètres!$A$1:$I$89,5,0)</f>
        <v>164.84831999999992</v>
      </c>
      <c r="BF70" s="13">
        <f t="shared" si="91"/>
        <v>41.934160358278397</v>
      </c>
      <c r="BG70" s="20">
        <f t="shared" si="61"/>
        <v>360.14615329066805</v>
      </c>
      <c r="BH70" s="59">
        <f t="shared" si="62"/>
        <v>653.47948662400131</v>
      </c>
      <c r="BI70" s="59">
        <f ca="1">AVERAGE(OFFSET($BH$3,0,0,'Données projet'!$E$11+1,1))-AVERAGE(OFFSET($H$3,0,0,'Données projet'!$E$11+1,1))</f>
        <v>172.9177436650786</v>
      </c>
      <c r="BJ70" s="59">
        <f t="shared" si="92"/>
        <v>173.73622806725865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0.79868532206570464</v>
      </c>
      <c r="BQ70" s="21">
        <f>EXP(-LN(2)/25)*BQ69+(1-EXP(-LN(2)/25))/(LN(2)/25)*Calculateur!BL70*Calculateur!BN70*VLOOKUP('Données projet'!$B$11,Paramètres!$A$1:$I$89,3,0)*0.475*44/12</f>
        <v>4.0923489546803582</v>
      </c>
      <c r="BR70" s="21">
        <f>EXP(-LN(2)/2)*BR69+(1-EXP(-LN(2)/2))/(LN(2)/2)*BL70*BO70*VLOOKUP('Données projet'!$B$11,Paramètres!$A$1:$I$89,3,0)*0.475*44/12</f>
        <v>2.270740074395503E-5</v>
      </c>
      <c r="BS70" s="22">
        <f t="shared" si="63"/>
        <v>4.8910569841468066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12.875</v>
      </c>
      <c r="BY70" s="12">
        <f>IF('Données projet'!$A$114&gt;35,BY69+BX70-CG69,IF(A70&lt;'Données projet'!$A$114,$BV$205^A70,IF(A70='Données projet'!$A$114,'Données projet'!$B$114,BY69+BX70-CG69)))</f>
        <v>442.87499999999994</v>
      </c>
      <c r="BZ70" s="13">
        <f>BY70*VLOOKUP('Données projet'!$B$12,Paramètres!$A$1:$I$89,3,0)*VLOOKUP('Données projet'!$B$12,Paramètres!$A$1:$I$89,5,0)</f>
        <v>264.83924999999999</v>
      </c>
      <c r="CA70" s="13">
        <f t="shared" si="93"/>
        <v>63.752800756768096</v>
      </c>
      <c r="CB70" s="20">
        <f t="shared" si="64"/>
        <v>572.29782173470437</v>
      </c>
      <c r="CC70" s="59">
        <f t="shared" si="65"/>
        <v>865.63115506803774</v>
      </c>
      <c r="CD70" s="59">
        <f ca="1">AVERAGE(OFFSET($CC$3,0,0,'Données projet'!$E$12+1,1))-AVERAGE(OFFSET($H$3,0,0,'Données projet'!$E$12+1,1))</f>
        <v>289.07218105343333</v>
      </c>
      <c r="CE70" s="59">
        <f t="shared" si="94"/>
        <v>217.57508587672368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0.583296353651096</v>
      </c>
      <c r="CL70" s="21">
        <f>EXP(-LN(2)/25)*CL69+(1-EXP(-LN(2)/25))/(LN(2)/25)*Calculateur!CG70*Calculateur!CI70*VLOOKUP('Données projet'!$B$12,Paramètres!$A$1:$I$89,3,0)*0.475*44/12</f>
        <v>2.3562557366302119</v>
      </c>
      <c r="CM70" s="21">
        <f>EXP(-LN(2)/2)*CM69+(1-EXP(-LN(2)/2))/(LN(2)/2)*CG70*CJ70*VLOOKUP('Données projet'!$B$12,Paramètres!$A$1:$I$89,3,0)*0.475*44/12</f>
        <v>2.0823135449119691E-5</v>
      </c>
      <c r="CN70" s="22">
        <f t="shared" si="66"/>
        <v>2.939572913416757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228.39999999999995</v>
      </c>
      <c r="O71" s="13">
        <f>N71*VLOOKUP('Données projet'!$B$9,Paramètres!$A$1:$I$89,3,0)*VLOOKUP('Données projet'!$B$9,Paramètres!$A$1:$I$89,5,0)</f>
        <v>231.59759999999997</v>
      </c>
      <c r="P71" s="13">
        <f t="shared" si="87"/>
        <v>56.627980714948151</v>
      </c>
      <c r="Q71" s="20">
        <f t="shared" si="54"/>
        <v>501.99288641186791</v>
      </c>
      <c r="R71" s="59">
        <f t="shared" si="55"/>
        <v>795.32621974520123</v>
      </c>
      <c r="S71" s="59">
        <f ca="1">AVERAGE(OFFSET($R$3,0,0,'Données projet'!$E$9+1,1))-AVERAGE(OFFSET($H$3,0,0,'Données projet'!$E$9+1,1))</f>
        <v>272.93635583300755</v>
      </c>
      <c r="T71" s="59">
        <f t="shared" si="88"/>
        <v>179.56041631665812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1.7598492301005886</v>
      </c>
      <c r="AA71" s="21">
        <f>EXP(-LN(2)/25)*AA70+(1-EXP(-LN(2)/25))/(LN(2)/25)*Calculateur!V71*Calculateur!X71*VLOOKUP('Données projet'!$B$9,Paramètres!$A$1:$I$89,3,0)*0.475*44/12</f>
        <v>1.6394004205701003</v>
      </c>
      <c r="AB71" s="21">
        <f>EXP(-LN(2)/2)*AB70+(1-EXP(-LN(2)/2))/(LN(2)/2)*V71*Y71*VLOOKUP('Données projet'!$B$9,Paramètres!$A$1:$I$89,3,0)*0.475*44/12</f>
        <v>1.3044846151805806E-5</v>
      </c>
      <c r="AC71" s="22">
        <f t="shared" si="57"/>
        <v>3.3992626955168408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206.65631999999994</v>
      </c>
      <c r="AK71" s="13">
        <f t="shared" si="89"/>
        <v>51.20422634371338</v>
      </c>
      <c r="AL71" s="20">
        <f t="shared" si="58"/>
        <v>449.10711821530072</v>
      </c>
      <c r="AM71" s="59">
        <f t="shared" si="59"/>
        <v>742.44045154863397</v>
      </c>
      <c r="AN71" s="59">
        <f ca="1">AVERAGE(OFFSET($AM$3,0,0,'Données projet'!$E$10+1,1))-AVERAGE(OFFSET($H$3,0,0,'Données projet'!$E$10+1,1))</f>
        <v>237.64646718446005</v>
      </c>
      <c r="AO71" s="59">
        <f t="shared" si="90"/>
        <v>156.67965022779907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1.5703270053205252</v>
      </c>
      <c r="AV71" s="21">
        <f>EXP(-LN(2)/25)*AV70+(1-EXP(-LN(2)/25))/(LN(2)/25)*Calculateur!AQ71*Calculateur!AS71*VLOOKUP('Données projet'!$B$10,Paramètres!$A$1:$I$89,3,0)*0.475*44/12</f>
        <v>1.4628496060471659</v>
      </c>
      <c r="AW71" s="21">
        <f>EXP(-LN(2)/2)*AW70+(1-EXP(-LN(2)/2))/(LN(2)/2)*AQ71*AT71*VLOOKUP('Données projet'!$B$10,Paramètres!$A$1:$I$89,3,0)*0.475*44/12</f>
        <v>1.1640016566226715E-5</v>
      </c>
      <c r="AX71" s="21">
        <f t="shared" si="60"/>
        <v>3.033188251384257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3.8</v>
      </c>
      <c r="BD71" s="12">
        <f>IF('Données projet'!$A$88&gt;35,BD70+BC71-BL70,IF(A71&lt;'Données projet'!$A$88,$BA$205^A71,IF(A71='Données projet'!$A$88,'Données projet'!$B$88,BD70+BC71-BL70)))</f>
        <v>255.39999999999986</v>
      </c>
      <c r="BE71" s="13">
        <f>BD71*VLOOKUP('Données projet'!$B$11,Paramètres!$A$1:$I$89,3,0)*VLOOKUP('Données projet'!$B$11,Paramètres!$A$1:$I$89,5,0)</f>
        <v>167.33807999999991</v>
      </c>
      <c r="BF71" s="13">
        <f t="shared" si="91"/>
        <v>42.493295553601477</v>
      </c>
      <c r="BG71" s="20">
        <f t="shared" si="61"/>
        <v>365.45631242252239</v>
      </c>
      <c r="BH71" s="59">
        <f t="shared" si="62"/>
        <v>658.78964575585564</v>
      </c>
      <c r="BI71" s="59">
        <f ca="1">AVERAGE(OFFSET($BH$3,0,0,'Données projet'!$E$11+1,1))-AVERAGE(OFFSET($H$3,0,0,'Données projet'!$E$11+1,1))</f>
        <v>172.9177436650786</v>
      </c>
      <c r="BJ71" s="59">
        <f t="shared" si="92"/>
        <v>173.73622806725865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0.7830235900499406</v>
      </c>
      <c r="BQ71" s="21">
        <f>EXP(-LN(2)/25)*BQ70+(1-EXP(-LN(2)/25))/(LN(2)/25)*Calculateur!BL71*Calculateur!BN71*VLOOKUP('Données projet'!$B$11,Paramètres!$A$1:$I$89,3,0)*0.475*44/12</f>
        <v>3.9804434573073455</v>
      </c>
      <c r="BR71" s="21">
        <f>EXP(-LN(2)/2)*BR70+(1-EXP(-LN(2)/2))/(LN(2)/2)*BL71*BO71*VLOOKUP('Données projet'!$B$11,Paramètres!$A$1:$I$89,3,0)*0.475*44/12</f>
        <v>1.6056557049171056E-5</v>
      </c>
      <c r="BS71" s="22">
        <f t="shared" si="63"/>
        <v>4.7634831039143357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12.875</v>
      </c>
      <c r="BY71" s="12">
        <f>IF('Données projet'!$A$114&gt;35,BY70+BX71-CG70,IF(A71&lt;'Données projet'!$A$114,$BV$205^A71,IF(A71='Données projet'!$A$114,'Données projet'!$B$114,BY70+BX71-CG70)))</f>
        <v>455.74999999999994</v>
      </c>
      <c r="BZ71" s="13">
        <f>BY71*VLOOKUP('Données projet'!$B$12,Paramètres!$A$1:$I$89,3,0)*VLOOKUP('Données projet'!$B$12,Paramètres!$A$1:$I$89,5,0)</f>
        <v>272.5385</v>
      </c>
      <c r="CA71" s="13">
        <f t="shared" si="93"/>
        <v>65.387709293034902</v>
      </c>
      <c r="CB71" s="20">
        <f t="shared" si="64"/>
        <v>588.55481451870241</v>
      </c>
      <c r="CC71" s="59">
        <f t="shared" si="65"/>
        <v>881.88814785203567</v>
      </c>
      <c r="CD71" s="59">
        <f ca="1">AVERAGE(OFFSET($CC$3,0,0,'Données projet'!$E$12+1,1))-AVERAGE(OFFSET($H$3,0,0,'Données projet'!$E$12+1,1))</f>
        <v>289.07218105343333</v>
      </c>
      <c r="CE71" s="59">
        <f t="shared" si="94"/>
        <v>217.57508587672368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0.57185826793164385</v>
      </c>
      <c r="CL71" s="21">
        <f>EXP(-LN(2)/25)*CL70+(1-EXP(-LN(2)/25))/(LN(2)/25)*Calculateur!CG71*Calculateur!CI71*VLOOKUP('Données projet'!$B$12,Paramètres!$A$1:$I$89,3,0)*0.475*44/12</f>
        <v>2.2918237996019548</v>
      </c>
      <c r="CM71" s="21">
        <f>EXP(-LN(2)/2)*CM70+(1-EXP(-LN(2)/2))/(LN(2)/2)*CG71*CJ71*VLOOKUP('Données projet'!$B$12,Paramètres!$A$1:$I$89,3,0)*0.475*44/12</f>
        <v>1.4724180281638518E-5</v>
      </c>
      <c r="CN71" s="22">
        <f t="shared" si="66"/>
        <v>2.8636967917138803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235.19999999999996</v>
      </c>
      <c r="O72" s="13">
        <f>N72*VLOOKUP('Données projet'!$B$9,Paramètres!$A$1:$I$89,3,0)*VLOOKUP('Données projet'!$B$9,Paramètres!$A$1:$I$89,5,0)</f>
        <v>238.49279999999996</v>
      </c>
      <c r="P72" s="13">
        <f t="shared" si="87"/>
        <v>58.115130258576542</v>
      </c>
      <c r="Q72" s="20">
        <f t="shared" si="54"/>
        <v>516.59214520035414</v>
      </c>
      <c r="R72" s="59">
        <f t="shared" si="55"/>
        <v>809.92547853368751</v>
      </c>
      <c r="S72" s="59">
        <f ca="1">AVERAGE(OFFSET($R$3,0,0,'Données projet'!$E$9+1,1))-AVERAGE(OFFSET($H$3,0,0,'Données projet'!$E$9+1,1))</f>
        <v>272.93635583300755</v>
      </c>
      <c r="T72" s="59">
        <f t="shared" si="88"/>
        <v>179.56041631665812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1.7253396601003568</v>
      </c>
      <c r="AA72" s="21">
        <f>EXP(-LN(2)/25)*AA71+(1-EXP(-LN(2)/25))/(LN(2)/25)*Calculateur!V72*Calculateur!X72*VLOOKUP('Données projet'!$B$9,Paramètres!$A$1:$I$89,3,0)*0.475*44/12</f>
        <v>1.5945709298572897</v>
      </c>
      <c r="AB72" s="21">
        <f>EXP(-LN(2)/2)*AB71+(1-EXP(-LN(2)/2))/(LN(2)/2)*V72*Y72*VLOOKUP('Données projet'!$B$9,Paramètres!$A$1:$I$89,3,0)*0.475*44/12</f>
        <v>9.2240991734771241E-6</v>
      </c>
      <c r="AC72" s="22">
        <f t="shared" si="57"/>
        <v>3.3199198140568198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212.80895999999996</v>
      </c>
      <c r="AK72" s="13">
        <f t="shared" si="89"/>
        <v>52.548938637485847</v>
      </c>
      <c r="AL72" s="20">
        <f t="shared" si="58"/>
        <v>462.16500679362099</v>
      </c>
      <c r="AM72" s="59">
        <f t="shared" si="59"/>
        <v>755.4983401269543</v>
      </c>
      <c r="AN72" s="59">
        <f ca="1">AVERAGE(OFFSET($AM$3,0,0,'Données projet'!$E$10+1,1))-AVERAGE(OFFSET($H$3,0,0,'Données projet'!$E$10+1,1))</f>
        <v>237.64646718446005</v>
      </c>
      <c r="AO72" s="59">
        <f t="shared" si="90"/>
        <v>156.67965022779907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1.5395338505510876</v>
      </c>
      <c r="AV72" s="21">
        <f>EXP(-LN(2)/25)*AV71+(1-EXP(-LN(2)/25))/(LN(2)/25)*Calculateur!AQ72*Calculateur!AS72*VLOOKUP('Données projet'!$B$10,Paramètres!$A$1:$I$89,3,0)*0.475*44/12</f>
        <v>1.4228479066418886</v>
      </c>
      <c r="AW72" s="21">
        <f>EXP(-LN(2)/2)*AW71+(1-EXP(-LN(2)/2))/(LN(2)/2)*AQ72*AT72*VLOOKUP('Données projet'!$B$10,Paramètres!$A$1:$I$89,3,0)*0.475*44/12</f>
        <v>8.2307346471026619E-6</v>
      </c>
      <c r="AX72" s="21">
        <f t="shared" si="60"/>
        <v>2.9623899879276236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3.8</v>
      </c>
      <c r="BD72" s="12">
        <f>IF('Données projet'!$A$88&gt;35,BD71+BC72-BL71,IF(A72&lt;'Données projet'!$A$88,$BA$205^A72,IF(A72='Données projet'!$A$88,'Données projet'!$B$88,BD71+BC72-BL71)))</f>
        <v>259.19999999999987</v>
      </c>
      <c r="BE72" s="13">
        <f>BD72*VLOOKUP('Données projet'!$B$11,Paramètres!$A$1:$I$89,3,0)*VLOOKUP('Données projet'!$B$11,Paramètres!$A$1:$I$89,5,0)</f>
        <v>169.82783999999992</v>
      </c>
      <c r="BF72" s="13">
        <f t="shared" si="91"/>
        <v>43.051463198873776</v>
      </c>
      <c r="BG72" s="20">
        <f t="shared" si="61"/>
        <v>370.76478640470503</v>
      </c>
      <c r="BH72" s="59">
        <f t="shared" si="62"/>
        <v>664.09811973803835</v>
      </c>
      <c r="BI72" s="59">
        <f ca="1">AVERAGE(OFFSET($BH$3,0,0,'Données projet'!$E$11+1,1))-AVERAGE(OFFSET($H$3,0,0,'Données projet'!$E$11+1,1))</f>
        <v>172.9177436650786</v>
      </c>
      <c r="BJ72" s="59">
        <f t="shared" si="92"/>
        <v>173.73622806725865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0.76766897504629239</v>
      </c>
      <c r="BQ72" s="21">
        <f>EXP(-LN(2)/25)*BQ71+(1-EXP(-LN(2)/25))/(LN(2)/25)*Calculateur!BL72*Calculateur!BN72*VLOOKUP('Données projet'!$B$11,Paramètres!$A$1:$I$89,3,0)*0.475*44/12</f>
        <v>3.8715980216448522</v>
      </c>
      <c r="BR72" s="21">
        <f>EXP(-LN(2)/2)*BR71+(1-EXP(-LN(2)/2))/(LN(2)/2)*BL72*BO72*VLOOKUP('Données projet'!$B$11,Paramètres!$A$1:$I$89,3,0)*0.475*44/12</f>
        <v>1.1353700371977515E-5</v>
      </c>
      <c r="BS72" s="22">
        <f t="shared" si="63"/>
        <v>4.6392783503915167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12.875</v>
      </c>
      <c r="BY72" s="12">
        <f>IF('Données projet'!$A$114&gt;35,BY71+BX72-CG71,IF(A72&lt;'Données projet'!$A$114,$BV$205^A72,IF(A72='Données projet'!$A$114,'Données projet'!$B$114,BY71+BX72-CG71)))</f>
        <v>468.62499999999994</v>
      </c>
      <c r="BZ72" s="13">
        <f>BY72*VLOOKUP('Données projet'!$B$12,Paramètres!$A$1:$I$89,3,0)*VLOOKUP('Données projet'!$B$12,Paramètres!$A$1:$I$89,5,0)</f>
        <v>280.23775000000001</v>
      </c>
      <c r="CA72" s="13">
        <f t="shared" si="93"/>
        <v>67.017249808465152</v>
      </c>
      <c r="CB72" s="20">
        <f t="shared" si="64"/>
        <v>604.80245799974352</v>
      </c>
      <c r="CC72" s="59">
        <f t="shared" si="65"/>
        <v>898.1357913330769</v>
      </c>
      <c r="CD72" s="59">
        <f ca="1">AVERAGE(OFFSET($CC$3,0,0,'Données projet'!$E$12+1,1))-AVERAGE(OFFSET($H$3,0,0,'Données projet'!$E$12+1,1))</f>
        <v>289.07218105343333</v>
      </c>
      <c r="CE72" s="59">
        <f t="shared" si="94"/>
        <v>217.57508587672368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0.56064447609660673</v>
      </c>
      <c r="CL72" s="21">
        <f>EXP(-LN(2)/25)*CL71+(1-EXP(-LN(2)/25))/(LN(2)/25)*Calculateur!CG72*Calculateur!CI72*VLOOKUP('Données projet'!$B$12,Paramètres!$A$1:$I$89,3,0)*0.475*44/12</f>
        <v>2.2291537572800637</v>
      </c>
      <c r="CM72" s="21">
        <f>EXP(-LN(2)/2)*CM71+(1-EXP(-LN(2)/2))/(LN(2)/2)*CG72*CJ72*VLOOKUP('Données projet'!$B$12,Paramètres!$A$1:$I$89,3,0)*0.475*44/12</f>
        <v>1.0411567724559845E-5</v>
      </c>
      <c r="CN72" s="22">
        <f t="shared" si="66"/>
        <v>2.7898086449443946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241.99999999999997</v>
      </c>
      <c r="O73" s="13">
        <f>N73*VLOOKUP('Données projet'!$B$9,Paramètres!$A$1:$I$89,3,0)*VLOOKUP('Données projet'!$B$9,Paramètres!$A$1:$I$89,5,0)</f>
        <v>245.38799999999998</v>
      </c>
      <c r="P73" s="13">
        <f t="shared" si="87"/>
        <v>59.597282764919569</v>
      </c>
      <c r="Q73" s="20">
        <f t="shared" si="54"/>
        <v>531.18270081556818</v>
      </c>
      <c r="R73" s="59">
        <f t="shared" si="55"/>
        <v>824.51603414890155</v>
      </c>
      <c r="S73" s="59">
        <f ca="1">AVERAGE(OFFSET($R$3,0,0,'Données projet'!$E$9+1,1))-AVERAGE(OFFSET($H$3,0,0,'Données projet'!$E$9+1,1))</f>
        <v>272.93635583300755</v>
      </c>
      <c r="T73" s="59">
        <f t="shared" si="88"/>
        <v>179.56041631665812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1.6915068017190702</v>
      </c>
      <c r="AA73" s="21">
        <f>EXP(-LN(2)/25)*AA72+(1-EXP(-LN(2)/25))/(LN(2)/25)*Calculateur!V73*Calculateur!X73*VLOOKUP('Données projet'!$B$9,Paramètres!$A$1:$I$89,3,0)*0.475*44/12</f>
        <v>1.5509673039255014</v>
      </c>
      <c r="AB73" s="21">
        <f>EXP(-LN(2)/2)*AB72+(1-EXP(-LN(2)/2))/(LN(2)/2)*V73*Y73*VLOOKUP('Données projet'!$B$9,Paramètres!$A$1:$I$89,3,0)*0.475*44/12</f>
        <v>6.5224230759029028E-6</v>
      </c>
      <c r="AC73" s="22">
        <f t="shared" si="57"/>
        <v>3.2424806280676477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218.96159999999998</v>
      </c>
      <c r="AK73" s="13">
        <f t="shared" si="89"/>
        <v>53.88913250370743</v>
      </c>
      <c r="AL73" s="20">
        <f t="shared" si="58"/>
        <v>475.21502577729035</v>
      </c>
      <c r="AM73" s="59">
        <f t="shared" si="59"/>
        <v>768.54835911062366</v>
      </c>
      <c r="AN73" s="59">
        <f ca="1">AVERAGE(OFFSET($AM$3,0,0,'Données projet'!$E$10+1,1))-AVERAGE(OFFSET($H$3,0,0,'Données projet'!$E$10+1,1))</f>
        <v>237.64646718446005</v>
      </c>
      <c r="AO73" s="59">
        <f t="shared" si="90"/>
        <v>156.67965022779907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1.5093445307647089</v>
      </c>
      <c r="AV73" s="21">
        <f>EXP(-LN(2)/25)*AV72+(1-EXP(-LN(2)/25))/(LN(2)/25)*Calculateur!AQ73*Calculateur!AS73*VLOOKUP('Données projet'!$B$10,Paramètres!$A$1:$I$89,3,0)*0.475*44/12</f>
        <v>1.3839400558104467</v>
      </c>
      <c r="AW73" s="21">
        <f>EXP(-LN(2)/2)*AW72+(1-EXP(-LN(2)/2))/(LN(2)/2)*AQ73*AT73*VLOOKUP('Données projet'!$B$10,Paramètres!$A$1:$I$89,3,0)*0.475*44/12</f>
        <v>5.8200082831133574E-6</v>
      </c>
      <c r="AX73" s="21">
        <f t="shared" si="60"/>
        <v>2.8932904065834388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3.8</v>
      </c>
      <c r="BC73" s="12">
        <f t="array" ref="BC73">INDEX(BB:BB,MIN(IF(ISNUMBER(BB73:BB269),ROW(BB73:BB269),"")))</f>
        <v>3.8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172.31759999999994</v>
      </c>
      <c r="BF73" s="13">
        <f t="shared" si="91"/>
        <v>43.608679117600254</v>
      </c>
      <c r="BG73" s="20">
        <f t="shared" si="61"/>
        <v>376.07160279648701</v>
      </c>
      <c r="BH73" s="59">
        <f t="shared" si="62"/>
        <v>669.40493612982027</v>
      </c>
      <c r="BI73" s="59">
        <f ca="1">AVERAGE(OFFSET($BH$3,0,0,'Données projet'!$E$11+1,1))-AVERAGE(OFFSET($H$3,0,0,'Données projet'!$E$11+1,1))</f>
        <v>172.9177436650786</v>
      </c>
      <c r="BJ73" s="59">
        <f t="shared" si="92"/>
        <v>173.73622806725865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0.75261545467747537</v>
      </c>
      <c r="BQ73" s="21">
        <f>EXP(-LN(2)/25)*BQ72+(1-EXP(-LN(2)/25))/(LN(2)/25)*Calculateur!BL73*Calculateur!BN73*VLOOKUP('Données projet'!$B$11,Paramètres!$A$1:$I$89,3,0)*0.475*44/12</f>
        <v>3.7657289701444823</v>
      </c>
      <c r="BR73" s="21">
        <f>EXP(-LN(2)/2)*BR72+(1-EXP(-LN(2)/2))/(LN(2)/2)*BL73*BO73*VLOOKUP('Données projet'!$B$11,Paramètres!$A$1:$I$89,3,0)*0.475*44/12</f>
        <v>8.0282785245855279E-6</v>
      </c>
      <c r="BS73" s="22">
        <f t="shared" si="63"/>
        <v>4.5183524531004826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12.875</v>
      </c>
      <c r="BY73" s="12">
        <f>IF('Données projet'!$A$114&gt;35,BY72+BX73-CG72,IF(A73&lt;'Données projet'!$A$114,$BV$205^A73,IF(A73='Données projet'!$A$114,'Données projet'!$B$114,BY72+BX73-CG72)))</f>
        <v>481.49999999999994</v>
      </c>
      <c r="BZ73" s="13">
        <f>BY73*VLOOKUP('Données projet'!$B$12,Paramètres!$A$1:$I$89,3,0)*VLOOKUP('Données projet'!$B$12,Paramètres!$A$1:$I$89,5,0)</f>
        <v>287.93700000000001</v>
      </c>
      <c r="CA73" s="13">
        <f t="shared" si="93"/>
        <v>68.641586729718156</v>
      </c>
      <c r="CB73" s="20">
        <f t="shared" si="64"/>
        <v>621.04103855425899</v>
      </c>
      <c r="CC73" s="59">
        <f t="shared" si="65"/>
        <v>914.37437188759236</v>
      </c>
      <c r="CD73" s="59">
        <f ca="1">AVERAGE(OFFSET($CC$3,0,0,'Données projet'!$E$12+1,1))-AVERAGE(OFFSET($H$3,0,0,'Données projet'!$E$12+1,1))</f>
        <v>289.07218105343333</v>
      </c>
      <c r="CE73" s="59">
        <f t="shared" si="94"/>
        <v>217.57508587672368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0.54965057987971699</v>
      </c>
      <c r="CL73" s="21">
        <f>EXP(-LN(2)/25)*CL72+(1-EXP(-LN(2)/25))/(LN(2)/25)*Calculateur!CG73*Calculateur!CI73*VLOOKUP('Données projet'!$B$12,Paramètres!$A$1:$I$89,3,0)*0.475*44/12</f>
        <v>2.1681974305611389</v>
      </c>
      <c r="CM73" s="21">
        <f>EXP(-LN(2)/2)*CM72+(1-EXP(-LN(2)/2))/(LN(2)/2)*CG73*CJ73*VLOOKUP('Données projet'!$B$12,Paramètres!$A$1:$I$89,3,0)*0.475*44/12</f>
        <v>7.3620901408192592E-6</v>
      </c>
      <c r="CN73" s="22">
        <f t="shared" si="66"/>
        <v>2.7178553725309964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227.19999999999996</v>
      </c>
      <c r="O74" s="13">
        <f>N74*VLOOKUP('Données projet'!$B$9,Paramètres!$A$1:$I$89,3,0)*VLOOKUP('Données projet'!$B$9,Paramètres!$A$1:$I$89,5,0)</f>
        <v>230.38079999999997</v>
      </c>
      <c r="P74" s="13">
        <f t="shared" si="87"/>
        <v>56.365011465139979</v>
      </c>
      <c r="Q74" s="20">
        <f t="shared" si="54"/>
        <v>499.41562163511867</v>
      </c>
      <c r="R74" s="59">
        <f t="shared" si="55"/>
        <v>792.74895496845193</v>
      </c>
      <c r="S74" s="59">
        <f ca="1">AVERAGE(OFFSET($R$3,0,0,'Données projet'!$E$9+1,1))-AVERAGE(OFFSET($H$3,0,0,'Données projet'!$E$9+1,1))</f>
        <v>272.93635583300755</v>
      </c>
      <c r="T74" s="59">
        <f t="shared" si="88"/>
        <v>179.56041631665812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1.6583373850546346</v>
      </c>
      <c r="AA74" s="21">
        <f>EXP(-LN(2)/25)*AA73+(1-EXP(-LN(2)/25))/(LN(2)/25)*Calculateur!V74*Calculateur!X74*VLOOKUP('Données projet'!$B$9,Paramètres!$A$1:$I$89,3,0)*0.475*44/12</f>
        <v>1.5085560214378329</v>
      </c>
      <c r="AB74" s="21">
        <f>EXP(-LN(2)/2)*AB73+(1-EXP(-LN(2)/2))/(LN(2)/2)*V74*Y74*VLOOKUP('Données projet'!$B$9,Paramètres!$A$1:$I$89,3,0)*0.475*44/12</f>
        <v>4.6120495867385621E-6</v>
      </c>
      <c r="AC74" s="22">
        <f t="shared" si="57"/>
        <v>3.1668980185420539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205.57055999999997</v>
      </c>
      <c r="AK74" s="13">
        <f t="shared" si="89"/>
        <v>50.966443946767392</v>
      </c>
      <c r="AL74" s="20">
        <f t="shared" si="58"/>
        <v>446.80194854061978</v>
      </c>
      <c r="AM74" s="59">
        <f t="shared" si="59"/>
        <v>740.13528187395309</v>
      </c>
      <c r="AN74" s="59">
        <f ca="1">AVERAGE(OFFSET($AM$3,0,0,'Données projet'!$E$10+1,1))-AVERAGE(OFFSET($H$3,0,0,'Données projet'!$E$10+1,1))</f>
        <v>237.64646718446005</v>
      </c>
      <c r="AO74" s="59">
        <f t="shared" si="90"/>
        <v>156.67965022779907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1.4797472051256741</v>
      </c>
      <c r="AV74" s="21">
        <f>EXP(-LN(2)/25)*AV73+(1-EXP(-LN(2)/25))/(LN(2)/25)*Calculateur!AQ74*Calculateur!AS74*VLOOKUP('Données projet'!$B$10,Paramètres!$A$1:$I$89,3,0)*0.475*44/12</f>
        <v>1.3460961422060655</v>
      </c>
      <c r="AW74" s="21">
        <f>EXP(-LN(2)/2)*AW73+(1-EXP(-LN(2)/2))/(LN(2)/2)*AQ74*AT74*VLOOKUP('Données projet'!$B$10,Paramètres!$A$1:$I$89,3,0)*0.475*44/12</f>
        <v>4.115367323551331E-6</v>
      </c>
      <c r="AX74" s="21">
        <f t="shared" si="60"/>
        <v>2.8258474626990631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256.39999999999986</v>
      </c>
      <c r="BE74" s="13">
        <f>BD74*VLOOKUP('Données projet'!$B$11,Paramètres!$A$1:$I$89,3,0)*VLOOKUP('Données projet'!$B$11,Paramètres!$A$1:$I$89,5,0)</f>
        <v>167.99327999999991</v>
      </c>
      <c r="BF74" s="13">
        <f t="shared" si="91"/>
        <v>42.640274928095231</v>
      </c>
      <c r="BG74" s="20">
        <f t="shared" si="61"/>
        <v>366.85344149976572</v>
      </c>
      <c r="BH74" s="59">
        <f t="shared" si="62"/>
        <v>660.18677483309898</v>
      </c>
      <c r="BI74" s="59">
        <f ca="1">AVERAGE(OFFSET($BH$3,0,0,'Données projet'!$E$11+1,1))-AVERAGE(OFFSET($H$3,0,0,'Données projet'!$E$11+1,1))</f>
        <v>172.9177436650786</v>
      </c>
      <c r="BJ74" s="59">
        <f t="shared" si="92"/>
        <v>173.73622806725865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0.73785712466135001</v>
      </c>
      <c r="BQ74" s="21">
        <f>EXP(-LN(2)/25)*BQ73+(1-EXP(-LN(2)/25))/(LN(2)/25)*Calculateur!BL74*Calculateur!BN74*VLOOKUP('Données projet'!$B$11,Paramètres!$A$1:$I$89,3,0)*0.475*44/12</f>
        <v>3.6627549134248016</v>
      </c>
      <c r="BR74" s="21">
        <f>EXP(-LN(2)/2)*BR73+(1-EXP(-LN(2)/2))/(LN(2)/2)*BL74*BO74*VLOOKUP('Données projet'!$B$11,Paramètres!$A$1:$I$89,3,0)*0.475*44/12</f>
        <v>5.6768501859887575E-6</v>
      </c>
      <c r="BS74" s="22">
        <f t="shared" si="63"/>
        <v>4.4006177149363381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12.875</v>
      </c>
      <c r="BY74" s="12">
        <f>IF('Données projet'!$A$114&gt;35,BY73+BX74-CG73,IF(A74&lt;'Données projet'!$A$114,$BV$205^A74,IF(A74='Données projet'!$A$114,'Données projet'!$B$114,BY73+BX74-CG73)))</f>
        <v>494.37499999999994</v>
      </c>
      <c r="BZ74" s="13">
        <f>BY74*VLOOKUP('Données projet'!$B$12,Paramètres!$A$1:$I$89,3,0)*VLOOKUP('Données projet'!$B$12,Paramètres!$A$1:$I$89,5,0)</f>
        <v>295.63625000000002</v>
      </c>
      <c r="CA74" s="13">
        <f t="shared" si="93"/>
        <v>70.260875189476423</v>
      </c>
      <c r="CB74" s="20">
        <f t="shared" si="64"/>
        <v>637.27082637167155</v>
      </c>
      <c r="CC74" s="59">
        <f t="shared" si="65"/>
        <v>930.6041597050048</v>
      </c>
      <c r="CD74" s="59">
        <f ca="1">AVERAGE(OFFSET($CC$3,0,0,'Données projet'!$E$12+1,1))-AVERAGE(OFFSET($H$3,0,0,'Données projet'!$E$12+1,1))</f>
        <v>289.07218105343333</v>
      </c>
      <c r="CE74" s="59">
        <f t="shared" si="94"/>
        <v>217.57508587672368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0.53887226726202586</v>
      </c>
      <c r="CL74" s="21">
        <f>EXP(-LN(2)/25)*CL73+(1-EXP(-LN(2)/25))/(LN(2)/25)*Calculateur!CG74*Calculateur!CI74*VLOOKUP('Données projet'!$B$12,Paramètres!$A$1:$I$89,3,0)*0.475*44/12</f>
        <v>2.1089079578018972</v>
      </c>
      <c r="CM74" s="21">
        <f>EXP(-LN(2)/2)*CM73+(1-EXP(-LN(2)/2))/(LN(2)/2)*CG74*CJ74*VLOOKUP('Données projet'!$B$12,Paramètres!$A$1:$I$89,3,0)*0.475*44/12</f>
        <v>5.2057838622799227E-6</v>
      </c>
      <c r="CN74" s="22">
        <f t="shared" si="66"/>
        <v>2.6477854308477853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233.39999999999995</v>
      </c>
      <c r="O75" s="13">
        <f>N75*VLOOKUP('Données projet'!$B$9,Paramètres!$A$1:$I$89,3,0)*VLOOKUP('Données projet'!$B$9,Paramètres!$A$1:$I$89,5,0)</f>
        <v>236.66759999999996</v>
      </c>
      <c r="P75" s="13">
        <f t="shared" si="87"/>
        <v>57.721965974560838</v>
      </c>
      <c r="Q75" s="20">
        <f t="shared" si="54"/>
        <v>512.72849407236004</v>
      </c>
      <c r="R75" s="59">
        <f t="shared" si="55"/>
        <v>806.06182740569329</v>
      </c>
      <c r="S75" s="59">
        <f ca="1">AVERAGE(OFFSET($R$3,0,0,'Données projet'!$E$9+1,1))-AVERAGE(OFFSET($H$3,0,0,'Données projet'!$E$9+1,1))</f>
        <v>272.93635583300755</v>
      </c>
      <c r="T75" s="59">
        <f t="shared" si="88"/>
        <v>179.56041631665812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1.6258184004196421</v>
      </c>
      <c r="AA75" s="21">
        <f>EXP(-LN(2)/25)*AA74+(1-EXP(-LN(2)/25))/(LN(2)/25)*Calculateur!V75*Calculateur!X75*VLOOKUP('Données projet'!$B$9,Paramètres!$A$1:$I$89,3,0)*0.475*44/12</f>
        <v>1.4673044777001021</v>
      </c>
      <c r="AB75" s="21">
        <f>EXP(-LN(2)/2)*AB74+(1-EXP(-LN(2)/2))/(LN(2)/2)*V75*Y75*VLOOKUP('Données projet'!$B$9,Paramètres!$A$1:$I$89,3,0)*0.475*44/12</f>
        <v>3.2612115379514514E-6</v>
      </c>
      <c r="AC75" s="22">
        <f t="shared" si="57"/>
        <v>3.0931261393312823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211.18031999999994</v>
      </c>
      <c r="AK75" s="13">
        <f t="shared" si="89"/>
        <v>52.193431117443019</v>
      </c>
      <c r="AL75" s="20">
        <f t="shared" si="58"/>
        <v>458.70928319621316</v>
      </c>
      <c r="AM75" s="59">
        <f t="shared" si="59"/>
        <v>752.04261652954642</v>
      </c>
      <c r="AN75" s="59">
        <f ca="1">AVERAGE(OFFSET($AM$3,0,0,'Données projet'!$E$10+1,1))-AVERAGE(OFFSET($H$3,0,0,'Données projet'!$E$10+1,1))</f>
        <v>237.64646718446005</v>
      </c>
      <c r="AO75" s="59">
        <f t="shared" si="90"/>
        <v>156.67965022779907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1.4507302649898348</v>
      </c>
      <c r="AV75" s="21">
        <f>EXP(-LN(2)/25)*AV74+(1-EXP(-LN(2)/25))/(LN(2)/25)*Calculateur!AQ75*Calculateur!AS75*VLOOKUP('Données projet'!$B$10,Paramètres!$A$1:$I$89,3,0)*0.475*44/12</f>
        <v>1.3092870724093211</v>
      </c>
      <c r="AW75" s="21">
        <f>EXP(-LN(2)/2)*AW74+(1-EXP(-LN(2)/2))/(LN(2)/2)*AQ75*AT75*VLOOKUP('Données projet'!$B$10,Paramètres!$A$1:$I$89,3,0)*0.475*44/12</f>
        <v>2.9100041415566787E-6</v>
      </c>
      <c r="AX75" s="21">
        <f t="shared" si="60"/>
        <v>2.7600202474032978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259.79999999999984</v>
      </c>
      <c r="BE75" s="13">
        <f>BD75*VLOOKUP('Données projet'!$B$11,Paramètres!$A$1:$I$89,3,0)*VLOOKUP('Données projet'!$B$11,Paramètres!$A$1:$I$89,5,0)</f>
        <v>170.22095999999991</v>
      </c>
      <c r="BF75" s="13">
        <f t="shared" si="91"/>
        <v>43.13950753318327</v>
      </c>
      <c r="BG75" s="20">
        <f t="shared" si="61"/>
        <v>371.60281428696067</v>
      </c>
      <c r="BH75" s="59">
        <f t="shared" si="62"/>
        <v>664.93614762029392</v>
      </c>
      <c r="BI75" s="59">
        <f ca="1">AVERAGE(OFFSET($BH$3,0,0,'Données projet'!$E$11+1,1))-AVERAGE(OFFSET($H$3,0,0,'Données projet'!$E$11+1,1))</f>
        <v>172.9177436650786</v>
      </c>
      <c r="BJ75" s="59">
        <f t="shared" si="92"/>
        <v>173.73622806725865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0.72338819649514841</v>
      </c>
      <c r="BQ75" s="21">
        <f>EXP(-LN(2)/25)*BQ74+(1-EXP(-LN(2)/25))/(LN(2)/25)*Calculateur!BL75*Calculateur!BN75*VLOOKUP('Données projet'!$B$11,Paramètres!$A$1:$I$89,3,0)*0.475*44/12</f>
        <v>3.5625966877012907</v>
      </c>
      <c r="BR75" s="21">
        <f>EXP(-LN(2)/2)*BR74+(1-EXP(-LN(2)/2))/(LN(2)/2)*BL75*BO75*VLOOKUP('Données projet'!$B$11,Paramètres!$A$1:$I$89,3,0)*0.475*44/12</f>
        <v>4.014139262292764E-6</v>
      </c>
      <c r="BS75" s="22">
        <f t="shared" si="63"/>
        <v>4.2859888983357006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12.875</v>
      </c>
      <c r="BY75" s="12">
        <f>IF('Données projet'!$A$114&gt;35,BY74+BX75-CG74,IF(A75&lt;'Données projet'!$A$114,$BV$205^A75,IF(A75='Données projet'!$A$114,'Données projet'!$B$114,BY74+BX75-CG74)))</f>
        <v>507.24999999999994</v>
      </c>
      <c r="BZ75" s="13">
        <f>BY75*VLOOKUP('Données projet'!$B$12,Paramètres!$A$1:$I$89,3,0)*VLOOKUP('Données projet'!$B$12,Paramètres!$A$1:$I$89,5,0)</f>
        <v>303.33549999999997</v>
      </c>
      <c r="CA75" s="13">
        <f t="shared" si="93"/>
        <v>71.875261779950591</v>
      </c>
      <c r="CB75" s="20">
        <f t="shared" si="64"/>
        <v>653.49207676674712</v>
      </c>
      <c r="CC75" s="59">
        <f t="shared" si="65"/>
        <v>946.82541010008049</v>
      </c>
      <c r="CD75" s="59">
        <f ca="1">AVERAGE(OFFSET($CC$3,0,0,'Données projet'!$E$12+1,1))-AVERAGE(OFFSET($H$3,0,0,'Données projet'!$E$12+1,1))</f>
        <v>289.07218105343333</v>
      </c>
      <c r="CE75" s="59">
        <f t="shared" si="94"/>
        <v>217.57508587672368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0.52830531078064613</v>
      </c>
      <c r="CL75" s="21">
        <f>EXP(-LN(2)/25)*CL74+(1-EXP(-LN(2)/25))/(LN(2)/25)*Calculateur!CG75*Calculateur!CI75*VLOOKUP('Données projet'!$B$12,Paramètres!$A$1:$I$89,3,0)*0.475*44/12</f>
        <v>2.0512397587931548</v>
      </c>
      <c r="CM75" s="21">
        <f>EXP(-LN(2)/2)*CM74+(1-EXP(-LN(2)/2))/(LN(2)/2)*CG75*CJ75*VLOOKUP('Données projet'!$B$12,Paramètres!$A$1:$I$89,3,0)*0.475*44/12</f>
        <v>3.6810450704096296E-6</v>
      </c>
      <c r="CN75" s="22">
        <f t="shared" si="66"/>
        <v>2.5795487506188715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239.59999999999994</v>
      </c>
      <c r="O76" s="13">
        <f>N76*VLOOKUP('Données projet'!$B$9,Paramètres!$A$1:$I$89,3,0)*VLOOKUP('Données projet'!$B$9,Paramètres!$A$1:$I$89,5,0)</f>
        <v>242.95439999999994</v>
      </c>
      <c r="P76" s="13">
        <f t="shared" si="87"/>
        <v>59.074730698078945</v>
      </c>
      <c r="Q76" s="20">
        <f t="shared" si="54"/>
        <v>526.034069299154</v>
      </c>
      <c r="R76" s="59">
        <f t="shared" si="55"/>
        <v>819.36740263248726</v>
      </c>
      <c r="S76" s="59">
        <f ca="1">AVERAGE(OFFSET($R$3,0,0,'Données projet'!$E$9+1,1))-AVERAGE(OFFSET($H$3,0,0,'Données projet'!$E$9+1,1))</f>
        <v>272.93635583300755</v>
      </c>
      <c r="T76" s="59">
        <f t="shared" si="88"/>
        <v>179.56041631665812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1.5939370932387198</v>
      </c>
      <c r="AA76" s="21">
        <f>EXP(-LN(2)/25)*AA75+(1-EXP(-LN(2)/25))/(LN(2)/25)*Calculateur!V76*Calculateur!X76*VLOOKUP('Données projet'!$B$9,Paramètres!$A$1:$I$89,3,0)*0.475*44/12</f>
        <v>1.4271809595952039</v>
      </c>
      <c r="AB76" s="21">
        <f>EXP(-LN(2)/2)*AB75+(1-EXP(-LN(2)/2))/(LN(2)/2)*V76*Y76*VLOOKUP('Données projet'!$B$9,Paramètres!$A$1:$I$89,3,0)*0.475*44/12</f>
        <v>2.306024793369281E-6</v>
      </c>
      <c r="AC76" s="22">
        <f t="shared" si="57"/>
        <v>3.0211203588587168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216.79007999999996</v>
      </c>
      <c r="AK76" s="13">
        <f t="shared" si="89"/>
        <v>53.416629794462551</v>
      </c>
      <c r="AL76" s="20">
        <f t="shared" si="58"/>
        <v>470.61001955868886</v>
      </c>
      <c r="AM76" s="59">
        <f t="shared" si="59"/>
        <v>763.94335289202218</v>
      </c>
      <c r="AN76" s="59">
        <f ca="1">AVERAGE(OFFSET($AM$3,0,0,'Données projet'!$E$10+1,1))-AVERAGE(OFFSET($H$3,0,0,'Données projet'!$E$10+1,1))</f>
        <v>237.64646718446005</v>
      </c>
      <c r="AO76" s="59">
        <f t="shared" si="90"/>
        <v>156.67965022779907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1.4222823293514733</v>
      </c>
      <c r="AV76" s="21">
        <f>EXP(-LN(2)/25)*AV75+(1-EXP(-LN(2)/25))/(LN(2)/25)*Calculateur!AQ76*Calculateur!AS76*VLOOKUP('Données projet'!$B$10,Paramètres!$A$1:$I$89,3,0)*0.475*44/12</f>
        <v>1.2734845485618735</v>
      </c>
      <c r="AW76" s="21">
        <f>EXP(-LN(2)/2)*AW75+(1-EXP(-LN(2)/2))/(LN(2)/2)*AQ76*AT76*VLOOKUP('Données projet'!$B$10,Paramètres!$A$1:$I$89,3,0)*0.475*44/12</f>
        <v>2.0576836617756655E-6</v>
      </c>
      <c r="AX76" s="21">
        <f t="shared" si="60"/>
        <v>2.6957689355970085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263.19999999999982</v>
      </c>
      <c r="BE76" s="13">
        <f>BD76*VLOOKUP('Données projet'!$B$11,Paramètres!$A$1:$I$89,3,0)*VLOOKUP('Données projet'!$B$11,Paramètres!$A$1:$I$89,5,0)</f>
        <v>172.4486399999999</v>
      </c>
      <c r="BF76" s="13">
        <f t="shared" si="91"/>
        <v>43.637980200453676</v>
      </c>
      <c r="BG76" s="20">
        <f t="shared" si="61"/>
        <v>376.35086351579002</v>
      </c>
      <c r="BH76" s="59">
        <f t="shared" si="62"/>
        <v>669.68419684912328</v>
      </c>
      <c r="BI76" s="59">
        <f ca="1">AVERAGE(OFFSET($BH$3,0,0,'Données projet'!$E$11+1,1))-AVERAGE(OFFSET($H$3,0,0,'Données projet'!$E$11+1,1))</f>
        <v>172.9177436650786</v>
      </c>
      <c r="BJ76" s="59">
        <f t="shared" si="92"/>
        <v>173.73622806725865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0.70920299518511121</v>
      </c>
      <c r="BQ76" s="21">
        <f>EXP(-LN(2)/25)*BQ75+(1-EXP(-LN(2)/25))/(LN(2)/25)*Calculateur!BL76*Calculateur!BN76*VLOOKUP('Données projet'!$B$11,Paramètres!$A$1:$I$89,3,0)*0.475*44/12</f>
        <v>3.4651772939272814</v>
      </c>
      <c r="BR76" s="21">
        <f>EXP(-LN(2)/2)*BR75+(1-EXP(-LN(2)/2))/(LN(2)/2)*BL76*BO76*VLOOKUP('Données projet'!$B$11,Paramètres!$A$1:$I$89,3,0)*0.475*44/12</f>
        <v>2.8384250929943787E-6</v>
      </c>
      <c r="BS76" s="22">
        <f t="shared" si="63"/>
        <v>4.1743831275374861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12.875</v>
      </c>
      <c r="BY76" s="12">
        <f>IF('Données projet'!$A$114&gt;35,BY75+BX76-CG75,IF(A76&lt;'Données projet'!$A$114,$BV$205^A76,IF(A76='Données projet'!$A$114,'Données projet'!$B$114,BY75+BX76-CG75)))</f>
        <v>520.125</v>
      </c>
      <c r="BZ76" s="13">
        <f>BY76*VLOOKUP('Données projet'!$B$12,Paramètres!$A$1:$I$89,3,0)*VLOOKUP('Données projet'!$B$12,Paramètres!$A$1:$I$89,5,0)</f>
        <v>311.03475000000003</v>
      </c>
      <c r="CA76" s="13">
        <f t="shared" si="93"/>
        <v>73.484885227728896</v>
      </c>
      <c r="CB76" s="20">
        <f t="shared" si="64"/>
        <v>669.70503135496119</v>
      </c>
      <c r="CC76" s="59">
        <f t="shared" si="65"/>
        <v>963.03836468829445</v>
      </c>
      <c r="CD76" s="59">
        <f ca="1">AVERAGE(OFFSET($CC$3,0,0,'Données projet'!$E$12+1,1))-AVERAGE(OFFSET($H$3,0,0,'Données projet'!$E$12+1,1))</f>
        <v>289.07218105343333</v>
      </c>
      <c r="CE76" s="59">
        <f t="shared" si="94"/>
        <v>217.57508587672368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0.51794556587065921</v>
      </c>
      <c r="CL76" s="21">
        <f>EXP(-LN(2)/25)*CL75+(1-EXP(-LN(2)/25))/(LN(2)/25)*Calculateur!CG76*Calculateur!CI76*VLOOKUP('Données projet'!$B$12,Paramètres!$A$1:$I$89,3,0)*0.475*44/12</f>
        <v>1.9951484997189453</v>
      </c>
      <c r="CM76" s="21">
        <f>EXP(-LN(2)/2)*CM75+(1-EXP(-LN(2)/2))/(LN(2)/2)*CG76*CJ76*VLOOKUP('Données projet'!$B$12,Paramètres!$A$1:$I$89,3,0)*0.475*44/12</f>
        <v>2.6028919311399613E-6</v>
      </c>
      <c r="CN76" s="22">
        <f t="shared" si="66"/>
        <v>2.5130966684815359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245.79999999999993</v>
      </c>
      <c r="O77" s="13">
        <f>N77*VLOOKUP('Données projet'!$B$9,Paramètres!$A$1:$I$89,3,0)*VLOOKUP('Données projet'!$B$9,Paramètres!$A$1:$I$89,5,0)</f>
        <v>249.24119999999994</v>
      </c>
      <c r="P77" s="13">
        <f t="shared" si="87"/>
        <v>60.42342651744692</v>
      </c>
      <c r="Q77" s="20">
        <f t="shared" si="54"/>
        <v>539.33255785121992</v>
      </c>
      <c r="R77" s="59">
        <f t="shared" si="55"/>
        <v>832.66589118455317</v>
      </c>
      <c r="S77" s="59">
        <f ca="1">AVERAGE(OFFSET($R$3,0,0,'Données projet'!$E$9+1,1))-AVERAGE(OFFSET($H$3,0,0,'Données projet'!$E$9+1,1))</f>
        <v>272.93635583300755</v>
      </c>
      <c r="T77" s="59">
        <f t="shared" si="88"/>
        <v>179.56041631665812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1.5626809590459381</v>
      </c>
      <c r="AA77" s="21">
        <f>EXP(-LN(2)/25)*AA76+(1-EXP(-LN(2)/25))/(LN(2)/25)*Calculateur!V77*Calculateur!X77*VLOOKUP('Données projet'!$B$9,Paramètres!$A$1:$I$89,3,0)*0.475*44/12</f>
        <v>1.3881546212028881</v>
      </c>
      <c r="AB77" s="21">
        <f>EXP(-LN(2)/2)*AB76+(1-EXP(-LN(2)/2))/(LN(2)/2)*V77*Y77*VLOOKUP('Données projet'!$B$9,Paramètres!$A$1:$I$89,3,0)*0.475*44/12</f>
        <v>1.6306057689757257E-6</v>
      </c>
      <c r="AC77" s="22">
        <f t="shared" si="57"/>
        <v>2.9508372108545955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222.3998399999999</v>
      </c>
      <c r="AK77" s="13">
        <f t="shared" si="89"/>
        <v>54.636149281681448</v>
      </c>
      <c r="AL77" s="20">
        <f t="shared" si="58"/>
        <v>482.50434799892832</v>
      </c>
      <c r="AM77" s="59">
        <f t="shared" si="59"/>
        <v>775.83768133226158</v>
      </c>
      <c r="AN77" s="59">
        <f ca="1">AVERAGE(OFFSET($AM$3,0,0,'Données projet'!$E$10+1,1))-AVERAGE(OFFSET($H$3,0,0,'Données projet'!$E$10+1,1))</f>
        <v>237.64646718446005</v>
      </c>
      <c r="AO77" s="59">
        <f t="shared" si="90"/>
        <v>156.67965022779907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1.3943922403794526</v>
      </c>
      <c r="AV77" s="21">
        <f>EXP(-LN(2)/25)*AV76+(1-EXP(-LN(2)/25))/(LN(2)/25)*Calculateur!AQ77*Calculateur!AS77*VLOOKUP('Données projet'!$B$10,Paramètres!$A$1:$I$89,3,0)*0.475*44/12</f>
        <v>1.2386610466118073</v>
      </c>
      <c r="AW77" s="21">
        <f>EXP(-LN(2)/2)*AW76+(1-EXP(-LN(2)/2))/(LN(2)/2)*AQ77*AT77*VLOOKUP('Données projet'!$B$10,Paramètres!$A$1:$I$89,3,0)*0.475*44/12</f>
        <v>1.4550020707783394E-6</v>
      </c>
      <c r="AX77" s="21">
        <f t="shared" si="60"/>
        <v>2.6330547419933308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266.5999999999998</v>
      </c>
      <c r="BE77" s="13">
        <f>BD77*VLOOKUP('Données projet'!$B$11,Paramètres!$A$1:$I$89,3,0)*VLOOKUP('Données projet'!$B$11,Paramètres!$A$1:$I$89,5,0)</f>
        <v>174.67631999999986</v>
      </c>
      <c r="BF77" s="13">
        <f t="shared" si="91"/>
        <v>44.135703881788075</v>
      </c>
      <c r="BG77" s="20">
        <f t="shared" si="61"/>
        <v>381.09760826078065</v>
      </c>
      <c r="BH77" s="59">
        <f t="shared" si="62"/>
        <v>674.43094159411396</v>
      </c>
      <c r="BI77" s="59">
        <f ca="1">AVERAGE(OFFSET($BH$3,0,0,'Données projet'!$E$11+1,1))-AVERAGE(OFFSET($H$3,0,0,'Données projet'!$E$11+1,1))</f>
        <v>172.9177436650786</v>
      </c>
      <c r="BJ77" s="59">
        <f t="shared" si="92"/>
        <v>173.73622806725865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0.69529595702064539</v>
      </c>
      <c r="BQ77" s="21">
        <f>EXP(-LN(2)/25)*BQ76+(1-EXP(-LN(2)/25))/(LN(2)/25)*Calculateur!BL77*Calculateur!BN77*VLOOKUP('Données projet'!$B$11,Paramètres!$A$1:$I$89,3,0)*0.475*44/12</f>
        <v>3.3704218385990856</v>
      </c>
      <c r="BR77" s="21">
        <f>EXP(-LN(2)/2)*BR76+(1-EXP(-LN(2)/2))/(LN(2)/2)*BL77*BO77*VLOOKUP('Données projet'!$B$11,Paramètres!$A$1:$I$89,3,0)*0.475*44/12</f>
        <v>2.007069631146382E-6</v>
      </c>
      <c r="BS77" s="22">
        <f t="shared" si="63"/>
        <v>4.0657198026893626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533</v>
      </c>
      <c r="BW77" s="12">
        <f>VLOOKUP(A77,'Données projet'!$A$113:$I$133,9,0)</f>
        <v>12.875</v>
      </c>
      <c r="BX77" s="12">
        <f t="array" ref="BX77">INDEX(BW:BW,MIN(IF(ISNUMBER(BW77:BW273),ROW(BW77:BW273),"")))</f>
        <v>12.875</v>
      </c>
      <c r="BY77" s="12">
        <f>IF('Données projet'!$A$114&gt;35,BY76+BX77-CG76,IF(A77&lt;'Données projet'!$A$114,$BV$205^A77,IF(A77='Données projet'!$A$114,'Données projet'!$B$114,BY76+BX77-CG76)))</f>
        <v>533</v>
      </c>
      <c r="BZ77" s="13">
        <f>BY77*VLOOKUP('Données projet'!$B$12,Paramètres!$A$1:$I$89,3,0)*VLOOKUP('Données projet'!$B$12,Paramètres!$A$1:$I$89,5,0)</f>
        <v>318.73400000000004</v>
      </c>
      <c r="CA77" s="13">
        <f t="shared" si="93"/>
        <v>75.089876999925679</v>
      </c>
      <c r="CB77" s="20">
        <f t="shared" si="64"/>
        <v>685.90991910820378</v>
      </c>
      <c r="CC77" s="59">
        <f t="shared" si="65"/>
        <v>979.24325244153715</v>
      </c>
      <c r="CD77" s="59">
        <f ca="1">AVERAGE(OFFSET($CC$3,0,0,'Données projet'!$E$12+1,1))-AVERAGE(OFFSET($H$3,0,0,'Données projet'!$E$12+1,1))</f>
        <v>289.07218105343333</v>
      </c>
      <c r="CE77" s="59">
        <f t="shared" si="94"/>
        <v>217.57508587672368</v>
      </c>
      <c r="CF77" s="15">
        <f>IF(ISNA(VLOOKUP(A77,'Données projet'!$A$113:$I$133,3,0)),0,VLOOKUP(A77,'Données projet'!$A$113:$I$133,3,0))</f>
        <v>10</v>
      </c>
      <c r="CG77" s="15">
        <f>IF(ISNA(VLOOKUP(A77,'Données projet'!$A$113:$I$133,4,0)),0,VLOOKUP(A77,'Données projet'!$A$113:$I$133,4,0))</f>
        <v>37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0.50778896923953665</v>
      </c>
      <c r="CL77" s="21">
        <f>EXP(-LN(2)/25)*CL76+(1-EXP(-LN(2)/25))/(LN(2)/25)*Calculateur!CG77*Calculateur!CI77*VLOOKUP('Données projet'!$B$12,Paramètres!$A$1:$I$89,3,0)*0.475*44/12</f>
        <v>1.9405910590738311</v>
      </c>
      <c r="CM77" s="21">
        <f>EXP(-LN(2)/2)*CM76+(1-EXP(-LN(2)/2))/(LN(2)/2)*CG77*CJ77*VLOOKUP('Données projet'!$B$12,Paramètres!$A$1:$I$89,3,0)*0.475*44/12</f>
        <v>1.8405225352048148E-6</v>
      </c>
      <c r="CN77" s="22">
        <f t="shared" si="66"/>
        <v>2.4483818688359031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252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251.99999999999991</v>
      </c>
      <c r="O78" s="13">
        <f>N78*VLOOKUP('Données projet'!$B$9,Paramètres!$A$1:$I$89,3,0)*VLOOKUP('Données projet'!$B$9,Paramètres!$A$1:$I$89,5,0)</f>
        <v>255.52799999999993</v>
      </c>
      <c r="P78" s="13">
        <f t="shared" si="87"/>
        <v>61.768167868721477</v>
      </c>
      <c r="Q78" s="20">
        <f t="shared" si="54"/>
        <v>552.62415903802309</v>
      </c>
      <c r="R78" s="59">
        <f t="shared" si="55"/>
        <v>845.95749237135647</v>
      </c>
      <c r="S78" s="59">
        <f ca="1">AVERAGE(OFFSET($R$3,0,0,'Données projet'!$E$9+1,1))-AVERAGE(OFFSET($H$3,0,0,'Données projet'!$E$9+1,1))</f>
        <v>272.93635583300755</v>
      </c>
      <c r="T78" s="59">
        <f t="shared" si="88"/>
        <v>179.56041631665812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21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1.5320377385803174</v>
      </c>
      <c r="AA78" s="21">
        <f>EXP(-LN(2)/25)*AA77+(1-EXP(-LN(2)/25))/(LN(2)/25)*Calculateur!V78*Calculateur!X78*VLOOKUP('Données projet'!$B$9,Paramètres!$A$1:$I$89,3,0)*0.475*44/12</f>
        <v>1.3501954600862163</v>
      </c>
      <c r="AB78" s="21">
        <f>EXP(-LN(2)/2)*AB77+(1-EXP(-LN(2)/2))/(LN(2)/2)*V78*Y78*VLOOKUP('Données projet'!$B$9,Paramètres!$A$1:$I$89,3,0)*0.475*44/12</f>
        <v>1.1530123966846405E-6</v>
      </c>
      <c r="AC78" s="22">
        <f t="shared" si="57"/>
        <v>2.8822343516789304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228.00959999999992</v>
      </c>
      <c r="AK78" s="13">
        <f t="shared" si="89"/>
        <v>55.852093054619829</v>
      </c>
      <c r="AL78" s="20">
        <f t="shared" si="58"/>
        <v>494.3924487367961</v>
      </c>
      <c r="AM78" s="59">
        <f t="shared" si="59"/>
        <v>787.72578207012941</v>
      </c>
      <c r="AN78" s="59">
        <f ca="1">AVERAGE(OFFSET($AM$3,0,0,'Données projet'!$E$10+1,1))-AVERAGE(OFFSET($H$3,0,0,'Données projet'!$E$10+1,1))</f>
        <v>237.64646718446005</v>
      </c>
      <c r="AO78" s="59">
        <f t="shared" si="90"/>
        <v>156.67965022779907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1.3670490590408988</v>
      </c>
      <c r="AV78" s="21">
        <f>EXP(-LN(2)/25)*AV77+(1-EXP(-LN(2)/25))/(LN(2)/25)*Calculateur!AQ78*Calculateur!AS78*VLOOKUP('Données projet'!$B$10,Paramètres!$A$1:$I$89,3,0)*0.475*44/12</f>
        <v>1.204789795153854</v>
      </c>
      <c r="AW78" s="21">
        <f>EXP(-LN(2)/2)*AW77+(1-EXP(-LN(2)/2))/(LN(2)/2)*AQ78*AT78*VLOOKUP('Données projet'!$B$10,Paramètres!$A$1:$I$89,3,0)*0.475*44/12</f>
        <v>1.0288418308878327E-6</v>
      </c>
      <c r="AX78" s="21">
        <f t="shared" si="60"/>
        <v>2.5718398830365836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270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269.99999999999977</v>
      </c>
      <c r="BE78" s="13">
        <f>BD78*VLOOKUP('Données projet'!$B$11,Paramètres!$A$1:$I$89,3,0)*VLOOKUP('Données projet'!$B$11,Paramètres!$A$1:$I$89,5,0)</f>
        <v>176.90399999999985</v>
      </c>
      <c r="BF78" s="13">
        <f t="shared" si="91"/>
        <v>44.632689233663115</v>
      </c>
      <c r="BG78" s="20">
        <f t="shared" si="61"/>
        <v>385.843067081963</v>
      </c>
      <c r="BH78" s="59">
        <f t="shared" si="62"/>
        <v>679.17640041529626</v>
      </c>
      <c r="BI78" s="59">
        <f ca="1">AVERAGE(OFFSET($BH$3,0,0,'Données projet'!$E$11+1,1))-AVERAGE(OFFSET($H$3,0,0,'Données projet'!$E$11+1,1))</f>
        <v>172.9177436650786</v>
      </c>
      <c r="BJ78" s="59">
        <f t="shared" si="92"/>
        <v>173.73622806725865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9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0.6816616273921291</v>
      </c>
      <c r="BQ78" s="21">
        <f>EXP(-LN(2)/25)*BQ77+(1-EXP(-LN(2)/25))/(LN(2)/25)*Calculateur!BL78*Calculateur!BN78*VLOOKUP('Données projet'!$B$11,Paramètres!$A$1:$I$89,3,0)*0.475*44/12</f>
        <v>3.2782574761798124</v>
      </c>
      <c r="BR78" s="21">
        <f>EXP(-LN(2)/2)*BR77+(1-EXP(-LN(2)/2))/(LN(2)/2)*BL78*BO78*VLOOKUP('Données projet'!$B$11,Paramètres!$A$1:$I$89,3,0)*0.475*44/12</f>
        <v>1.4192125464971894E-6</v>
      </c>
      <c r="BS78" s="22">
        <f t="shared" si="63"/>
        <v>3.959920522784488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8.875</v>
      </c>
      <c r="BY78" s="12">
        <f>IF('Données projet'!$A$114&gt;35,BY77+BX78-CG77,IF(A78&lt;'Données projet'!$A$114,$BV$205^A78,IF(A78='Données projet'!$A$114,'Données projet'!$B$114,BY77+BX78-CG77)))</f>
        <v>504.875</v>
      </c>
      <c r="BZ78" s="13">
        <f>BY78*VLOOKUP('Données projet'!$B$12,Paramètres!$A$1:$I$89,3,0)*VLOOKUP('Données projet'!$B$12,Paramètres!$A$1:$I$89,5,0)</f>
        <v>301.91525000000001</v>
      </c>
      <c r="CA78" s="13">
        <f t="shared" si="93"/>
        <v>71.577824610045951</v>
      </c>
      <c r="CB78" s="20">
        <f t="shared" si="64"/>
        <v>650.50043827916329</v>
      </c>
      <c r="CC78" s="59">
        <f t="shared" si="65"/>
        <v>943.83377161249655</v>
      </c>
      <c r="CD78" s="59">
        <f ca="1">AVERAGE(OFFSET($CC$3,0,0,'Données projet'!$E$12+1,1))-AVERAGE(OFFSET($H$3,0,0,'Données projet'!$E$12+1,1))</f>
        <v>289.07218105343333</v>
      </c>
      <c r="CE78" s="59">
        <f t="shared" si="94"/>
        <v>217.57508587672368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0.49783153727343821</v>
      </c>
      <c r="CL78" s="21">
        <f>EXP(-LN(2)/25)*CL77+(1-EXP(-LN(2)/25))/(LN(2)/25)*Calculateur!CG78*Calculateur!CI78*VLOOKUP('Données projet'!$B$12,Paramètres!$A$1:$I$89,3,0)*0.475*44/12</f>
        <v>1.8875254945122086</v>
      </c>
      <c r="CM78" s="21">
        <f>EXP(-LN(2)/2)*CM77+(1-EXP(-LN(2)/2))/(LN(2)/2)*CG78*CJ78*VLOOKUP('Données projet'!$B$12,Paramètres!$A$1:$I$89,3,0)*0.475*44/12</f>
        <v>1.3014459655699807E-6</v>
      </c>
      <c r="CN78" s="22">
        <f t="shared" si="66"/>
        <v>2.3853583332316126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236.99999999999989</v>
      </c>
      <c r="O79" s="13">
        <f>N79*VLOOKUP('Données projet'!$B$9,Paramètres!$A$1:$I$89,3,0)*VLOOKUP('Données projet'!$B$9,Paramètres!$A$1:$I$89,5,0)</f>
        <v>240.3179999999999</v>
      </c>
      <c r="P79" s="13">
        <f t="shared" si="87"/>
        <v>58.507944457766484</v>
      </c>
      <c r="Q79" s="20">
        <f t="shared" si="54"/>
        <v>520.45518659727634</v>
      </c>
      <c r="R79" s="59">
        <f t="shared" si="55"/>
        <v>813.78851993060971</v>
      </c>
      <c r="S79" s="59">
        <f ca="1">AVERAGE(OFFSET($R$3,0,0,'Données projet'!$E$9+1,1))-AVERAGE(OFFSET($H$3,0,0,'Données projet'!$E$9+1,1))</f>
        <v>272.93635583300755</v>
      </c>
      <c r="T79" s="59">
        <f t="shared" si="88"/>
        <v>179.56041631665812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1.5019954129775086</v>
      </c>
      <c r="AA79" s="21">
        <f>EXP(-LN(2)/25)*AA78+(1-EXP(-LN(2)/25))/(LN(2)/25)*Calculateur!V79*Calculateur!X79*VLOOKUP('Données projet'!$B$9,Paramètres!$A$1:$I$89,3,0)*0.475*44/12</f>
        <v>1.3132742942264652</v>
      </c>
      <c r="AB79" s="21">
        <f>EXP(-LN(2)/2)*AB78+(1-EXP(-LN(2)/2))/(LN(2)/2)*V79*Y79*VLOOKUP('Données projet'!$B$9,Paramètres!$A$1:$I$89,3,0)*0.475*44/12</f>
        <v>8.1530288448786285E-7</v>
      </c>
      <c r="AC79" s="22">
        <f t="shared" si="57"/>
        <v>2.8152705225068582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214.43759999999989</v>
      </c>
      <c r="AK79" s="13">
        <f t="shared" si="89"/>
        <v>52.904129603372375</v>
      </c>
      <c r="AL79" s="20">
        <f t="shared" si="58"/>
        <v>465.62017905920658</v>
      </c>
      <c r="AM79" s="59">
        <f t="shared" si="59"/>
        <v>758.95351239253989</v>
      </c>
      <c r="AN79" s="59">
        <f ca="1">AVERAGE(OFFSET($AM$3,0,0,'Données projet'!$E$10+1,1))-AVERAGE(OFFSET($H$3,0,0,'Données projet'!$E$10+1,1))</f>
        <v>237.64646718446005</v>
      </c>
      <c r="AO79" s="59">
        <f t="shared" si="90"/>
        <v>156.67965022779907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1.3402420608107002</v>
      </c>
      <c r="AV79" s="21">
        <f>EXP(-LN(2)/25)*AV78+(1-EXP(-LN(2)/25))/(LN(2)/25)*Calculateur!AQ79*Calculateur!AS79*VLOOKUP('Données projet'!$B$10,Paramètres!$A$1:$I$89,3,0)*0.475*44/12</f>
        <v>1.17184475484823</v>
      </c>
      <c r="AW79" s="21">
        <f>EXP(-LN(2)/2)*AW78+(1-EXP(-LN(2)/2))/(LN(2)/2)*AQ79*AT79*VLOOKUP('Données projet'!$B$10,Paramètres!$A$1:$I$89,3,0)*0.475*44/12</f>
        <v>7.2750103538916968E-7</v>
      </c>
      <c r="AX79" s="21">
        <f t="shared" si="60"/>
        <v>2.5120875431599656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2.8</v>
      </c>
      <c r="BD79" s="12">
        <f>IF('Données projet'!$A$88&gt;35,BD78+BC79-BL78,IF(A79&lt;'Données projet'!$A$88,$BA$205^A79,IF(A79='Données projet'!$A$88,'Données projet'!$B$88,BD78+BC79-BL78)))</f>
        <v>263.79999999999978</v>
      </c>
      <c r="BE79" s="13">
        <f>BD79*VLOOKUP('Données projet'!$B$11,Paramètres!$A$1:$I$89,3,0)*VLOOKUP('Données projet'!$B$11,Paramètres!$A$1:$I$89,5,0)</f>
        <v>172.84175999999985</v>
      </c>
      <c r="BF79" s="13">
        <f t="shared" si="91"/>
        <v>43.725867908425457</v>
      </c>
      <c r="BG79" s="20">
        <f t="shared" si="61"/>
        <v>377.18861860717408</v>
      </c>
      <c r="BH79" s="59">
        <f t="shared" si="62"/>
        <v>670.52195194050739</v>
      </c>
      <c r="BI79" s="59">
        <f ca="1">AVERAGE(OFFSET($BH$3,0,0,'Données projet'!$E$11+1,1))-AVERAGE(OFFSET($H$3,0,0,'Données projet'!$E$11+1,1))</f>
        <v>172.9177436650786</v>
      </c>
      <c r="BJ79" s="59">
        <f t="shared" si="92"/>
        <v>173.73622806725865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0.66829465865150806</v>
      </c>
      <c r="BQ79" s="21">
        <f>EXP(-LN(2)/25)*BQ78+(1-EXP(-LN(2)/25))/(LN(2)/25)*Calculateur!BL79*Calculateur!BN79*VLOOKUP('Données projet'!$B$11,Paramètres!$A$1:$I$89,3,0)*0.475*44/12</f>
        <v>3.1886133530976073</v>
      </c>
      <c r="BR79" s="21">
        <f>EXP(-LN(2)/2)*BR78+(1-EXP(-LN(2)/2))/(LN(2)/2)*BL79*BO79*VLOOKUP('Données projet'!$B$11,Paramètres!$A$1:$I$89,3,0)*0.475*44/12</f>
        <v>1.003534815573191E-6</v>
      </c>
      <c r="BS79" s="22">
        <f t="shared" si="63"/>
        <v>3.8569090152839309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8.875</v>
      </c>
      <c r="BY79" s="12">
        <f>IF('Données projet'!$A$114&gt;35,BY78+BX79-CG78,IF(A79&lt;'Données projet'!$A$114,$BV$205^A79,IF(A79='Données projet'!$A$114,'Données projet'!$B$114,BY78+BX79-CG78)))</f>
        <v>513.75</v>
      </c>
      <c r="BZ79" s="13">
        <f>BY79*VLOOKUP('Données projet'!$B$12,Paramètres!$A$1:$I$89,3,0)*VLOOKUP('Données projet'!$B$12,Paramètres!$A$1:$I$89,5,0)</f>
        <v>307.22250000000003</v>
      </c>
      <c r="CA79" s="13">
        <f t="shared" si="93"/>
        <v>72.68847414066191</v>
      </c>
      <c r="CB79" s="20">
        <f t="shared" si="64"/>
        <v>661.67827996165295</v>
      </c>
      <c r="CC79" s="59">
        <f t="shared" si="65"/>
        <v>955.01161329498632</v>
      </c>
      <c r="CD79" s="59">
        <f ca="1">AVERAGE(OFFSET($CC$3,0,0,'Données projet'!$E$12+1,1))-AVERAGE(OFFSET($H$3,0,0,'Données projet'!$E$12+1,1))</f>
        <v>289.07218105343333</v>
      </c>
      <c r="CE79" s="59">
        <f t="shared" si="94"/>
        <v>217.57508587672368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0.48806936447476112</v>
      </c>
      <c r="CL79" s="21">
        <f>EXP(-LN(2)/25)*CL78+(1-EXP(-LN(2)/25))/(LN(2)/25)*Calculateur!CG79*Calculateur!CI79*VLOOKUP('Données projet'!$B$12,Paramètres!$A$1:$I$89,3,0)*0.475*44/12</f>
        <v>1.8359110106041205</v>
      </c>
      <c r="CM79" s="21">
        <f>EXP(-LN(2)/2)*CM78+(1-EXP(-LN(2)/2))/(LN(2)/2)*CG79*CJ79*VLOOKUP('Données projet'!$B$12,Paramètres!$A$1:$I$89,3,0)*0.475*44/12</f>
        <v>9.202612676024074E-7</v>
      </c>
      <c r="CN79" s="22">
        <f t="shared" si="66"/>
        <v>2.3239812953401491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242.99999999999989</v>
      </c>
      <c r="O80" s="13">
        <f>N80*VLOOKUP('Données projet'!$B$9,Paramètres!$A$1:$I$89,3,0)*VLOOKUP('Données projet'!$B$9,Paramètres!$A$1:$I$89,5,0)</f>
        <v>246.4019999999999</v>
      </c>
      <c r="P80" s="13">
        <f t="shared" si="87"/>
        <v>59.814834475385474</v>
      </c>
      <c r="Q80" s="20">
        <f t="shared" si="54"/>
        <v>533.32765337796286</v>
      </c>
      <c r="R80" s="59">
        <f t="shared" si="55"/>
        <v>826.66098671129612</v>
      </c>
      <c r="S80" s="59">
        <f ca="1">AVERAGE(OFFSET($R$3,0,0,'Données projet'!$E$9+1,1))-AVERAGE(OFFSET($H$3,0,0,'Données projet'!$E$9+1,1))</f>
        <v>272.93635583300755</v>
      </c>
      <c r="T80" s="59">
        <f t="shared" si="88"/>
        <v>179.56041631665812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1.4725421990557617</v>
      </c>
      <c r="AA80" s="21">
        <f>EXP(-LN(2)/25)*AA79+(1-EXP(-LN(2)/25))/(LN(2)/25)*Calculateur!V80*Calculateur!X80*VLOOKUP('Données projet'!$B$9,Paramètres!$A$1:$I$89,3,0)*0.475*44/12</f>
        <v>1.277362739588749</v>
      </c>
      <c r="AB80" s="21">
        <f>EXP(-LN(2)/2)*AB79+(1-EXP(-LN(2)/2))/(LN(2)/2)*V80*Y80*VLOOKUP('Données projet'!$B$9,Paramètres!$A$1:$I$89,3,0)*0.475*44/12</f>
        <v>5.7650619834232026E-7</v>
      </c>
      <c r="AC80" s="22">
        <f t="shared" si="57"/>
        <v>2.7499055151507088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219.86639999999989</v>
      </c>
      <c r="AK80" s="13">
        <f t="shared" si="89"/>
        <v>54.085847394182416</v>
      </c>
      <c r="AL80" s="20">
        <f t="shared" si="58"/>
        <v>477.13349754486745</v>
      </c>
      <c r="AM80" s="59">
        <f t="shared" si="59"/>
        <v>770.46683087820077</v>
      </c>
      <c r="AN80" s="59">
        <f ca="1">AVERAGE(OFFSET($AM$3,0,0,'Données projet'!$E$10+1,1))-AVERAGE(OFFSET($H$3,0,0,'Données projet'!$E$10+1,1))</f>
        <v>237.64646718446005</v>
      </c>
      <c r="AO80" s="59">
        <f t="shared" si="90"/>
        <v>156.67965022779907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1.3139607314651414</v>
      </c>
      <c r="AV80" s="21">
        <f>EXP(-LN(2)/25)*AV79+(1-EXP(-LN(2)/25))/(LN(2)/25)*Calculateur!AQ80*Calculateur!AS80*VLOOKUP('Données projet'!$B$10,Paramètres!$A$1:$I$89,3,0)*0.475*44/12</f>
        <v>1.1398005984022679</v>
      </c>
      <c r="AW80" s="21">
        <f>EXP(-LN(2)/2)*AW79+(1-EXP(-LN(2)/2))/(LN(2)/2)*AQ80*AT80*VLOOKUP('Données projet'!$B$10,Paramètres!$A$1:$I$89,3,0)*0.475*44/12</f>
        <v>5.1442091544391637E-7</v>
      </c>
      <c r="AX80" s="21">
        <f t="shared" si="60"/>
        <v>2.4537618442883247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2.8</v>
      </c>
      <c r="BD80" s="12">
        <f>IF('Données projet'!$A$88&gt;35,BD79+BC80-BL79,IF(A80&lt;'Données projet'!$A$88,$BA$205^A80,IF(A80='Données projet'!$A$88,'Données projet'!$B$88,BD79+BC80-BL79)))</f>
        <v>266.5999999999998</v>
      </c>
      <c r="BE80" s="13">
        <f>BD80*VLOOKUP('Données projet'!$B$11,Paramètres!$A$1:$I$89,3,0)*VLOOKUP('Données projet'!$B$11,Paramètres!$A$1:$I$89,5,0)</f>
        <v>174.67631999999986</v>
      </c>
      <c r="BF80" s="13">
        <f t="shared" si="91"/>
        <v>44.135703881788075</v>
      </c>
      <c r="BG80" s="20">
        <f t="shared" si="61"/>
        <v>381.09760826078065</v>
      </c>
      <c r="BH80" s="59">
        <f t="shared" si="62"/>
        <v>674.43094159411396</v>
      </c>
      <c r="BI80" s="59">
        <f ca="1">AVERAGE(OFFSET($BH$3,0,0,'Données projet'!$E$11+1,1))-AVERAGE(OFFSET($H$3,0,0,'Données projet'!$E$11+1,1))</f>
        <v>172.9177436650786</v>
      </c>
      <c r="BJ80" s="59">
        <f t="shared" si="92"/>
        <v>173.73622806725865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0.65518980801484472</v>
      </c>
      <c r="BQ80" s="21">
        <f>EXP(-LN(2)/25)*BQ79+(1-EXP(-LN(2)/25))/(LN(2)/25)*Calculateur!BL80*Calculateur!BN80*VLOOKUP('Données projet'!$B$11,Paramètres!$A$1:$I$89,3,0)*0.475*44/12</f>
        <v>3.1014205532752648</v>
      </c>
      <c r="BR80" s="21">
        <f>EXP(-LN(2)/2)*BR79+(1-EXP(-LN(2)/2))/(LN(2)/2)*BL80*BO80*VLOOKUP('Données projet'!$B$11,Paramètres!$A$1:$I$89,3,0)*0.475*44/12</f>
        <v>7.0960627324859469E-7</v>
      </c>
      <c r="BS80" s="22">
        <f t="shared" si="63"/>
        <v>3.7566110708963829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8.875</v>
      </c>
      <c r="BY80" s="12">
        <f>IF('Données projet'!$A$114&gt;35,BY79+BX80-CG79,IF(A80&lt;'Données projet'!$A$114,$BV$205^A80,IF(A80='Données projet'!$A$114,'Données projet'!$B$114,BY79+BX80-CG79)))</f>
        <v>522.625</v>
      </c>
      <c r="BZ80" s="13">
        <f>BY80*VLOOKUP('Données projet'!$B$12,Paramètres!$A$1:$I$89,3,0)*VLOOKUP('Données projet'!$B$12,Paramètres!$A$1:$I$89,5,0)</f>
        <v>312.52975000000004</v>
      </c>
      <c r="CA80" s="13">
        <f t="shared" si="93"/>
        <v>73.796892500493684</v>
      </c>
      <c r="CB80" s="20">
        <f t="shared" si="64"/>
        <v>672.85223568835988</v>
      </c>
      <c r="CC80" s="59">
        <f t="shared" si="65"/>
        <v>966.18556902169325</v>
      </c>
      <c r="CD80" s="59">
        <f ca="1">AVERAGE(OFFSET($CC$3,0,0,'Données projet'!$E$12+1,1))-AVERAGE(OFFSET($H$3,0,0,'Données projet'!$E$12+1,1))</f>
        <v>289.07218105343333</v>
      </c>
      <c r="CE80" s="59">
        <f t="shared" si="94"/>
        <v>217.57508587672368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0.47849862193032866</v>
      </c>
      <c r="CL80" s="21">
        <f>EXP(-LN(2)/25)*CL79+(1-EXP(-LN(2)/25))/(LN(2)/25)*Calculateur!CG80*Calculateur!CI80*VLOOKUP('Données projet'!$B$12,Paramètres!$A$1:$I$89,3,0)*0.475*44/12</f>
        <v>1.7857079274727869</v>
      </c>
      <c r="CM80" s="21">
        <f>EXP(-LN(2)/2)*CM79+(1-EXP(-LN(2)/2))/(LN(2)/2)*CG80*CJ80*VLOOKUP('Données projet'!$B$12,Paramètres!$A$1:$I$89,3,0)*0.475*44/12</f>
        <v>6.5072298278499034E-7</v>
      </c>
      <c r="CN80" s="22">
        <f t="shared" si="66"/>
        <v>2.2642072001260982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248.99999999999989</v>
      </c>
      <c r="O81" s="13">
        <f>N81*VLOOKUP('Données projet'!$B$9,Paramètres!$A$1:$I$89,3,0)*VLOOKUP('Données projet'!$B$9,Paramètres!$A$1:$I$89,5,0)</f>
        <v>252.4859999999999</v>
      </c>
      <c r="P81" s="13">
        <f t="shared" si="87"/>
        <v>61.117973383957384</v>
      </c>
      <c r="Q81" s="20">
        <f t="shared" si="54"/>
        <v>546.193586977059</v>
      </c>
      <c r="R81" s="59">
        <f t="shared" si="55"/>
        <v>839.52692031039237</v>
      </c>
      <c r="S81" s="59">
        <f ca="1">AVERAGE(OFFSET($R$3,0,0,'Données projet'!$E$9+1,1))-AVERAGE(OFFSET($H$3,0,0,'Données projet'!$E$9+1,1))</f>
        <v>272.93635583300755</v>
      </c>
      <c r="T81" s="59">
        <f t="shared" si="88"/>
        <v>179.56041631665812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1.4436665446943335</v>
      </c>
      <c r="AA81" s="21">
        <f>EXP(-LN(2)/25)*AA80+(1-EXP(-LN(2)/25))/(LN(2)/25)*Calculateur!V81*Calculateur!X81*VLOOKUP('Données projet'!$B$9,Paramètres!$A$1:$I$89,3,0)*0.475*44/12</f>
        <v>1.2424331883011077</v>
      </c>
      <c r="AB81" s="21">
        <f>EXP(-LN(2)/2)*AB80+(1-EXP(-LN(2)/2))/(LN(2)/2)*V81*Y81*VLOOKUP('Données projet'!$B$9,Paramètres!$A$1:$I$89,3,0)*0.475*44/12</f>
        <v>4.0765144224393142E-7</v>
      </c>
      <c r="AC81" s="22">
        <f t="shared" si="57"/>
        <v>2.6861001406468836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225.29519999999991</v>
      </c>
      <c r="AK81" s="13">
        <f t="shared" si="89"/>
        <v>55.264173352293078</v>
      </c>
      <c r="AL81" s="20">
        <f t="shared" si="58"/>
        <v>488.64090858857691</v>
      </c>
      <c r="AM81" s="59">
        <f t="shared" si="59"/>
        <v>781.97424192191022</v>
      </c>
      <c r="AN81" s="59">
        <f ca="1">AVERAGE(OFFSET($AM$3,0,0,'Données projet'!$E$10+1,1))-AVERAGE(OFFSET($H$3,0,0,'Données projet'!$E$10+1,1))</f>
        <v>237.64646718446005</v>
      </c>
      <c r="AO81" s="59">
        <f t="shared" si="90"/>
        <v>156.67965022779907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1.2881947629580208</v>
      </c>
      <c r="AV81" s="21">
        <f>EXP(-LN(2)/25)*AV80+(1-EXP(-LN(2)/25))/(LN(2)/25)*Calculateur!AQ81*Calculateur!AS81*VLOOKUP('Données projet'!$B$10,Paramètres!$A$1:$I$89,3,0)*0.475*44/12</f>
        <v>1.1086326910994495</v>
      </c>
      <c r="AW81" s="21">
        <f>EXP(-LN(2)/2)*AW80+(1-EXP(-LN(2)/2))/(LN(2)/2)*AQ81*AT81*VLOOKUP('Données projet'!$B$10,Paramètres!$A$1:$I$89,3,0)*0.475*44/12</f>
        <v>3.6375051769458484E-7</v>
      </c>
      <c r="AX81" s="21">
        <f t="shared" si="60"/>
        <v>2.396827817807988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2.8</v>
      </c>
      <c r="BD81" s="12">
        <f>IF('Données projet'!$A$88&gt;35,BD80+BC81-BL80,IF(A81&lt;'Données projet'!$A$88,$BA$205^A81,IF(A81='Données projet'!$A$88,'Données projet'!$B$88,BD80+BC81-BL80)))</f>
        <v>269.39999999999981</v>
      </c>
      <c r="BE81" s="13">
        <f>BD81*VLOOKUP('Données projet'!$B$11,Paramètres!$A$1:$I$89,3,0)*VLOOKUP('Données projet'!$B$11,Paramètres!$A$1:$I$89,5,0)</f>
        <v>176.51087999999987</v>
      </c>
      <c r="BF81" s="13">
        <f t="shared" si="91"/>
        <v>44.545039124761026</v>
      </c>
      <c r="BG81" s="20">
        <f t="shared" si="61"/>
        <v>385.00572580895852</v>
      </c>
      <c r="BH81" s="59">
        <f t="shared" si="62"/>
        <v>678.33905914229183</v>
      </c>
      <c r="BI81" s="59">
        <f ca="1">AVERAGE(OFFSET($BH$3,0,0,'Données projet'!$E$11+1,1))-AVERAGE(OFFSET($H$3,0,0,'Données projet'!$E$11+1,1))</f>
        <v>172.9177436650786</v>
      </c>
      <c r="BJ81" s="59">
        <f t="shared" si="92"/>
        <v>173.73622806725865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0.64234193550599672</v>
      </c>
      <c r="BQ81" s="21">
        <f>EXP(-LN(2)/25)*BQ80+(1-EXP(-LN(2)/25))/(LN(2)/25)*Calculateur!BL81*Calculateur!BN81*VLOOKUP('Données projet'!$B$11,Paramètres!$A$1:$I$89,3,0)*0.475*44/12</f>
        <v>3.0166120451493343</v>
      </c>
      <c r="BR81" s="21">
        <f>EXP(-LN(2)/2)*BR80+(1-EXP(-LN(2)/2))/(LN(2)/2)*BL81*BO81*VLOOKUP('Données projet'!$B$11,Paramètres!$A$1:$I$89,3,0)*0.475*44/12</f>
        <v>5.017674077865955E-7</v>
      </c>
      <c r="BS81" s="22">
        <f t="shared" si="63"/>
        <v>3.6589544824227387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8.875</v>
      </c>
      <c r="BY81" s="12">
        <f>IF('Données projet'!$A$114&gt;35,BY80+BX81-CG80,IF(A81&lt;'Données projet'!$A$114,$BV$205^A81,IF(A81='Données projet'!$A$114,'Données projet'!$B$114,BY80+BX81-CG80)))</f>
        <v>531.5</v>
      </c>
      <c r="BZ81" s="13">
        <f>BY81*VLOOKUP('Données projet'!$B$12,Paramètres!$A$1:$I$89,3,0)*VLOOKUP('Données projet'!$B$12,Paramètres!$A$1:$I$89,5,0)</f>
        <v>317.83700000000005</v>
      </c>
      <c r="CA81" s="13">
        <f t="shared" si="93"/>
        <v>74.903121950927684</v>
      </c>
      <c r="CB81" s="20">
        <f t="shared" si="64"/>
        <v>684.0223790645324</v>
      </c>
      <c r="CC81" s="59">
        <f t="shared" si="65"/>
        <v>977.35571239786577</v>
      </c>
      <c r="CD81" s="59">
        <f ca="1">AVERAGE(OFFSET($CC$3,0,0,'Données projet'!$E$12+1,1))-AVERAGE(OFFSET($H$3,0,0,'Données projet'!$E$12+1,1))</f>
        <v>289.07218105343333</v>
      </c>
      <c r="CE81" s="59">
        <f t="shared" si="94"/>
        <v>217.57508587672368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0.46911555580961595</v>
      </c>
      <c r="CL81" s="21">
        <f>EXP(-LN(2)/25)*CL80+(1-EXP(-LN(2)/25))/(LN(2)/25)*Calculateur!CG81*Calculateur!CI81*VLOOKUP('Données projet'!$B$12,Paramètres!$A$1:$I$89,3,0)*0.475*44/12</f>
        <v>1.7368776502897449</v>
      </c>
      <c r="CM81" s="21">
        <f>EXP(-LN(2)/2)*CM80+(1-EXP(-LN(2)/2))/(LN(2)/2)*CG81*CJ81*VLOOKUP('Données projet'!$B$12,Paramètres!$A$1:$I$89,3,0)*0.475*44/12</f>
        <v>4.601306338012037E-7</v>
      </c>
      <c r="CN81" s="22">
        <f t="shared" si="66"/>
        <v>2.2059936662299946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254.99999999999989</v>
      </c>
      <c r="O82" s="13">
        <f>N82*VLOOKUP('Données projet'!$B$9,Paramètres!$A$1:$I$89,3,0)*VLOOKUP('Données projet'!$B$9,Paramètres!$A$1:$I$89,5,0)</f>
        <v>258.56999999999994</v>
      </c>
      <c r="P82" s="13">
        <f t="shared" si="87"/>
        <v>62.417461971173843</v>
      </c>
      <c r="Q82" s="20">
        <f t="shared" si="54"/>
        <v>559.05316293312762</v>
      </c>
      <c r="R82" s="59">
        <f t="shared" si="55"/>
        <v>852.38649626646088</v>
      </c>
      <c r="S82" s="59">
        <f ca="1">AVERAGE(OFFSET($R$3,0,0,'Données projet'!$E$9+1,1))-AVERAGE(OFFSET($H$3,0,0,'Données projet'!$E$9+1,1))</f>
        <v>272.93635583300755</v>
      </c>
      <c r="T82" s="59">
        <f t="shared" si="88"/>
        <v>179.56041631665812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1.4153571243025229</v>
      </c>
      <c r="AA82" s="21">
        <f>EXP(-LN(2)/25)*AA81+(1-EXP(-LN(2)/25))/(LN(2)/25)*Calculateur!V82*Calculateur!X82*VLOOKUP('Données projet'!$B$9,Paramètres!$A$1:$I$89,3,0)*0.475*44/12</f>
        <v>1.2084587874302921</v>
      </c>
      <c r="AB82" s="21">
        <f>EXP(-LN(2)/2)*AB81+(1-EXP(-LN(2)/2))/(LN(2)/2)*V82*Y82*VLOOKUP('Données projet'!$B$9,Paramètres!$A$1:$I$89,3,0)*0.475*44/12</f>
        <v>2.8825309917116013E-7</v>
      </c>
      <c r="AC82" s="22">
        <f t="shared" si="57"/>
        <v>2.6238161999859142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230.72399999999988</v>
      </c>
      <c r="AK82" s="13">
        <f t="shared" si="89"/>
        <v>56.439198612082045</v>
      </c>
      <c r="AL82" s="20">
        <f t="shared" si="58"/>
        <v>500.14257091604264</v>
      </c>
      <c r="AM82" s="59">
        <f t="shared" si="59"/>
        <v>793.47590424937596</v>
      </c>
      <c r="AN82" s="59">
        <f ca="1">AVERAGE(OFFSET($AM$3,0,0,'Données projet'!$E$10+1,1))-AVERAGE(OFFSET($H$3,0,0,'Données projet'!$E$10+1,1))</f>
        <v>237.64646718446005</v>
      </c>
      <c r="AO82" s="59">
        <f t="shared" si="90"/>
        <v>156.67965022779907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1.262934049377636</v>
      </c>
      <c r="AV82" s="21">
        <f>EXP(-LN(2)/25)*AV81+(1-EXP(-LN(2)/25))/(LN(2)/25)*Calculateur!AQ82*Calculateur!AS82*VLOOKUP('Données projet'!$B$10,Paramètres!$A$1:$I$89,3,0)*0.475*44/12</f>
        <v>1.0783170718608757</v>
      </c>
      <c r="AW82" s="21">
        <f>EXP(-LN(2)/2)*AW81+(1-EXP(-LN(2)/2))/(LN(2)/2)*AQ82*AT82*VLOOKUP('Données projet'!$B$10,Paramètres!$A$1:$I$89,3,0)*0.475*44/12</f>
        <v>2.5721045772195818E-7</v>
      </c>
      <c r="AX82" s="21">
        <f t="shared" si="60"/>
        <v>2.3412513784489692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2.8</v>
      </c>
      <c r="BD82" s="12">
        <f>IF('Données projet'!$A$88&gt;35,BD81+BC82-BL81,IF(A82&lt;'Données projet'!$A$88,$BA$205^A82,IF(A82='Données projet'!$A$88,'Données projet'!$B$88,BD81+BC82-BL81)))</f>
        <v>272.19999999999982</v>
      </c>
      <c r="BE82" s="13">
        <f>BD82*VLOOKUP('Données projet'!$B$11,Paramètres!$A$1:$I$89,3,0)*VLOOKUP('Données projet'!$B$11,Paramètres!$A$1:$I$89,5,0)</f>
        <v>178.34543999999988</v>
      </c>
      <c r="BF82" s="13">
        <f t="shared" si="91"/>
        <v>44.953879444149464</v>
      </c>
      <c r="BG82" s="20">
        <f t="shared" si="61"/>
        <v>388.9129813652267</v>
      </c>
      <c r="BH82" s="59">
        <f t="shared" si="62"/>
        <v>682.24631469856001</v>
      </c>
      <c r="BI82" s="59">
        <f ca="1">AVERAGE(OFFSET($BH$3,0,0,'Données projet'!$E$11+1,1))-AVERAGE(OFFSET($H$3,0,0,'Données projet'!$E$11+1,1))</f>
        <v>172.9177436650786</v>
      </c>
      <c r="BJ82" s="59">
        <f t="shared" si="92"/>
        <v>173.73622806725865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0.62974600194061869</v>
      </c>
      <c r="BQ82" s="21">
        <f>EXP(-LN(2)/25)*BQ81+(1-EXP(-LN(2)/25))/(LN(2)/25)*Calculateur!BL82*Calculateur!BN82*VLOOKUP('Données projet'!$B$11,Paramètres!$A$1:$I$89,3,0)*0.475*44/12</f>
        <v>2.9341226301379928</v>
      </c>
      <c r="BR82" s="21">
        <f>EXP(-LN(2)/2)*BR81+(1-EXP(-LN(2)/2))/(LN(2)/2)*BL82*BO82*VLOOKUP('Données projet'!$B$11,Paramètres!$A$1:$I$89,3,0)*0.475*44/12</f>
        <v>3.5480313662429734E-7</v>
      </c>
      <c r="BS82" s="22">
        <f t="shared" si="63"/>
        <v>3.5638689868817481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8.875</v>
      </c>
      <c r="BY82" s="12">
        <f>IF('Données projet'!$A$114&gt;35,BY81+BX82-CG81,IF(A82&lt;'Données projet'!$A$114,$BV$205^A82,IF(A82='Données projet'!$A$114,'Données projet'!$B$114,BY81+BX82-CG81)))</f>
        <v>540.375</v>
      </c>
      <c r="BZ82" s="13">
        <f>BY82*VLOOKUP('Données projet'!$B$12,Paramètres!$A$1:$I$89,3,0)*VLOOKUP('Données projet'!$B$12,Paramètres!$A$1:$I$89,5,0)</f>
        <v>323.14425000000006</v>
      </c>
      <c r="CA82" s="13">
        <f t="shared" si="93"/>
        <v>76.007203261088534</v>
      </c>
      <c r="CB82" s="20">
        <f t="shared" si="64"/>
        <v>695.18878109639593</v>
      </c>
      <c r="CC82" s="59">
        <f t="shared" si="65"/>
        <v>988.5221144297293</v>
      </c>
      <c r="CD82" s="59">
        <f ca="1">AVERAGE(OFFSET($CC$3,0,0,'Données projet'!$E$12+1,1))-AVERAGE(OFFSET($H$3,0,0,'Données projet'!$E$12+1,1))</f>
        <v>289.07218105343333</v>
      </c>
      <c r="CE82" s="59">
        <f t="shared" si="94"/>
        <v>217.57508587672368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0.45991648589242523</v>
      </c>
      <c r="CL82" s="21">
        <f>EXP(-LN(2)/25)*CL81+(1-EXP(-LN(2)/25))/(LN(2)/25)*Calculateur!CG82*Calculateur!CI82*VLOOKUP('Données projet'!$B$12,Paramètres!$A$1:$I$89,3,0)*0.475*44/12</f>
        <v>1.689382639604146</v>
      </c>
      <c r="CM82" s="21">
        <f>EXP(-LN(2)/2)*CM81+(1-EXP(-LN(2)/2))/(LN(2)/2)*CG82*CJ82*VLOOKUP('Données projet'!$B$12,Paramètres!$A$1:$I$89,3,0)*0.475*44/12</f>
        <v>3.2536149139249517E-7</v>
      </c>
      <c r="CN82" s="22">
        <f t="shared" si="66"/>
        <v>2.149299450858063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260.99999999999989</v>
      </c>
      <c r="O83" s="13">
        <f>N83*VLOOKUP('Données projet'!$B$9,Paramètres!$A$1:$I$89,3,0)*VLOOKUP('Données projet'!$B$9,Paramètres!$A$1:$I$89,5,0)</f>
        <v>264.65399999999988</v>
      </c>
      <c r="P83" s="13">
        <f t="shared" si="87"/>
        <v>63.71339601121106</v>
      </c>
      <c r="Q83" s="20">
        <f t="shared" si="54"/>
        <v>571.90654805285897</v>
      </c>
      <c r="R83" s="59">
        <f t="shared" si="55"/>
        <v>865.23988138619234</v>
      </c>
      <c r="S83" s="59">
        <f ca="1">AVERAGE(OFFSET($R$3,0,0,'Données projet'!$E$9+1,1))-AVERAGE(OFFSET($H$3,0,0,'Données projet'!$E$9+1,1))</f>
        <v>272.93635583300755</v>
      </c>
      <c r="T83" s="59">
        <f t="shared" si="88"/>
        <v>179.56041631665812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21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1.3876028343775542</v>
      </c>
      <c r="AA83" s="21">
        <f>EXP(-LN(2)/25)*AA82+(1-EXP(-LN(2)/25))/(LN(2)/25)*Calculateur!V83*Calculateur!X83*VLOOKUP('Données projet'!$B$9,Paramètres!$A$1:$I$89,3,0)*0.475*44/12</f>
        <v>1.175413418337925</v>
      </c>
      <c r="AB83" s="21">
        <f>EXP(-LN(2)/2)*AB82+(1-EXP(-LN(2)/2))/(LN(2)/2)*V83*Y83*VLOOKUP('Données projet'!$B$9,Paramètres!$A$1:$I$89,3,0)*0.475*44/12</f>
        <v>2.0382572112196571E-7</v>
      </c>
      <c r="AC83" s="22">
        <f t="shared" si="57"/>
        <v>2.5630164565412001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236.15279999999987</v>
      </c>
      <c r="AK83" s="13">
        <f t="shared" si="89"/>
        <v>57.61100977459931</v>
      </c>
      <c r="AL83" s="20">
        <f t="shared" si="58"/>
        <v>511.63863535742689</v>
      </c>
      <c r="AM83" s="59">
        <f t="shared" si="59"/>
        <v>804.97196869076015</v>
      </c>
      <c r="AN83" s="59">
        <f ca="1">AVERAGE(OFFSET($AM$3,0,0,'Données projet'!$E$10+1,1))-AVERAGE(OFFSET($H$3,0,0,'Données projet'!$E$10+1,1))</f>
        <v>237.64646718446005</v>
      </c>
      <c r="AO83" s="59">
        <f t="shared" si="90"/>
        <v>156.67965022779907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1.2381686829830485</v>
      </c>
      <c r="AV83" s="21">
        <f>EXP(-LN(2)/25)*AV82+(1-EXP(-LN(2)/25))/(LN(2)/25)*Calculateur!AQ83*Calculateur!AS83*VLOOKUP('Données projet'!$B$10,Paramètres!$A$1:$I$89,3,0)*0.475*44/12</f>
        <v>1.0488304348246098</v>
      </c>
      <c r="AW83" s="21">
        <f>EXP(-LN(2)/2)*AW82+(1-EXP(-LN(2)/2))/(LN(2)/2)*AQ83*AT83*VLOOKUP('Données projet'!$B$10,Paramètres!$A$1:$I$89,3,0)*0.475*44/12</f>
        <v>1.8187525884729242E-7</v>
      </c>
      <c r="AX83" s="21">
        <f t="shared" si="60"/>
        <v>2.2869992996829174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275</v>
      </c>
      <c r="BB83" s="12">
        <f>VLOOKUP(A83,'Données projet'!$A$87:$I$107,9,0)</f>
        <v>2.8</v>
      </c>
      <c r="BC83" s="12">
        <f t="array" ref="BC83">INDEX(BB:BB,MIN(IF(ISNUMBER(BB83:BB279),ROW(BB83:BB279),"")))</f>
        <v>2.8</v>
      </c>
      <c r="BD83" s="12">
        <f>IF('Données projet'!$A$88&gt;35,BD82+BC83-BL82,IF(A83&lt;'Données projet'!$A$88,$BA$205^A83,IF(A83='Données projet'!$A$88,'Données projet'!$B$88,BD82+BC83-BL82)))</f>
        <v>274.99999999999983</v>
      </c>
      <c r="BE83" s="13">
        <f>BD83*VLOOKUP('Données projet'!$B$11,Paramètres!$A$1:$I$89,3,0)*VLOOKUP('Données projet'!$B$11,Paramètres!$A$1:$I$89,5,0)</f>
        <v>180.17999999999989</v>
      </c>
      <c r="BF83" s="13">
        <f t="shared" si="91"/>
        <v>45.362230520410648</v>
      </c>
      <c r="BG83" s="20">
        <f t="shared" si="61"/>
        <v>392.81938482304832</v>
      </c>
      <c r="BH83" s="59">
        <f t="shared" si="62"/>
        <v>686.15271815638164</v>
      </c>
      <c r="BI83" s="59">
        <f ca="1">AVERAGE(OFFSET($BH$3,0,0,'Données projet'!$E$11+1,1))-AVERAGE(OFFSET($H$3,0,0,'Données projet'!$E$11+1,1))</f>
        <v>172.9177436650786</v>
      </c>
      <c r="BJ83" s="59">
        <f t="shared" si="92"/>
        <v>173.73622806725865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275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0.61739706694969687</v>
      </c>
      <c r="BQ83" s="21">
        <f>EXP(-LN(2)/25)*BQ82+(1-EXP(-LN(2)/25))/(LN(2)/25)*Calculateur!BL83*Calculateur!BN83*VLOOKUP('Données projet'!$B$11,Paramètres!$A$1:$I$89,3,0)*0.475*44/12</f>
        <v>2.8538888925180661</v>
      </c>
      <c r="BR83" s="21">
        <f>EXP(-LN(2)/2)*BR82+(1-EXP(-LN(2)/2))/(LN(2)/2)*BL83*BO83*VLOOKUP('Données projet'!$B$11,Paramètres!$A$1:$I$89,3,0)*0.475*44/12</f>
        <v>2.5088370389329775E-7</v>
      </c>
      <c r="BS83" s="22">
        <f t="shared" si="63"/>
        <v>3.471286210351467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8.875</v>
      </c>
      <c r="BY83" s="12">
        <f>IF('Données projet'!$A$114&gt;35,BY82+BX83-CG82,IF(A83&lt;'Données projet'!$A$114,$BV$205^A83,IF(A83='Données projet'!$A$114,'Données projet'!$B$114,BY82+BX83-CG82)))</f>
        <v>549.25</v>
      </c>
      <c r="BZ83" s="13">
        <f>BY83*VLOOKUP('Données projet'!$B$12,Paramètres!$A$1:$I$89,3,0)*VLOOKUP('Données projet'!$B$12,Paramètres!$A$1:$I$89,5,0)</f>
        <v>328.45150000000001</v>
      </c>
      <c r="CA83" s="13">
        <f t="shared" si="93"/>
        <v>77.109175784158708</v>
      </c>
      <c r="CB83" s="20">
        <f t="shared" si="64"/>
        <v>706.35151032407646</v>
      </c>
      <c r="CC83" s="59">
        <f t="shared" si="65"/>
        <v>999.68484365740983</v>
      </c>
      <c r="CD83" s="59">
        <f ca="1">AVERAGE(OFFSET($CC$3,0,0,'Données projet'!$E$12+1,1))-AVERAGE(OFFSET($H$3,0,0,'Données projet'!$E$12+1,1))</f>
        <v>289.07218105343333</v>
      </c>
      <c r="CE83" s="59">
        <f t="shared" si="94"/>
        <v>217.57508587672368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0.45089780412543196</v>
      </c>
      <c r="CL83" s="21">
        <f>EXP(-LN(2)/25)*CL82+(1-EXP(-LN(2)/25))/(LN(2)/25)*Calculateur!CG83*Calculateur!CI83*VLOOKUP('Données projet'!$B$12,Paramètres!$A$1:$I$89,3,0)*0.475*44/12</f>
        <v>1.6431863824833988</v>
      </c>
      <c r="CM83" s="21">
        <f>EXP(-LN(2)/2)*CM82+(1-EXP(-LN(2)/2))/(LN(2)/2)*CG83*CJ83*VLOOKUP('Données projet'!$B$12,Paramètres!$A$1:$I$89,3,0)*0.475*44/12</f>
        <v>2.3006531690060185E-7</v>
      </c>
      <c r="CN83" s="22">
        <f t="shared" si="66"/>
        <v>2.0940844166741477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</v>
      </c>
      <c r="N84" s="13">
        <f>IF('Données projet'!$A$36&gt;35,N83+M84-V83,IF(A84&lt;'Données projet'!$A$36,$K$205^A84,IF(A84='Données projet'!$A$36,'Données projet'!$B$36,N83+M84-V83)))</f>
        <v>245.7999999999999</v>
      </c>
      <c r="O84" s="13">
        <f>N84*VLOOKUP('Données projet'!$B$9,Paramètres!$A$1:$I$89,3,0)*VLOOKUP('Données projet'!$B$9,Paramètres!$A$1:$I$89,5,0)</f>
        <v>249.24119999999988</v>
      </c>
      <c r="P84" s="13">
        <f t="shared" si="87"/>
        <v>60.42342651744687</v>
      </c>
      <c r="Q84" s="20">
        <f t="shared" si="54"/>
        <v>539.3325578512198</v>
      </c>
      <c r="R84" s="59">
        <f t="shared" si="55"/>
        <v>832.66589118455317</v>
      </c>
      <c r="S84" s="59">
        <f ca="1">AVERAGE(OFFSET($R$3,0,0,'Données projet'!$E$9+1,1))-AVERAGE(OFFSET($H$3,0,0,'Données projet'!$E$9+1,1))</f>
        <v>272.93635583300755</v>
      </c>
      <c r="T84" s="59">
        <f t="shared" si="88"/>
        <v>179.56041631665812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1.3603927891495688</v>
      </c>
      <c r="AA84" s="21">
        <f>EXP(-LN(2)/25)*AA83+(1-EXP(-LN(2)/25))/(LN(2)/25)*Calculateur!V84*Calculateur!X84*VLOOKUP('Données projet'!$B$9,Paramètres!$A$1:$I$89,3,0)*0.475*44/12</f>
        <v>1.1432716766011692</v>
      </c>
      <c r="AB84" s="21">
        <f>EXP(-LN(2)/2)*AB83+(1-EXP(-LN(2)/2))/(LN(2)/2)*V84*Y84*VLOOKUP('Données projet'!$B$9,Paramètres!$A$1:$I$89,3,0)*0.475*44/12</f>
        <v>1.4412654958558006E-7</v>
      </c>
      <c r="AC84" s="22">
        <f t="shared" si="57"/>
        <v>2.5036646098772879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222.3998399999999</v>
      </c>
      <c r="AK84" s="13">
        <f t="shared" si="89"/>
        <v>54.636149281681448</v>
      </c>
      <c r="AL84" s="20">
        <f t="shared" si="58"/>
        <v>482.50434799892832</v>
      </c>
      <c r="AM84" s="59">
        <f t="shared" si="59"/>
        <v>775.83768133226158</v>
      </c>
      <c r="AN84" s="59">
        <f ca="1">AVERAGE(OFFSET($AM$3,0,0,'Données projet'!$E$10+1,1))-AVERAGE(OFFSET($H$3,0,0,'Données projet'!$E$10+1,1))</f>
        <v>237.64646718446005</v>
      </c>
      <c r="AO84" s="59">
        <f t="shared" si="90"/>
        <v>156.67965022779907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1.213888950318077</v>
      </c>
      <c r="AV84" s="21">
        <f>EXP(-LN(2)/25)*AV83+(1-EXP(-LN(2)/25))/(LN(2)/25)*Calculateur!AQ84*Calculateur!AS84*VLOOKUP('Données projet'!$B$10,Paramètres!$A$1:$I$89,3,0)*0.475*44/12</f>
        <v>1.0201501114287355</v>
      </c>
      <c r="AW84" s="21">
        <f>EXP(-LN(2)/2)*AW83+(1-EXP(-LN(2)/2))/(LN(2)/2)*AQ84*AT84*VLOOKUP('Données projet'!$B$10,Paramètres!$A$1:$I$89,3,0)*0.475*44/12</f>
        <v>1.2860522886097909E-7</v>
      </c>
      <c r="AX84" s="21">
        <f t="shared" si="60"/>
        <v>2.2340391903520409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-1.7053025658242404E-13</v>
      </c>
      <c r="BE84" s="13">
        <f>BD84*VLOOKUP('Données projet'!$B$11,Paramètres!$A$1:$I$89,3,0)*VLOOKUP('Données projet'!$B$11,Paramètres!$A$1:$I$89,5,0)</f>
        <v>-1.1173142411280423E-13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172.9177436650786</v>
      </c>
      <c r="BJ84" s="59">
        <f t="shared" si="92"/>
        <v>173.73622806725865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0.60529028704184051</v>
      </c>
      <c r="BQ84" s="21">
        <f>EXP(-LN(2)/25)*BQ83+(1-EXP(-LN(2)/25))/(LN(2)/25)*Calculateur!BL84*Calculateur!BN84*VLOOKUP('Données projet'!$B$11,Paramètres!$A$1:$I$89,3,0)*0.475*44/12</f>
        <v>2.7758491506726655</v>
      </c>
      <c r="BR84" s="21">
        <f>EXP(-LN(2)/2)*BR83+(1-EXP(-LN(2)/2))/(LN(2)/2)*BL84*BO84*VLOOKUP('Données projet'!$B$11,Paramètres!$A$1:$I$89,3,0)*0.475*44/12</f>
        <v>1.7740156831214867E-7</v>
      </c>
      <c r="BS84" s="22">
        <f t="shared" si="63"/>
        <v>3.3811396151160742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8.875</v>
      </c>
      <c r="BY84" s="12">
        <f>IF('Données projet'!$A$114&gt;35,BY83+BX84-CG83,IF(A84&lt;'Données projet'!$A$114,$BV$205^A84,IF(A84='Données projet'!$A$114,'Données projet'!$B$114,BY83+BX84-CG83)))</f>
        <v>558.125</v>
      </c>
      <c r="BZ84" s="13">
        <f>BY84*VLOOKUP('Données projet'!$B$12,Paramètres!$A$1:$I$89,3,0)*VLOOKUP('Données projet'!$B$12,Paramètres!$A$1:$I$89,5,0)</f>
        <v>333.75875000000002</v>
      </c>
      <c r="CA84" s="13">
        <f t="shared" si="93"/>
        <v>78.209077528625059</v>
      </c>
      <c r="CB84" s="20">
        <f t="shared" si="64"/>
        <v>717.5106329456886</v>
      </c>
      <c r="CC84" s="59">
        <f t="shared" si="65"/>
        <v>1010.843966279022</v>
      </c>
      <c r="CD84" s="59">
        <f ca="1">AVERAGE(OFFSET($CC$3,0,0,'Données projet'!$E$12+1,1))-AVERAGE(OFFSET($H$3,0,0,'Données projet'!$E$12+1,1))</f>
        <v>289.07218105343333</v>
      </c>
      <c r="CE84" s="59">
        <f t="shared" si="94"/>
        <v>217.57508587672368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0.44205597320703671</v>
      </c>
      <c r="CL84" s="21">
        <f>EXP(-LN(2)/25)*CL83+(1-EXP(-LN(2)/25))/(LN(2)/25)*Calculateur!CG84*Calculateur!CI84*VLOOKUP('Données projet'!$B$12,Paramètres!$A$1:$I$89,3,0)*0.475*44/12</f>
        <v>1.5982533644429739</v>
      </c>
      <c r="CM84" s="21">
        <f>EXP(-LN(2)/2)*CM83+(1-EXP(-LN(2)/2))/(LN(2)/2)*CG84*CJ84*VLOOKUP('Données projet'!$B$12,Paramètres!$A$1:$I$89,3,0)*0.475*44/12</f>
        <v>1.6268074569624758E-7</v>
      </c>
      <c r="CN84" s="22">
        <f t="shared" si="66"/>
        <v>2.0403095003307565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</v>
      </c>
      <c r="N85" s="13">
        <f>IF('Données projet'!$A$36&gt;35,N84+M85-V84,IF(A85&lt;'Données projet'!$A$36,$K$205^A85,IF(A85='Données projet'!$A$36,'Données projet'!$B$36,N84+M85-V84)))</f>
        <v>251.59999999999991</v>
      </c>
      <c r="O85" s="13">
        <f>N85*VLOOKUP('Données projet'!$B$9,Paramètres!$A$1:$I$89,3,0)*VLOOKUP('Données projet'!$B$9,Paramètres!$A$1:$I$89,5,0)</f>
        <v>255.12239999999991</v>
      </c>
      <c r="P85" s="13">
        <f t="shared" si="87"/>
        <v>61.681527554261443</v>
      </c>
      <c r="Q85" s="20">
        <f t="shared" si="54"/>
        <v>551.7668404903385</v>
      </c>
      <c r="R85" s="59">
        <f t="shared" si="55"/>
        <v>845.10017382367187</v>
      </c>
      <c r="S85" s="59">
        <f ca="1">AVERAGE(OFFSET($R$3,0,0,'Données projet'!$E$9+1,1))-AVERAGE(OFFSET($H$3,0,0,'Données projet'!$E$9+1,1))</f>
        <v>272.93635583300755</v>
      </c>
      <c r="T85" s="59">
        <f t="shared" si="88"/>
        <v>179.56041631665812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1.3337163163120154</v>
      </c>
      <c r="AA85" s="21">
        <f>EXP(-LN(2)/25)*AA84+(1-EXP(-LN(2)/25))/(LN(2)/25)*Calculateur!V85*Calculateur!X85*VLOOKUP('Données projet'!$B$9,Paramètres!$A$1:$I$89,3,0)*0.475*44/12</f>
        <v>1.1120088524824658</v>
      </c>
      <c r="AB85" s="21">
        <f>EXP(-LN(2)/2)*AB84+(1-EXP(-LN(2)/2))/(LN(2)/2)*V85*Y85*VLOOKUP('Données projet'!$B$9,Paramètres!$A$1:$I$89,3,0)*0.475*44/12</f>
        <v>1.0191286056098286E-7</v>
      </c>
      <c r="AC85" s="22">
        <f t="shared" si="57"/>
        <v>2.4457252707073414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227.64767999999992</v>
      </c>
      <c r="AK85" s="13">
        <f t="shared" si="89"/>
        <v>55.773751036838313</v>
      </c>
      <c r="AL85" s="20">
        <f t="shared" si="58"/>
        <v>493.62565905582659</v>
      </c>
      <c r="AM85" s="59">
        <f t="shared" si="59"/>
        <v>786.9589923891599</v>
      </c>
      <c r="AN85" s="59">
        <f ca="1">AVERAGE(OFFSET($AM$3,0,0,'Données projet'!$E$10+1,1))-AVERAGE(OFFSET($H$3,0,0,'Données projet'!$E$10+1,1))</f>
        <v>237.64646718446005</v>
      </c>
      <c r="AO85" s="59">
        <f t="shared" si="90"/>
        <v>156.67965022779907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1.1900853284014907</v>
      </c>
      <c r="AV85" s="21">
        <f>EXP(-LN(2)/25)*AV84+(1-EXP(-LN(2)/25))/(LN(2)/25)*Calculateur!AQ85*Calculateur!AS85*VLOOKUP('Données projet'!$B$10,Paramètres!$A$1:$I$89,3,0)*0.475*44/12</f>
        <v>0.99225405298435387</v>
      </c>
      <c r="AW85" s="21">
        <f>EXP(-LN(2)/2)*AW84+(1-EXP(-LN(2)/2))/(LN(2)/2)*AQ85*AT85*VLOOKUP('Données projet'!$B$10,Paramètres!$A$1:$I$89,3,0)*0.475*44/12</f>
        <v>9.093762942364621E-8</v>
      </c>
      <c r="AX85" s="21">
        <f t="shared" si="60"/>
        <v>2.1823394723234739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-1.7053025658242404E-13</v>
      </c>
      <c r="BE85" s="13">
        <f>BD85*VLOOKUP('Données projet'!$B$11,Paramètres!$A$1:$I$89,3,0)*VLOOKUP('Données projet'!$B$11,Paramètres!$A$1:$I$89,5,0)</f>
        <v>-1.1173142411280423E-13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172.9177436650786</v>
      </c>
      <c r="BJ85" s="59">
        <f t="shared" si="92"/>
        <v>173.73622806725865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0.59342091370357053</v>
      </c>
      <c r="BQ85" s="21">
        <f>EXP(-LN(2)/25)*BQ84+(1-EXP(-LN(2)/25))/(LN(2)/25)*Calculateur!BL85*Calculateur!BN85*VLOOKUP('Données projet'!$B$11,Paramètres!$A$1:$I$89,3,0)*0.475*44/12</f>
        <v>2.6999434096719588</v>
      </c>
      <c r="BR85" s="21">
        <f>EXP(-LN(2)/2)*BR84+(1-EXP(-LN(2)/2))/(LN(2)/2)*BL85*BO85*VLOOKUP('Données projet'!$B$11,Paramètres!$A$1:$I$89,3,0)*0.475*44/12</f>
        <v>1.2544185194664887E-7</v>
      </c>
      <c r="BS85" s="22">
        <f t="shared" si="63"/>
        <v>3.2933644488173814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>
        <f>VLOOKUP(A85,'Données projet'!$A$113:$I$133,2,0)</f>
        <v>567</v>
      </c>
      <c r="BW85" s="12">
        <f>VLOOKUP(A85,'Données projet'!$A$113:$I$133,9,0)</f>
        <v>8.875</v>
      </c>
      <c r="BX85" s="12">
        <f t="array" ref="BX85">INDEX(BW:BW,MIN(IF(ISNUMBER(BW85:BW281),ROW(BW85:BW281),"")))</f>
        <v>8.875</v>
      </c>
      <c r="BY85" s="12">
        <f>IF('Données projet'!$A$114&gt;35,BY84+BX85-CG84,IF(A85&lt;'Données projet'!$A$114,$BV$205^A85,IF(A85='Données projet'!$A$114,'Données projet'!$B$114,BY84+BX85-CG84)))</f>
        <v>567</v>
      </c>
      <c r="BZ85" s="13">
        <f>BY85*VLOOKUP('Données projet'!$B$12,Paramètres!$A$1:$I$89,3,0)*VLOOKUP('Données projet'!$B$12,Paramètres!$A$1:$I$89,5,0)</f>
        <v>339.06600000000003</v>
      </c>
      <c r="CA85" s="13">
        <f t="shared" si="93"/>
        <v>79.30694522486489</v>
      </c>
      <c r="CB85" s="20">
        <f t="shared" si="64"/>
        <v>728.66621293330627</v>
      </c>
      <c r="CC85" s="59">
        <f t="shared" si="65"/>
        <v>1021.9995462666395</v>
      </c>
      <c r="CD85" s="59">
        <f ca="1">AVERAGE(OFFSET($CC$3,0,0,'Données projet'!$E$12+1,1))-AVERAGE(OFFSET($H$3,0,0,'Données projet'!$E$12+1,1))</f>
        <v>289.07218105343333</v>
      </c>
      <c r="CE85" s="59">
        <f t="shared" si="94"/>
        <v>217.57508587672368</v>
      </c>
      <c r="CF85" s="15">
        <f>IF(ISNA(VLOOKUP(A85,'Données projet'!$A$113:$I$133,3,0)),0,VLOOKUP(A85,'Données projet'!$A$113:$I$133,3,0))</f>
        <v>11</v>
      </c>
      <c r="CG85" s="15">
        <f>IF(ISNA(VLOOKUP(A85,'Données projet'!$A$113:$I$133,4,0)),0,VLOOKUP(A85,'Données projet'!$A$113:$I$133,4,0))</f>
        <v>567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0.43338752519996687</v>
      </c>
      <c r="CL85" s="21">
        <f>EXP(-LN(2)/25)*CL84+(1-EXP(-LN(2)/25))/(LN(2)/25)*Calculateur!CG85*Calculateur!CI85*VLOOKUP('Données projet'!$B$12,Paramètres!$A$1:$I$89,3,0)*0.475*44/12</f>
        <v>1.5545490421437893</v>
      </c>
      <c r="CM85" s="21">
        <f>EXP(-LN(2)/2)*CM84+(1-EXP(-LN(2)/2))/(LN(2)/2)*CG85*CJ85*VLOOKUP('Données projet'!$B$12,Paramètres!$A$1:$I$89,3,0)*0.475*44/12</f>
        <v>1.1503265845030092E-7</v>
      </c>
      <c r="CN85" s="22">
        <f t="shared" si="66"/>
        <v>1.9879366823764146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</v>
      </c>
      <c r="N86" s="13">
        <f>IF('Données projet'!$A$36&gt;35,N85+M86-V85,IF(A86&lt;'Données projet'!$A$36,$K$205^A86,IF(A86='Données projet'!$A$36,'Données projet'!$B$36,N85+M86-V85)))</f>
        <v>257.39999999999992</v>
      </c>
      <c r="O86" s="13">
        <f>N86*VLOOKUP('Données projet'!$B$9,Paramètres!$A$1:$I$89,3,0)*VLOOKUP('Données projet'!$B$9,Paramètres!$A$1:$I$89,5,0)</f>
        <v>261.00359999999995</v>
      </c>
      <c r="P86" s="13">
        <f t="shared" si="87"/>
        <v>62.936256929541173</v>
      </c>
      <c r="Q86" s="20">
        <f t="shared" si="54"/>
        <v>564.19525081895074</v>
      </c>
      <c r="R86" s="59">
        <f t="shared" si="55"/>
        <v>857.52858415228411</v>
      </c>
      <c r="S86" s="59">
        <f ca="1">AVERAGE(OFFSET($R$3,0,0,'Données projet'!$E$9+1,1))-AVERAGE(OFFSET($H$3,0,0,'Données projet'!$E$9+1,1))</f>
        <v>272.93635583300755</v>
      </c>
      <c r="T86" s="59">
        <f t="shared" si="88"/>
        <v>179.56041631665812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1.3075629528357646</v>
      </c>
      <c r="AA86" s="21">
        <f>EXP(-LN(2)/25)*AA85+(1-EXP(-LN(2)/25))/(LN(2)/25)*Calculateur!V86*Calculateur!X86*VLOOKUP('Données projet'!$B$9,Paramètres!$A$1:$I$89,3,0)*0.475*44/12</f>
        <v>1.0816009119333287</v>
      </c>
      <c r="AB86" s="21">
        <f>EXP(-LN(2)/2)*AB85+(1-EXP(-LN(2)/2))/(LN(2)/2)*V86*Y86*VLOOKUP('Données projet'!$B$9,Paramètres!$A$1:$I$89,3,0)*0.475*44/12</f>
        <v>7.2063274792790032E-8</v>
      </c>
      <c r="AC86" s="22">
        <f t="shared" si="57"/>
        <v>2.3891639368323685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232.89551999999992</v>
      </c>
      <c r="AK86" s="13">
        <f t="shared" si="89"/>
        <v>56.908304063818662</v>
      </c>
      <c r="AL86" s="20">
        <f t="shared" si="58"/>
        <v>504.74166024448397</v>
      </c>
      <c r="AM86" s="59">
        <f t="shared" si="59"/>
        <v>798.07499357781728</v>
      </c>
      <c r="AN86" s="59">
        <f ca="1">AVERAGE(OFFSET($AM$3,0,0,'Données projet'!$E$10+1,1))-AVERAGE(OFFSET($H$3,0,0,'Données projet'!$E$10+1,1))</f>
        <v>237.64646718446005</v>
      </c>
      <c r="AO86" s="59">
        <f t="shared" si="90"/>
        <v>156.67965022779907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1.1667484809919131</v>
      </c>
      <c r="AV86" s="21">
        <f>EXP(-LN(2)/25)*AV85+(1-EXP(-LN(2)/25))/(LN(2)/25)*Calculateur!AQ86*Calculateur!AS86*VLOOKUP('Données projet'!$B$10,Paramètres!$A$1:$I$89,3,0)*0.475*44/12</f>
        <v>0.96512081372512393</v>
      </c>
      <c r="AW86" s="21">
        <f>EXP(-LN(2)/2)*AW85+(1-EXP(-LN(2)/2))/(LN(2)/2)*AQ86*AT86*VLOOKUP('Données projet'!$B$10,Paramètres!$A$1:$I$89,3,0)*0.475*44/12</f>
        <v>6.4302614430489546E-8</v>
      </c>
      <c r="AX86" s="21">
        <f t="shared" si="60"/>
        <v>2.1318693590196514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-1.7053025658242404E-13</v>
      </c>
      <c r="BE86" s="13">
        <f>BD86*VLOOKUP('Données projet'!$B$11,Paramètres!$A$1:$I$89,3,0)*VLOOKUP('Données projet'!$B$11,Paramètres!$A$1:$I$89,5,0)</f>
        <v>-1.1173142411280423E-13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172.9177436650786</v>
      </c>
      <c r="BJ86" s="59">
        <f t="shared" si="92"/>
        <v>173.73622806725865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0.58178429153686118</v>
      </c>
      <c r="BQ86" s="21">
        <f>EXP(-LN(2)/25)*BQ85+(1-EXP(-LN(2)/25))/(LN(2)/25)*Calculateur!BL86*Calculateur!BN86*VLOOKUP('Données projet'!$B$11,Paramètres!$A$1:$I$89,3,0)*0.475*44/12</f>
        <v>2.6261133151506257</v>
      </c>
      <c r="BR86" s="21">
        <f>EXP(-LN(2)/2)*BR85+(1-EXP(-LN(2)/2))/(LN(2)/2)*BL86*BO86*VLOOKUP('Données projet'!$B$11,Paramètres!$A$1:$I$89,3,0)*0.475*44/12</f>
        <v>8.8700784156074336E-8</v>
      </c>
      <c r="BS86" s="22">
        <f t="shared" si="63"/>
        <v>3.207897695388271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289.07218105343333</v>
      </c>
      <c r="CE86" s="59">
        <f t="shared" si="94"/>
        <v>217.57508587672368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0.42488906017108447</v>
      </c>
      <c r="CL86" s="21">
        <f>EXP(-LN(2)/25)*CL85+(1-EXP(-LN(2)/25))/(LN(2)/25)*Calculateur!CG86*Calculateur!CI86*VLOOKUP('Données projet'!$B$12,Paramètres!$A$1:$I$89,3,0)*0.475*44/12</f>
        <v>1.5120398168361862</v>
      </c>
      <c r="CM86" s="21">
        <f>EXP(-LN(2)/2)*CM85+(1-EXP(-LN(2)/2))/(LN(2)/2)*CG86*CJ86*VLOOKUP('Données projet'!$B$12,Paramètres!$A$1:$I$89,3,0)*0.475*44/12</f>
        <v>8.1340372848123792E-8</v>
      </c>
      <c r="CN86" s="22">
        <f t="shared" si="66"/>
        <v>1.9369289583476434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5.8</v>
      </c>
      <c r="N87" s="13">
        <f>IF('Données projet'!$A$36&gt;35,N86+M87-V86,IF(A87&lt;'Données projet'!$A$36,$K$205^A87,IF(A87='Données projet'!$A$36,'Données projet'!$B$36,N86+M87-V86)))</f>
        <v>263.19999999999993</v>
      </c>
      <c r="O87" s="13">
        <f>N87*VLOOKUP('Données projet'!$B$9,Paramètres!$A$1:$I$89,3,0)*VLOOKUP('Données projet'!$B$9,Paramètres!$A$1:$I$89,5,0)</f>
        <v>266.88479999999993</v>
      </c>
      <c r="P87" s="13">
        <f t="shared" si="87"/>
        <v>64.18769936370569</v>
      </c>
      <c r="Q87" s="20">
        <f t="shared" si="54"/>
        <v>576.61793639178723</v>
      </c>
      <c r="R87" s="59">
        <f t="shared" si="55"/>
        <v>869.95126972512048</v>
      </c>
      <c r="S87" s="59">
        <f ca="1">AVERAGE(OFFSET($R$3,0,0,'Données projet'!$E$9+1,1))-AVERAGE(OFFSET($H$3,0,0,'Données projet'!$E$9+1,1))</f>
        <v>272.93635583300755</v>
      </c>
      <c r="T87" s="59">
        <f t="shared" si="88"/>
        <v>179.56041631665812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1.2819224408653065</v>
      </c>
      <c r="AA87" s="21">
        <f>EXP(-LN(2)/25)*AA86+(1-EXP(-LN(2)/25))/(LN(2)/25)*Calculateur!V87*Calculateur!X87*VLOOKUP('Données projet'!$B$9,Paramètres!$A$1:$I$89,3,0)*0.475*44/12</f>
        <v>1.052024478117592</v>
      </c>
      <c r="AB87" s="21">
        <f>EXP(-LN(2)/2)*AB86+(1-EXP(-LN(2)/2))/(LN(2)/2)*V87*Y87*VLOOKUP('Données projet'!$B$9,Paramètres!$A$1:$I$89,3,0)*0.475*44/12</f>
        <v>5.0956430280491428E-8</v>
      </c>
      <c r="AC87" s="22">
        <f t="shared" si="57"/>
        <v>2.3339469699393289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238.14335999999992</v>
      </c>
      <c r="AK87" s="13">
        <f t="shared" si="89"/>
        <v>58.039884968630489</v>
      </c>
      <c r="AL87" s="20">
        <f t="shared" si="58"/>
        <v>515.85248498703129</v>
      </c>
      <c r="AM87" s="59">
        <f t="shared" si="59"/>
        <v>809.18581832036466</v>
      </c>
      <c r="AN87" s="59">
        <f ca="1">AVERAGE(OFFSET($AM$3,0,0,'Données projet'!$E$10+1,1))-AVERAGE(OFFSET($H$3,0,0,'Données projet'!$E$10+1,1))</f>
        <v>237.64646718446005</v>
      </c>
      <c r="AO87" s="59">
        <f t="shared" si="90"/>
        <v>156.67965022779907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1.1438692549259659</v>
      </c>
      <c r="AV87" s="21">
        <f>EXP(-LN(2)/25)*AV86+(1-EXP(-LN(2)/25))/(LN(2)/25)*Calculateur!AQ87*Calculateur!AS87*VLOOKUP('Données projet'!$B$10,Paramètres!$A$1:$I$89,3,0)*0.475*44/12</f>
        <v>0.93872953432031259</v>
      </c>
      <c r="AW87" s="21">
        <f>EXP(-LN(2)/2)*AW86+(1-EXP(-LN(2)/2))/(LN(2)/2)*AQ87*AT87*VLOOKUP('Données projet'!$B$10,Paramètres!$A$1:$I$89,3,0)*0.475*44/12</f>
        <v>4.5468814711823105E-8</v>
      </c>
      <c r="AX87" s="21">
        <f t="shared" si="60"/>
        <v>2.082598834715093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-1.7053025658242404E-13</v>
      </c>
      <c r="BE87" s="13">
        <f>BD87*VLOOKUP('Données projet'!$B$11,Paramètres!$A$1:$I$89,3,0)*VLOOKUP('Données projet'!$B$11,Paramètres!$A$1:$I$89,5,0)</f>
        <v>-1.1173142411280423E-13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172.9177436650786</v>
      </c>
      <c r="BJ87" s="59">
        <f t="shared" si="92"/>
        <v>173.73622806725865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0.57037585643320232</v>
      </c>
      <c r="BQ87" s="21">
        <f>EXP(-LN(2)/25)*BQ86+(1-EXP(-LN(2)/25))/(LN(2)/25)*Calculateur!BL87*Calculateur!BN87*VLOOKUP('Données projet'!$B$11,Paramètres!$A$1:$I$89,3,0)*0.475*44/12</f>
        <v>2.5543021084465347</v>
      </c>
      <c r="BR87" s="21">
        <f>EXP(-LN(2)/2)*BR86+(1-EXP(-LN(2)/2))/(LN(2)/2)*BL87*BO87*VLOOKUP('Données projet'!$B$11,Paramètres!$A$1:$I$89,3,0)*0.475*44/12</f>
        <v>6.2720925973324437E-8</v>
      </c>
      <c r="BS87" s="22">
        <f t="shared" si="63"/>
        <v>3.1246780276006629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289.07218105343333</v>
      </c>
      <c r="CE87" s="59">
        <f t="shared" si="94"/>
        <v>217.57508587672368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0.4165572448578666</v>
      </c>
      <c r="CL87" s="21">
        <f>EXP(-LN(2)/25)*CL86+(1-EXP(-LN(2)/25))/(LN(2)/25)*Calculateur!CG87*Calculateur!CI87*VLOOKUP('Données projet'!$B$12,Paramètres!$A$1:$I$89,3,0)*0.475*44/12</f>
        <v>1.4706930085300824</v>
      </c>
      <c r="CM87" s="21">
        <f>EXP(-LN(2)/2)*CM86+(1-EXP(-LN(2)/2))/(LN(2)/2)*CG87*CJ87*VLOOKUP('Données projet'!$B$12,Paramètres!$A$1:$I$89,3,0)*0.475*44/12</f>
        <v>5.7516329225150462E-8</v>
      </c>
      <c r="CN87" s="22">
        <f t="shared" si="66"/>
        <v>1.8872503109042784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5.8</v>
      </c>
      <c r="M88" s="12">
        <f t="array" ref="M88">INDEX(L:L,MIN(IF(ISNUMBER(L88:L284),ROW(L88:L284),"")))</f>
        <v>5.8</v>
      </c>
      <c r="N88" s="13">
        <f>IF('Données projet'!$A$36&gt;35,N87+M88-V87,IF(A88&lt;'Données projet'!$A$36,$K$205^A88,IF(A88='Données projet'!$A$36,'Données projet'!$B$36,N87+M88-V87)))</f>
        <v>268.99999999999994</v>
      </c>
      <c r="O88" s="13">
        <f>N88*VLOOKUP('Données projet'!$B$9,Paramètres!$A$1:$I$89,3,0)*VLOOKUP('Données projet'!$B$9,Paramètres!$A$1:$I$89,5,0)</f>
        <v>272.76599999999996</v>
      </c>
      <c r="P88" s="13">
        <f t="shared" si="87"/>
        <v>65.43593563008757</v>
      </c>
      <c r="Q88" s="20">
        <f t="shared" si="54"/>
        <v>589.03503788906914</v>
      </c>
      <c r="R88" s="59">
        <f t="shared" si="55"/>
        <v>882.3683712224024</v>
      </c>
      <c r="S88" s="59">
        <f ca="1">AVERAGE(OFFSET($R$3,0,0,'Données projet'!$E$9+1,1))-AVERAGE(OFFSET($H$3,0,0,'Données projet'!$E$9+1,1))</f>
        <v>272.93635583300755</v>
      </c>
      <c r="T88" s="59">
        <f t="shared" si="88"/>
        <v>179.56041631665812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21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1.256784723695421</v>
      </c>
      <c r="AA88" s="21">
        <f>EXP(-LN(2)/25)*AA87+(1-EXP(-LN(2)/25))/(LN(2)/25)*Calculateur!V88*Calculateur!X88*VLOOKUP('Données projet'!$B$9,Paramètres!$A$1:$I$89,3,0)*0.475*44/12</f>
        <v>1.0232568134399036</v>
      </c>
      <c r="AB88" s="21">
        <f>EXP(-LN(2)/2)*AB87+(1-EXP(-LN(2)/2))/(LN(2)/2)*V88*Y88*VLOOKUP('Données projet'!$B$9,Paramètres!$A$1:$I$89,3,0)*0.475*44/12</f>
        <v>3.6031637396395016E-8</v>
      </c>
      <c r="AC88" s="22">
        <f t="shared" si="57"/>
        <v>2.2800415731669617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243.39119999999994</v>
      </c>
      <c r="AK88" s="13">
        <f t="shared" si="89"/>
        <v>59.168566788241527</v>
      </c>
      <c r="AL88" s="20">
        <f t="shared" si="58"/>
        <v>526.95826048952051</v>
      </c>
      <c r="AM88" s="59">
        <f t="shared" si="59"/>
        <v>820.29159382285388</v>
      </c>
      <c r="AN88" s="59">
        <f ca="1">AVERAGE(OFFSET($AM$3,0,0,'Données projet'!$E$10+1,1))-AVERAGE(OFFSET($H$3,0,0,'Données projet'!$E$10+1,1))</f>
        <v>237.64646718446005</v>
      </c>
      <c r="AO88" s="59">
        <f t="shared" si="90"/>
        <v>156.67965022779907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1.1214386765282218</v>
      </c>
      <c r="AV88" s="21">
        <f>EXP(-LN(2)/25)*AV87+(1-EXP(-LN(2)/25))/(LN(2)/25)*Calculateur!AQ88*Calculateur!AS88*VLOOKUP('Données projet'!$B$10,Paramètres!$A$1:$I$89,3,0)*0.475*44/12</f>
        <v>0.9130599258386829</v>
      </c>
      <c r="AW88" s="21">
        <f>EXP(-LN(2)/2)*AW87+(1-EXP(-LN(2)/2))/(LN(2)/2)*AQ88*AT88*VLOOKUP('Données projet'!$B$10,Paramètres!$A$1:$I$89,3,0)*0.475*44/12</f>
        <v>3.2151307215244773E-8</v>
      </c>
      <c r="AX88" s="21">
        <f t="shared" si="60"/>
        <v>2.0344986345182123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-1.7053025658242404E-13</v>
      </c>
      <c r="BE88" s="13">
        <f>BD88*VLOOKUP('Données projet'!$B$11,Paramètres!$A$1:$I$89,3,0)*VLOOKUP('Données projet'!$B$11,Paramètres!$A$1:$I$89,5,0)</f>
        <v>-1.1173142411280423E-13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172.9177436650786</v>
      </c>
      <c r="BJ88" s="59">
        <f t="shared" si="92"/>
        <v>173.73622806725865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0.55919113378346785</v>
      </c>
      <c r="BQ88" s="21">
        <f>EXP(-LN(2)/25)*BQ87+(1-EXP(-LN(2)/25))/(LN(2)/25)*Calculateur!BL88*Calculateur!BN88*VLOOKUP('Données projet'!$B$11,Paramètres!$A$1:$I$89,3,0)*0.475*44/12</f>
        <v>2.4844545829661544</v>
      </c>
      <c r="BR88" s="21">
        <f>EXP(-LN(2)/2)*BR87+(1-EXP(-LN(2)/2))/(LN(2)/2)*BL88*BO88*VLOOKUP('Données projet'!$B$11,Paramètres!$A$1:$I$89,3,0)*0.475*44/12</f>
        <v>4.4350392078037168E-8</v>
      </c>
      <c r="BS88" s="22">
        <f t="shared" si="63"/>
        <v>3.0436457611000143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289.07218105343333</v>
      </c>
      <c r="CE88" s="59">
        <f t="shared" si="94"/>
        <v>217.57508587672368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0.40838881136103539</v>
      </c>
      <c r="CL88" s="21">
        <f>EXP(-LN(2)/25)*CL87+(1-EXP(-LN(2)/25))/(LN(2)/25)*Calculateur!CG88*Calculateur!CI88*VLOOKUP('Données projet'!$B$12,Paramètres!$A$1:$I$89,3,0)*0.475*44/12</f>
        <v>1.4304768308714433</v>
      </c>
      <c r="CM88" s="21">
        <f>EXP(-LN(2)/2)*CM87+(1-EXP(-LN(2)/2))/(LN(2)/2)*CG88*CJ88*VLOOKUP('Données projet'!$B$12,Paramètres!$A$1:$I$89,3,0)*0.475*44/12</f>
        <v>4.0670186424061896E-8</v>
      </c>
      <c r="CN88" s="22">
        <f t="shared" si="66"/>
        <v>1.8388656829026651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253.39999999999992</v>
      </c>
      <c r="O89" s="13">
        <f>N89*VLOOKUP('Données projet'!$B$9,Paramètres!$A$1:$I$89,3,0)*VLOOKUP('Données projet'!$B$9,Paramètres!$A$1:$I$89,5,0)</f>
        <v>256.94759999999991</v>
      </c>
      <c r="P89" s="13">
        <f t="shared" si="87"/>
        <v>62.071283104858246</v>
      </c>
      <c r="Q89" s="20">
        <f t="shared" si="54"/>
        <v>555.62455474096134</v>
      </c>
      <c r="R89" s="59">
        <f t="shared" si="55"/>
        <v>848.95788807429471</v>
      </c>
      <c r="S89" s="59">
        <f ca="1">AVERAGE(OFFSET($R$3,0,0,'Données projet'!$E$9+1,1))-AVERAGE(OFFSET($H$3,0,0,'Données projet'!$E$9+1,1))</f>
        <v>272.93635583300755</v>
      </c>
      <c r="T89" s="59">
        <f t="shared" si="88"/>
        <v>179.56041631665812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1.2321399418267436</v>
      </c>
      <c r="AA89" s="21">
        <f>EXP(-LN(2)/25)*AA88+(1-EXP(-LN(2)/25))/(LN(2)/25)*Calculateur!V89*Calculateur!X89*VLOOKUP('Données projet'!$B$9,Paramètres!$A$1:$I$89,3,0)*0.475*44/12</f>
        <v>0.99527580206565225</v>
      </c>
      <c r="AB89" s="21">
        <f>EXP(-LN(2)/2)*AB88+(1-EXP(-LN(2)/2))/(LN(2)/2)*V89*Y89*VLOOKUP('Données projet'!$B$9,Paramètres!$A$1:$I$89,3,0)*0.475*44/12</f>
        <v>2.5478215140245714E-8</v>
      </c>
      <c r="AC89" s="22">
        <f t="shared" si="57"/>
        <v>2.2274157693706109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229.27631999999994</v>
      </c>
      <c r="AK89" s="13">
        <f t="shared" si="89"/>
        <v>56.126176307517476</v>
      </c>
      <c r="AL89" s="20">
        <f t="shared" si="58"/>
        <v>497.07601440225949</v>
      </c>
      <c r="AM89" s="59">
        <f t="shared" si="59"/>
        <v>790.40934773559275</v>
      </c>
      <c r="AN89" s="59">
        <f ca="1">AVERAGE(OFFSET($AM$3,0,0,'Données projet'!$E$10+1,1))-AVERAGE(OFFSET($H$3,0,0,'Données projet'!$E$10+1,1))</f>
        <v>237.64646718446005</v>
      </c>
      <c r="AO89" s="59">
        <f t="shared" si="90"/>
        <v>156.67965022779907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1.0994479480915558</v>
      </c>
      <c r="AV89" s="21">
        <f>EXP(-LN(2)/25)*AV88+(1-EXP(-LN(2)/25))/(LN(2)/25)*Calculateur!AQ89*Calculateur!AS89*VLOOKUP('Données projet'!$B$10,Paramètres!$A$1:$I$89,3,0)*0.475*44/12</f>
        <v>0.88809225415088944</v>
      </c>
      <c r="AW89" s="21">
        <f>EXP(-LN(2)/2)*AW88+(1-EXP(-LN(2)/2))/(LN(2)/2)*AQ89*AT89*VLOOKUP('Données projet'!$B$10,Paramètres!$A$1:$I$89,3,0)*0.475*44/12</f>
        <v>2.2734407355911552E-8</v>
      </c>
      <c r="AX89" s="21">
        <f t="shared" si="60"/>
        <v>1.9875402249768523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-1.7053025658242404E-13</v>
      </c>
      <c r="BE89" s="13">
        <f>BD89*VLOOKUP('Données projet'!$B$11,Paramètres!$A$1:$I$89,3,0)*VLOOKUP('Données projet'!$B$11,Paramètres!$A$1:$I$89,5,0)</f>
        <v>-1.1173142411280423E-13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172.9177436650786</v>
      </c>
      <c r="BJ89" s="59">
        <f t="shared" si="92"/>
        <v>173.73622806725865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0.54822573672288755</v>
      </c>
      <c r="BQ89" s="21">
        <f>EXP(-LN(2)/25)*BQ88+(1-EXP(-LN(2)/25))/(LN(2)/25)*Calculateur!BL89*Calculateur!BN89*VLOOKUP('Données projet'!$B$11,Paramètres!$A$1:$I$89,3,0)*0.475*44/12</f>
        <v>2.4165170417431567</v>
      </c>
      <c r="BR89" s="21">
        <f>EXP(-LN(2)/2)*BR88+(1-EXP(-LN(2)/2))/(LN(2)/2)*BL89*BO89*VLOOKUP('Données projet'!$B$11,Paramètres!$A$1:$I$89,3,0)*0.475*44/12</f>
        <v>3.1360462986662218E-8</v>
      </c>
      <c r="BS89" s="22">
        <f t="shared" si="63"/>
        <v>2.9647428098265074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289.07218105343333</v>
      </c>
      <c r="CE89" s="59">
        <f t="shared" si="94"/>
        <v>217.57508587672368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0.40038055586282456</v>
      </c>
      <c r="CL89" s="21">
        <f>EXP(-LN(2)/25)*CL88+(1-EXP(-LN(2)/25))/(LN(2)/25)*Calculateur!CG89*Calculateur!CI89*VLOOKUP('Données projet'!$B$12,Paramètres!$A$1:$I$89,3,0)*0.475*44/12</f>
        <v>1.3913603667057566</v>
      </c>
      <c r="CM89" s="21">
        <f>EXP(-LN(2)/2)*CM88+(1-EXP(-LN(2)/2))/(LN(2)/2)*CG89*CJ89*VLOOKUP('Données projet'!$B$12,Paramètres!$A$1:$I$89,3,0)*0.475*44/12</f>
        <v>2.8758164612575231E-8</v>
      </c>
      <c r="CN89" s="22">
        <f t="shared" si="66"/>
        <v>1.7917409513267457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258.7999999999999</v>
      </c>
      <c r="O90" s="13">
        <f>N90*VLOOKUP('Données projet'!$B$9,Paramètres!$A$1:$I$89,3,0)*VLOOKUP('Données projet'!$B$9,Paramètres!$A$1:$I$89,5,0)</f>
        <v>262.42319999999989</v>
      </c>
      <c r="P90" s="13">
        <f t="shared" si="87"/>
        <v>63.238627062047733</v>
      </c>
      <c r="Q90" s="20">
        <f t="shared" si="54"/>
        <v>567.19434879973289</v>
      </c>
      <c r="R90" s="59">
        <f t="shared" si="55"/>
        <v>860.52768213306626</v>
      </c>
      <c r="S90" s="59">
        <f ca="1">AVERAGE(OFFSET($R$3,0,0,'Données projet'!$E$9+1,1))-AVERAGE(OFFSET($H$3,0,0,'Données projet'!$E$9+1,1))</f>
        <v>272.93635583300755</v>
      </c>
      <c r="T90" s="59">
        <f t="shared" si="88"/>
        <v>179.56041631665812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1.2079784290986781</v>
      </c>
      <c r="AA90" s="21">
        <f>EXP(-LN(2)/25)*AA89+(1-EXP(-LN(2)/25))/(LN(2)/25)*Calculateur!V90*Calculateur!X90*VLOOKUP('Données projet'!$B$9,Paramètres!$A$1:$I$89,3,0)*0.475*44/12</f>
        <v>0.96805993291888726</v>
      </c>
      <c r="AB90" s="21">
        <f>EXP(-LN(2)/2)*AB89+(1-EXP(-LN(2)/2))/(LN(2)/2)*V90*Y90*VLOOKUP('Données projet'!$B$9,Paramètres!$A$1:$I$89,3,0)*0.475*44/12</f>
        <v>1.8015818698197508E-8</v>
      </c>
      <c r="AC90" s="22">
        <f t="shared" si="57"/>
        <v>2.176038380033384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234.16223999999988</v>
      </c>
      <c r="AK90" s="13">
        <f t="shared" si="89"/>
        <v>57.181713578143047</v>
      </c>
      <c r="AL90" s="20">
        <f t="shared" si="58"/>
        <v>507.42405248193222</v>
      </c>
      <c r="AM90" s="59">
        <f t="shared" si="59"/>
        <v>800.75738581526548</v>
      </c>
      <c r="AN90" s="59">
        <f ca="1">AVERAGE(OFFSET($AM$3,0,0,'Données projet'!$E$10+1,1))-AVERAGE(OFFSET($H$3,0,0,'Données projet'!$E$10+1,1))</f>
        <v>237.64646718446005</v>
      </c>
      <c r="AO90" s="59">
        <f t="shared" si="90"/>
        <v>156.67965022779907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1.0778884444265127</v>
      </c>
      <c r="AV90" s="21">
        <f>EXP(-LN(2)/25)*AV89+(1-EXP(-LN(2)/25))/(LN(2)/25)*Calculateur!AQ90*Calculateur!AS90*VLOOKUP('Données projet'!$B$10,Paramètres!$A$1:$I$89,3,0)*0.475*44/12</f>
        <v>0.8638073247583915</v>
      </c>
      <c r="AW90" s="21">
        <f>EXP(-LN(2)/2)*AW89+(1-EXP(-LN(2)/2))/(LN(2)/2)*AQ90*AT90*VLOOKUP('Données projet'!$B$10,Paramètres!$A$1:$I$89,3,0)*0.475*44/12</f>
        <v>1.6075653607622387E-8</v>
      </c>
      <c r="AX90" s="21">
        <f t="shared" si="60"/>
        <v>1.9416957852605579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-1.7053025658242404E-13</v>
      </c>
      <c r="BE90" s="13">
        <f>BD90*VLOOKUP('Données projet'!$B$11,Paramètres!$A$1:$I$89,3,0)*VLOOKUP('Données projet'!$B$11,Paramètres!$A$1:$I$89,5,0)</f>
        <v>-1.1173142411280423E-13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172.9177436650786</v>
      </c>
      <c r="BJ90" s="59">
        <f t="shared" si="92"/>
        <v>173.73622806725865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0.53747536441043342</v>
      </c>
      <c r="BQ90" s="21">
        <f>EXP(-LN(2)/25)*BQ89+(1-EXP(-LN(2)/25))/(LN(2)/25)*Calculateur!BL90*Calculateur!BN90*VLOOKUP('Données projet'!$B$11,Paramètres!$A$1:$I$89,3,0)*0.475*44/12</f>
        <v>2.3504372561575817</v>
      </c>
      <c r="BR90" s="21">
        <f>EXP(-LN(2)/2)*BR89+(1-EXP(-LN(2)/2))/(LN(2)/2)*BL90*BO90*VLOOKUP('Données projet'!$B$11,Paramètres!$A$1:$I$89,3,0)*0.475*44/12</f>
        <v>2.2175196039018584E-8</v>
      </c>
      <c r="BS90" s="22">
        <f t="shared" si="63"/>
        <v>2.8879126427432111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289.07218105343333</v>
      </c>
      <c r="CE90" s="59">
        <f t="shared" si="94"/>
        <v>217.57508587672368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0.39252933737038009</v>
      </c>
      <c r="CL90" s="21">
        <f>EXP(-LN(2)/25)*CL89+(1-EXP(-LN(2)/25))/(LN(2)/25)*Calculateur!CG90*Calculateur!CI90*VLOOKUP('Données projet'!$B$12,Paramètres!$A$1:$I$89,3,0)*0.475*44/12</f>
        <v>1.3533135443097259</v>
      </c>
      <c r="CM90" s="21">
        <f>EXP(-LN(2)/2)*CM89+(1-EXP(-LN(2)/2))/(LN(2)/2)*CG90*CJ90*VLOOKUP('Données projet'!$B$12,Paramètres!$A$1:$I$89,3,0)*0.475*44/12</f>
        <v>2.0335093212030948E-8</v>
      </c>
      <c r="CN90" s="22">
        <f t="shared" si="66"/>
        <v>1.7458429020151991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264.19999999999987</v>
      </c>
      <c r="O91" s="13">
        <f>N91*VLOOKUP('Données projet'!$B$9,Paramètres!$A$1:$I$89,3,0)*VLOOKUP('Données projet'!$B$9,Paramètres!$A$1:$I$89,5,0)</f>
        <v>267.89879999999988</v>
      </c>
      <c r="P91" s="13">
        <f t="shared" si="87"/>
        <v>64.403139057834508</v>
      </c>
      <c r="Q91" s="20">
        <f t="shared" si="54"/>
        <v>578.75921052572812</v>
      </c>
      <c r="R91" s="59">
        <f t="shared" si="55"/>
        <v>872.09254385906138</v>
      </c>
      <c r="S91" s="59">
        <f ca="1">AVERAGE(OFFSET($R$3,0,0,'Données projet'!$E$9+1,1))-AVERAGE(OFFSET($H$3,0,0,'Données projet'!$E$9+1,1))</f>
        <v>272.93635583300755</v>
      </c>
      <c r="T91" s="59">
        <f t="shared" si="88"/>
        <v>179.56041631665812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1.1842907088981425</v>
      </c>
      <c r="AA91" s="21">
        <f>EXP(-LN(2)/25)*AA90+(1-EXP(-LN(2)/25))/(LN(2)/25)*Calculateur!V91*Calculateur!X91*VLOOKUP('Données projet'!$B$9,Paramètres!$A$1:$I$89,3,0)*0.475*44/12</f>
        <v>0.94158828314516096</v>
      </c>
      <c r="AB91" s="21">
        <f>EXP(-LN(2)/2)*AB90+(1-EXP(-LN(2)/2))/(LN(2)/2)*V91*Y91*VLOOKUP('Données projet'!$B$9,Paramètres!$A$1:$I$89,3,0)*0.475*44/12</f>
        <v>1.2739107570122857E-8</v>
      </c>
      <c r="AC91" s="22">
        <f t="shared" si="57"/>
        <v>2.1258790047824112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239.04815999999985</v>
      </c>
      <c r="AK91" s="13">
        <f t="shared" si="89"/>
        <v>58.234690128947292</v>
      </c>
      <c r="AL91" s="20">
        <f t="shared" si="58"/>
        <v>517.76763064124964</v>
      </c>
      <c r="AM91" s="59">
        <f t="shared" si="59"/>
        <v>811.10096397458301</v>
      </c>
      <c r="AN91" s="59">
        <f ca="1">AVERAGE(OFFSET($AM$3,0,0,'Données projet'!$E$10+1,1))-AVERAGE(OFFSET($H$3,0,0,'Données projet'!$E$10+1,1))</f>
        <v>237.64646718446005</v>
      </c>
      <c r="AO91" s="59">
        <f t="shared" si="90"/>
        <v>156.67965022779907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1.0567517094783423</v>
      </c>
      <c r="AV91" s="21">
        <f>EXP(-LN(2)/25)*AV90+(1-EXP(-LN(2)/25))/(LN(2)/25)*Calculateur!AQ91*Calculateur!AS91*VLOOKUP('Données projet'!$B$10,Paramètres!$A$1:$I$89,3,0)*0.475*44/12</f>
        <v>0.8401864680372203</v>
      </c>
      <c r="AW91" s="21">
        <f>EXP(-LN(2)/2)*AW90+(1-EXP(-LN(2)/2))/(LN(2)/2)*AQ91*AT91*VLOOKUP('Données projet'!$B$10,Paramètres!$A$1:$I$89,3,0)*0.475*44/12</f>
        <v>1.1367203677955776E-8</v>
      </c>
      <c r="AX91" s="21">
        <f t="shared" si="60"/>
        <v>1.8969381888827663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-1.7053025658242404E-13</v>
      </c>
      <c r="BE91" s="13">
        <f>BD91*VLOOKUP('Données projet'!$B$11,Paramètres!$A$1:$I$89,3,0)*VLOOKUP('Données projet'!$B$11,Paramètres!$A$1:$I$89,5,0)</f>
        <v>-1.1173142411280423E-13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172.9177436650786</v>
      </c>
      <c r="BJ91" s="59">
        <f t="shared" si="92"/>
        <v>173.73622806725865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0.52693580034194687</v>
      </c>
      <c r="BQ91" s="21">
        <f>EXP(-LN(2)/25)*BQ90+(1-EXP(-LN(2)/25))/(LN(2)/25)*Calculateur!BL91*Calculateur!BN91*VLOOKUP('Données projet'!$B$11,Paramètres!$A$1:$I$89,3,0)*0.475*44/12</f>
        <v>2.2861644257838294</v>
      </c>
      <c r="BR91" s="21">
        <f>EXP(-LN(2)/2)*BR90+(1-EXP(-LN(2)/2))/(LN(2)/2)*BL91*BO91*VLOOKUP('Données projet'!$B$11,Paramètres!$A$1:$I$89,3,0)*0.475*44/12</f>
        <v>1.5680231493331109E-8</v>
      </c>
      <c r="BS91" s="22">
        <f t="shared" si="63"/>
        <v>2.8131002418060076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289.07218105343333</v>
      </c>
      <c r="CE91" s="59">
        <f t="shared" si="94"/>
        <v>217.57508587672368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0.38483207648380202</v>
      </c>
      <c r="CL91" s="21">
        <f>EXP(-LN(2)/25)*CL90+(1-EXP(-LN(2)/25))/(LN(2)/25)*Calculateur!CG91*Calculateur!CI91*VLOOKUP('Données projet'!$B$12,Paramètres!$A$1:$I$89,3,0)*0.475*44/12</f>
        <v>1.3163071142729101</v>
      </c>
      <c r="CM91" s="21">
        <f>EXP(-LN(2)/2)*CM90+(1-EXP(-LN(2)/2))/(LN(2)/2)*CG91*CJ91*VLOOKUP('Données projet'!$B$12,Paramètres!$A$1:$I$89,3,0)*0.475*44/12</f>
        <v>1.4379082306287616E-8</v>
      </c>
      <c r="CN91" s="22">
        <f t="shared" si="66"/>
        <v>1.7011392051357945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269.59999999999985</v>
      </c>
      <c r="O92" s="13">
        <f>N92*VLOOKUP('Données projet'!$B$9,Paramètres!$A$1:$I$89,3,0)*VLOOKUP('Données projet'!$B$9,Paramètres!$A$1:$I$89,5,0)</f>
        <v>273.37439999999987</v>
      </c>
      <c r="P92" s="13">
        <f t="shared" si="87"/>
        <v>65.564883644654373</v>
      </c>
      <c r="Q92" s="20">
        <f t="shared" si="54"/>
        <v>590.3192523477727</v>
      </c>
      <c r="R92" s="59">
        <f t="shared" si="55"/>
        <v>883.65258568110607</v>
      </c>
      <c r="S92" s="59">
        <f ca="1">AVERAGE(OFFSET($R$3,0,0,'Données projet'!$E$9+1,1))-AVERAGE(OFFSET($H$3,0,0,'Données projet'!$E$9+1,1))</f>
        <v>272.93635583300755</v>
      </c>
      <c r="T92" s="59">
        <f t="shared" si="88"/>
        <v>179.56041631665812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1.1610674904426566</v>
      </c>
      <c r="AA92" s="21">
        <f>EXP(-LN(2)/25)*AA91+(1-EXP(-LN(2)/25))/(LN(2)/25)*Calculateur!V92*Calculateur!X92*VLOOKUP('Données projet'!$B$9,Paramètres!$A$1:$I$89,3,0)*0.475*44/12</f>
        <v>0.91584050202658074</v>
      </c>
      <c r="AB92" s="21">
        <f>EXP(-LN(2)/2)*AB91+(1-EXP(-LN(2)/2))/(LN(2)/2)*V92*Y92*VLOOKUP('Données projet'!$B$9,Paramètres!$A$1:$I$89,3,0)*0.475*44/12</f>
        <v>9.007909349098754E-9</v>
      </c>
      <c r="AC92" s="22">
        <f t="shared" si="57"/>
        <v>2.0769080014771468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243.93407999999988</v>
      </c>
      <c r="AK92" s="13">
        <f t="shared" si="89"/>
        <v>59.285164329617594</v>
      </c>
      <c r="AL92" s="20">
        <f t="shared" si="58"/>
        <v>528.10685054075043</v>
      </c>
      <c r="AM92" s="59">
        <f t="shared" si="59"/>
        <v>821.44018387408369</v>
      </c>
      <c r="AN92" s="59">
        <f ca="1">AVERAGE(OFFSET($AM$3,0,0,'Données projet'!$E$10+1,1))-AVERAGE(OFFSET($H$3,0,0,'Données projet'!$E$10+1,1))</f>
        <v>237.64646718446005</v>
      </c>
      <c r="AO92" s="59">
        <f t="shared" si="90"/>
        <v>156.67965022779907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1.0360294530103702</v>
      </c>
      <c r="AV92" s="21">
        <f>EXP(-LN(2)/25)*AV91+(1-EXP(-LN(2)/25))/(LN(2)/25)*Calculateur!AQ92*Calculateur!AS92*VLOOKUP('Données projet'!$B$10,Paramètres!$A$1:$I$89,3,0)*0.475*44/12</f>
        <v>0.81721152488525639</v>
      </c>
      <c r="AW92" s="21">
        <f>EXP(-LN(2)/2)*AW91+(1-EXP(-LN(2)/2))/(LN(2)/2)*AQ92*AT92*VLOOKUP('Données projet'!$B$10,Paramètres!$A$1:$I$89,3,0)*0.475*44/12</f>
        <v>8.0378268038111933E-9</v>
      </c>
      <c r="AX92" s="21">
        <f t="shared" si="60"/>
        <v>1.8532409859334535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-1.7053025658242404E-13</v>
      </c>
      <c r="BE92" s="13">
        <f>BD92*VLOOKUP('Données projet'!$B$11,Paramètres!$A$1:$I$89,3,0)*VLOOKUP('Données projet'!$B$11,Paramètres!$A$1:$I$89,5,0)</f>
        <v>-1.1173142411280423E-13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172.9177436650786</v>
      </c>
      <c r="BJ92" s="59">
        <f t="shared" si="92"/>
        <v>173.73622806725865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0.51660291069634401</v>
      </c>
      <c r="BQ92" s="21">
        <f>EXP(-LN(2)/25)*BQ91+(1-EXP(-LN(2)/25))/(LN(2)/25)*Calculateur!BL92*Calculateur!BN92*VLOOKUP('Données projet'!$B$11,Paramètres!$A$1:$I$89,3,0)*0.475*44/12</f>
        <v>2.2236491393366085</v>
      </c>
      <c r="BR92" s="21">
        <f>EXP(-LN(2)/2)*BR91+(1-EXP(-LN(2)/2))/(LN(2)/2)*BL92*BO92*VLOOKUP('Données projet'!$B$11,Paramètres!$A$1:$I$89,3,0)*0.475*44/12</f>
        <v>1.1087598019509292E-8</v>
      </c>
      <c r="BS92" s="22">
        <f t="shared" si="63"/>
        <v>2.7402520611205503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289.07218105343333</v>
      </c>
      <c r="CE92" s="59">
        <f t="shared" si="94"/>
        <v>217.57508587672368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0.3772857541883442</v>
      </c>
      <c r="CL92" s="21">
        <f>EXP(-LN(2)/25)*CL91+(1-EXP(-LN(2)/25))/(LN(2)/25)*Calculateur!CG92*Calculateur!CI92*VLOOKUP('Données projet'!$B$12,Paramètres!$A$1:$I$89,3,0)*0.475*44/12</f>
        <v>1.2803126270115348</v>
      </c>
      <c r="CM92" s="21">
        <f>EXP(-LN(2)/2)*CM91+(1-EXP(-LN(2)/2))/(LN(2)/2)*CG92*CJ92*VLOOKUP('Données projet'!$B$12,Paramètres!$A$1:$I$89,3,0)*0.475*44/12</f>
        <v>1.0167546606015474E-8</v>
      </c>
      <c r="CN92" s="22">
        <f t="shared" si="66"/>
        <v>1.6575983913674255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275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274.99999999999983</v>
      </c>
      <c r="O93" s="13">
        <f>N93*VLOOKUP('Données projet'!$B$9,Paramètres!$A$1:$I$89,3,0)*VLOOKUP('Données projet'!$B$9,Paramètres!$A$1:$I$89,5,0)</f>
        <v>278.84999999999985</v>
      </c>
      <c r="P93" s="13">
        <f t="shared" si="87"/>
        <v>66.723922641152967</v>
      </c>
      <c r="Q93" s="20">
        <f t="shared" si="54"/>
        <v>601.87458193334112</v>
      </c>
      <c r="R93" s="59">
        <f t="shared" si="55"/>
        <v>895.20791526667449</v>
      </c>
      <c r="S93" s="59">
        <f ca="1">AVERAGE(OFFSET($R$3,0,0,'Données projet'!$E$9+1,1))-AVERAGE(OFFSET($H$3,0,0,'Données projet'!$E$9+1,1))</f>
        <v>272.93635583300755</v>
      </c>
      <c r="T93" s="59">
        <f t="shared" si="88"/>
        <v>179.56041631665812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21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1.1382996651363182</v>
      </c>
      <c r="AA93" s="21">
        <f>EXP(-LN(2)/25)*AA92+(1-EXP(-LN(2)/25))/(LN(2)/25)*Calculateur!V93*Calculateur!X93*VLOOKUP('Données projet'!$B$9,Paramètres!$A$1:$I$89,3,0)*0.475*44/12</f>
        <v>0.89079679533670508</v>
      </c>
      <c r="AB93" s="21">
        <f>EXP(-LN(2)/2)*AB92+(1-EXP(-LN(2)/2))/(LN(2)/2)*V93*Y93*VLOOKUP('Données projet'!$B$9,Paramètres!$A$1:$I$89,3,0)*0.475*44/12</f>
        <v>6.3695537850614285E-9</v>
      </c>
      <c r="AC93" s="22">
        <f t="shared" si="57"/>
        <v>2.0290964668425771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248.81999999999982</v>
      </c>
      <c r="AK93" s="13">
        <f t="shared" si="89"/>
        <v>60.333192077890018</v>
      </c>
      <c r="AL93" s="20">
        <f t="shared" si="58"/>
        <v>538.44180953565808</v>
      </c>
      <c r="AM93" s="59">
        <f t="shared" si="59"/>
        <v>831.77514286899145</v>
      </c>
      <c r="AN93" s="59">
        <f ca="1">AVERAGE(OFFSET($AM$3,0,0,'Données projet'!$E$10+1,1))-AVERAGE(OFFSET($H$3,0,0,'Données projet'!$E$10+1,1))</f>
        <v>237.64646718446005</v>
      </c>
      <c r="AO93" s="59">
        <f t="shared" si="90"/>
        <v>156.67965022779907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1.0157135473524066</v>
      </c>
      <c r="AV93" s="21">
        <f>EXP(-LN(2)/25)*AV92+(1-EXP(-LN(2)/25))/(LN(2)/25)*Calculateur!AQ93*Calculateur!AS93*VLOOKUP('Données projet'!$B$10,Paramètres!$A$1:$I$89,3,0)*0.475*44/12</f>
        <v>0.79486483276198272</v>
      </c>
      <c r="AW93" s="21">
        <f>EXP(-LN(2)/2)*AW92+(1-EXP(-LN(2)/2))/(LN(2)/2)*AQ93*AT93*VLOOKUP('Données projet'!$B$10,Paramètres!$A$1:$I$89,3,0)*0.475*44/12</f>
        <v>5.6836018389778881E-9</v>
      </c>
      <c r="AX93" s="21">
        <f t="shared" si="60"/>
        <v>1.8105783857979911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-1.7053025658242404E-13</v>
      </c>
      <c r="BE93" s="13">
        <f>BD93*VLOOKUP('Données projet'!$B$11,Paramètres!$A$1:$I$89,3,0)*VLOOKUP('Données projet'!$B$11,Paramètres!$A$1:$I$89,5,0)</f>
        <v>-1.1173142411280423E-13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172.9177436650786</v>
      </c>
      <c r="BJ93" s="59">
        <f t="shared" si="92"/>
        <v>173.73622806725865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0.50647264271425096</v>
      </c>
      <c r="BQ93" s="21">
        <f>EXP(-LN(2)/25)*BQ92+(1-EXP(-LN(2)/25))/(LN(2)/25)*Calculateur!BL93*Calculateur!BN93*VLOOKUP('Données projet'!$B$11,Paramètres!$A$1:$I$89,3,0)*0.475*44/12</f>
        <v>2.1628433366848228</v>
      </c>
      <c r="BR93" s="21">
        <f>EXP(-LN(2)/2)*BR92+(1-EXP(-LN(2)/2))/(LN(2)/2)*BL93*BO93*VLOOKUP('Données projet'!$B$11,Paramètres!$A$1:$I$89,3,0)*0.475*44/12</f>
        <v>7.8401157466655546E-9</v>
      </c>
      <c r="BS93" s="22">
        <f t="shared" si="63"/>
        <v>2.6693159872391896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289.07218105343333</v>
      </c>
      <c r="CE93" s="59">
        <f t="shared" si="94"/>
        <v>217.57508587672368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0.36988741067029823</v>
      </c>
      <c r="CL93" s="21">
        <f>EXP(-LN(2)/25)*CL92+(1-EXP(-LN(2)/25))/(LN(2)/25)*Calculateur!CG93*Calculateur!CI93*VLOOKUP('Données projet'!$B$12,Paramètres!$A$1:$I$89,3,0)*0.475*44/12</f>
        <v>1.2453024108971895</v>
      </c>
      <c r="CM93" s="21">
        <f>EXP(-LN(2)/2)*CM92+(1-EXP(-LN(2)/2))/(LN(2)/2)*CG93*CJ93*VLOOKUP('Données projet'!$B$12,Paramètres!$A$1:$I$89,3,0)*0.475*44/12</f>
        <v>7.1895411531438078E-9</v>
      </c>
      <c r="CN93" s="22">
        <f t="shared" si="66"/>
        <v>1.615189828757029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</v>
      </c>
      <c r="N94" s="13">
        <f>IF('Données projet'!$A$36&gt;35,N93+M94-V93,IF(A94&lt;'Données projet'!$A$36,$K$205^A94,IF(A94='Données projet'!$A$36,'Données projet'!$B$36,N93+M94-V93)))</f>
        <v>258.99999999999983</v>
      </c>
      <c r="O94" s="13">
        <f>N94*VLOOKUP('Données projet'!$B$9,Paramètres!$A$1:$I$89,3,0)*VLOOKUP('Données projet'!$B$9,Paramètres!$A$1:$I$89,5,0)</f>
        <v>262.62599999999986</v>
      </c>
      <c r="P94" s="13">
        <f t="shared" si="87"/>
        <v>63.281807230823397</v>
      </c>
      <c r="Q94" s="20">
        <f t="shared" si="54"/>
        <v>567.62276426035044</v>
      </c>
      <c r="R94" s="59">
        <f t="shared" si="55"/>
        <v>860.95609759368381</v>
      </c>
      <c r="S94" s="59">
        <f ca="1">AVERAGE(OFFSET($R$3,0,0,'Données projet'!$E$9+1,1))-AVERAGE(OFFSET($H$3,0,0,'Données projet'!$E$9+1,1))</f>
        <v>272.93635583300755</v>
      </c>
      <c r="T94" s="59">
        <f t="shared" si="88"/>
        <v>179.56041631665812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1.1159783029972348</v>
      </c>
      <c r="AA94" s="21">
        <f>EXP(-LN(2)/25)*AA93+(1-EXP(-LN(2)/25))/(LN(2)/25)*Calculateur!V94*Calculateur!X94*VLOOKUP('Données projet'!$B$9,Paramètres!$A$1:$I$89,3,0)*0.475*44/12</f>
        <v>0.86643791012325533</v>
      </c>
      <c r="AB94" s="21">
        <f>EXP(-LN(2)/2)*AB93+(1-EXP(-LN(2)/2))/(LN(2)/2)*V94*Y94*VLOOKUP('Données projet'!$B$9,Paramètres!$A$1:$I$89,3,0)*0.475*44/12</f>
        <v>4.503954674549377E-9</v>
      </c>
      <c r="AC94" s="22">
        <f t="shared" si="57"/>
        <v>1.9824162176244449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</v>
      </c>
      <c r="AI94" s="13">
        <f>IF('Données projet'!$A$62&gt;35,AI93+AH94-AQ93,IF(A94&lt;'Données projet'!$A$62,$AF$205^A94,IF(A94='Données projet'!$A$62,'Données projet'!$B$62,AI93+AH94-AQ93)))</f>
        <v>258.99999999999983</v>
      </c>
      <c r="AJ94" s="13">
        <f>AI94*VLOOKUP('Données projet'!$B$10,Paramètres!$A$1:$I$89,3,0)*VLOOKUP('Données projet'!$B$10,Paramètres!$A$1:$I$89,5,0)</f>
        <v>234.34319999999983</v>
      </c>
      <c r="AK94" s="13">
        <f t="shared" si="89"/>
        <v>57.220758006491614</v>
      </c>
      <c r="AL94" s="20">
        <f t="shared" si="58"/>
        <v>507.80722686130588</v>
      </c>
      <c r="AM94" s="59">
        <f t="shared" si="59"/>
        <v>801.14056019463919</v>
      </c>
      <c r="AN94" s="59">
        <f ca="1">AVERAGE(OFFSET($AM$3,0,0,'Données projet'!$E$10+1,1))-AVERAGE(OFFSET($H$3,0,0,'Données projet'!$E$10+1,1))</f>
        <v>237.64646718446005</v>
      </c>
      <c r="AO94" s="59">
        <f t="shared" si="90"/>
        <v>156.67965022779907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0.99579602421291691</v>
      </c>
      <c r="AV94" s="21">
        <f>EXP(-LN(2)/25)*AV93+(1-EXP(-LN(2)/25))/(LN(2)/25)*Calculateur!AQ94*Calculateur!AS94*VLOOKUP('Données projet'!$B$10,Paramètres!$A$1:$I$89,3,0)*0.475*44/12</f>
        <v>0.77312921210998142</v>
      </c>
      <c r="AW94" s="21">
        <f>EXP(-LN(2)/2)*AW93+(1-EXP(-LN(2)/2))/(LN(2)/2)*AQ94*AT94*VLOOKUP('Données projet'!$B$10,Paramètres!$A$1:$I$89,3,0)*0.475*44/12</f>
        <v>4.0189134019055966E-9</v>
      </c>
      <c r="AX94" s="21">
        <f t="shared" si="60"/>
        <v>1.7689252403418119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-1.7053025658242404E-13</v>
      </c>
      <c r="BE94" s="13">
        <f>BD94*VLOOKUP('Données projet'!$B$11,Paramètres!$A$1:$I$89,3,0)*VLOOKUP('Données projet'!$B$11,Paramètres!$A$1:$I$89,5,0)</f>
        <v>-1.1173142411280423E-13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172.9177436650786</v>
      </c>
      <c r="BJ94" s="59">
        <f t="shared" si="92"/>
        <v>173.73622806725865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0.49654102310843345</v>
      </c>
      <c r="BQ94" s="21">
        <f>EXP(-LN(2)/25)*BQ93+(1-EXP(-LN(2)/25))/(LN(2)/25)*Calculateur!BL94*Calculateur!BN94*VLOOKUP('Données projet'!$B$11,Paramètres!$A$1:$I$89,3,0)*0.475*44/12</f>
        <v>2.1037002719041884</v>
      </c>
      <c r="BR94" s="21">
        <f>EXP(-LN(2)/2)*BR93+(1-EXP(-LN(2)/2))/(LN(2)/2)*BL94*BO94*VLOOKUP('Données projet'!$B$11,Paramètres!$A$1:$I$89,3,0)*0.475*44/12</f>
        <v>5.543799009754646E-9</v>
      </c>
      <c r="BS94" s="22">
        <f t="shared" si="63"/>
        <v>2.6002413005564211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289.07218105343333</v>
      </c>
      <c r="CE94" s="59">
        <f t="shared" si="94"/>
        <v>217.57508587672368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0.36263414415609713</v>
      </c>
      <c r="CL94" s="21">
        <f>EXP(-LN(2)/25)*CL93+(1-EXP(-LN(2)/25))/(LN(2)/25)*Calculateur!CG94*Calculateur!CI94*VLOOKUP('Données projet'!$B$12,Paramètres!$A$1:$I$89,3,0)*0.475*44/12</f>
        <v>1.2112495509835983</v>
      </c>
      <c r="CM94" s="21">
        <f>EXP(-LN(2)/2)*CM93+(1-EXP(-LN(2)/2))/(LN(2)/2)*CG94*CJ94*VLOOKUP('Données projet'!$B$12,Paramètres!$A$1:$I$89,3,0)*0.475*44/12</f>
        <v>5.083773303007737E-9</v>
      </c>
      <c r="CN94" s="22">
        <f t="shared" si="66"/>
        <v>1.5738837002234689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</v>
      </c>
      <c r="N95" s="13">
        <f>IF('Données projet'!$A$36&gt;35,N94+M95-V94,IF(A95&lt;'Données projet'!$A$36,$K$205^A95,IF(A95='Données projet'!$A$36,'Données projet'!$B$36,N94+M95-V94)))</f>
        <v>263.99999999999983</v>
      </c>
      <c r="O95" s="13">
        <f>N95*VLOOKUP('Données projet'!$B$9,Paramètres!$A$1:$I$89,3,0)*VLOOKUP('Données projet'!$B$9,Paramètres!$A$1:$I$89,5,0)</f>
        <v>267.69599999999986</v>
      </c>
      <c r="P95" s="13">
        <f t="shared" si="87"/>
        <v>64.360058723585439</v>
      </c>
      <c r="Q95" s="20">
        <f t="shared" si="54"/>
        <v>578.33096894357766</v>
      </c>
      <c r="R95" s="59">
        <f t="shared" si="55"/>
        <v>871.66430227691103</v>
      </c>
      <c r="S95" s="59">
        <f ca="1">AVERAGE(OFFSET($R$3,0,0,'Données projet'!$E$9+1,1))-AVERAGE(OFFSET($H$3,0,0,'Données projet'!$E$9+1,1))</f>
        <v>272.93635583300755</v>
      </c>
      <c r="T95" s="59">
        <f t="shared" si="88"/>
        <v>179.56041631665812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1.0940946491550123</v>
      </c>
      <c r="AA95" s="21">
        <f>EXP(-LN(2)/25)*AA94+(1-EXP(-LN(2)/25))/(LN(2)/25)*Calculateur!V95*Calculateur!X95*VLOOKUP('Données projet'!$B$9,Paramètres!$A$1:$I$89,3,0)*0.475*44/12</f>
        <v>0.84274511990694545</v>
      </c>
      <c r="AB95" s="21">
        <f>EXP(-LN(2)/2)*AB94+(1-EXP(-LN(2)/2))/(LN(2)/2)*V95*Y95*VLOOKUP('Données projet'!$B$9,Paramètres!$A$1:$I$89,3,0)*0.475*44/12</f>
        <v>3.1847768925307142E-9</v>
      </c>
      <c r="AC95" s="22">
        <f t="shared" si="57"/>
        <v>1.9368397722467345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</v>
      </c>
      <c r="AI95" s="13">
        <f>IF('Données projet'!$A$62&gt;35,AI94+AH95-AQ94,IF(A95&lt;'Données projet'!$A$62,$AF$205^A95,IF(A95='Données projet'!$A$62,'Données projet'!$B$62,AI94+AH95-AQ94)))</f>
        <v>263.99999999999983</v>
      </c>
      <c r="AJ95" s="13">
        <f>AI95*VLOOKUP('Données projet'!$B$10,Paramètres!$A$1:$I$89,3,0)*VLOOKUP('Données projet'!$B$10,Paramètres!$A$1:$I$89,5,0)</f>
        <v>238.86719999999983</v>
      </c>
      <c r="AK95" s="13">
        <f t="shared" si="89"/>
        <v>58.195735973104156</v>
      </c>
      <c r="AL95" s="20">
        <f t="shared" si="58"/>
        <v>517.38461348648946</v>
      </c>
      <c r="AM95" s="59">
        <f t="shared" si="59"/>
        <v>810.71794681982283</v>
      </c>
      <c r="AN95" s="59">
        <f ca="1">AVERAGE(OFFSET($AM$3,0,0,'Données projet'!$E$10+1,1))-AVERAGE(OFFSET($H$3,0,0,'Données projet'!$E$10+1,1))</f>
        <v>237.64646718446005</v>
      </c>
      <c r="AO95" s="59">
        <f t="shared" si="90"/>
        <v>156.67965022779907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0.97626907155370302</v>
      </c>
      <c r="AV95" s="21">
        <f>EXP(-LN(2)/25)*AV94+(1-EXP(-LN(2)/25))/(LN(2)/25)*Calculateur!AQ95*Calculateur!AS95*VLOOKUP('Données projet'!$B$10,Paramètres!$A$1:$I$89,3,0)*0.475*44/12</f>
        <v>0.7519879531477357</v>
      </c>
      <c r="AW95" s="21">
        <f>EXP(-LN(2)/2)*AW94+(1-EXP(-LN(2)/2))/(LN(2)/2)*AQ95*AT95*VLOOKUP('Données projet'!$B$10,Paramètres!$A$1:$I$89,3,0)*0.475*44/12</f>
        <v>2.841800919488944E-9</v>
      </c>
      <c r="AX95" s="21">
        <f t="shared" si="60"/>
        <v>1.7282570275432398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-1.7053025658242404E-13</v>
      </c>
      <c r="BE95" s="13">
        <f>BD95*VLOOKUP('Données projet'!$B$11,Paramètres!$A$1:$I$89,3,0)*VLOOKUP('Données projet'!$B$11,Paramètres!$A$1:$I$89,5,0)</f>
        <v>-1.1173142411280423E-13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172.9177436650786</v>
      </c>
      <c r="BJ95" s="59">
        <f t="shared" si="92"/>
        <v>173.73622806725865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0.48680415650539621</v>
      </c>
      <c r="BQ95" s="21">
        <f>EXP(-LN(2)/25)*BQ94+(1-EXP(-LN(2)/25))/(LN(2)/25)*Calculateur!BL95*Calculateur!BN95*VLOOKUP('Données projet'!$B$11,Paramètres!$A$1:$I$89,3,0)*0.475*44/12</f>
        <v>2.0461744773401791</v>
      </c>
      <c r="BR95" s="21">
        <f>EXP(-LN(2)/2)*BR94+(1-EXP(-LN(2)/2))/(LN(2)/2)*BL95*BO95*VLOOKUP('Données projet'!$B$11,Paramètres!$A$1:$I$89,3,0)*0.475*44/12</f>
        <v>3.9200578733327773E-9</v>
      </c>
      <c r="BS95" s="22">
        <f t="shared" si="63"/>
        <v>2.5329786377656331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289.07218105343333</v>
      </c>
      <c r="CE95" s="59">
        <f t="shared" si="94"/>
        <v>217.57508587672368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0.35552310977418378</v>
      </c>
      <c r="CL95" s="21">
        <f>EXP(-LN(2)/25)*CL94+(1-EXP(-LN(2)/25))/(LN(2)/25)*Calculateur!CG95*Calculateur!CI95*VLOOKUP('Données projet'!$B$12,Paramètres!$A$1:$I$89,3,0)*0.475*44/12</f>
        <v>1.1781278683151062</v>
      </c>
      <c r="CM95" s="21">
        <f>EXP(-LN(2)/2)*CM94+(1-EXP(-LN(2)/2))/(LN(2)/2)*CG95*CJ95*VLOOKUP('Données projet'!$B$12,Paramètres!$A$1:$I$89,3,0)*0.475*44/12</f>
        <v>3.5947705765719039E-9</v>
      </c>
      <c r="CN95" s="22">
        <f t="shared" si="66"/>
        <v>1.5336509816840604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</v>
      </c>
      <c r="N96" s="13">
        <f>IF('Données projet'!$A$36&gt;35,N95+M96-V95,IF(A96&lt;'Données projet'!$A$36,$K$205^A96,IF(A96='Données projet'!$A$36,'Données projet'!$B$36,N95+M96-V95)))</f>
        <v>268.99999999999983</v>
      </c>
      <c r="O96" s="13">
        <f>N96*VLOOKUP('Données projet'!$B$9,Paramètres!$A$1:$I$89,3,0)*VLOOKUP('Données projet'!$B$9,Paramètres!$A$1:$I$89,5,0)</f>
        <v>272.76599999999985</v>
      </c>
      <c r="P96" s="13">
        <f t="shared" si="87"/>
        <v>65.43593563008757</v>
      </c>
      <c r="Q96" s="20">
        <f t="shared" si="54"/>
        <v>589.03503788906892</v>
      </c>
      <c r="R96" s="59">
        <f t="shared" si="55"/>
        <v>882.36837122240217</v>
      </c>
      <c r="S96" s="59">
        <f ca="1">AVERAGE(OFFSET($R$3,0,0,'Données projet'!$E$9+1,1))-AVERAGE(OFFSET($H$3,0,0,'Données projet'!$E$9+1,1))</f>
        <v>272.93635583300755</v>
      </c>
      <c r="T96" s="59">
        <f t="shared" si="88"/>
        <v>179.56041631665812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1.0726401204169249</v>
      </c>
      <c r="AA96" s="21">
        <f>EXP(-LN(2)/25)*AA95+(1-EXP(-LN(2)/25))/(LN(2)/25)*Calculateur!V96*Calculateur!X96*VLOOKUP('Données projet'!$B$9,Paramètres!$A$1:$I$89,3,0)*0.475*44/12</f>
        <v>0.81970021028505025</v>
      </c>
      <c r="AB96" s="21">
        <f>EXP(-LN(2)/2)*AB95+(1-EXP(-LN(2)/2))/(LN(2)/2)*V96*Y96*VLOOKUP('Données projet'!$B$9,Paramètres!$A$1:$I$89,3,0)*0.475*44/12</f>
        <v>2.2519773372746885E-9</v>
      </c>
      <c r="AC96" s="22">
        <f t="shared" si="57"/>
        <v>1.8923403329539523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</v>
      </c>
      <c r="AI96" s="13">
        <f>IF('Données projet'!$A$62&gt;35,AI95+AH96-AQ95,IF(A96&lt;'Données projet'!$A$62,$AF$205^A96,IF(A96='Données projet'!$A$62,'Données projet'!$B$62,AI95+AH96-AQ95)))</f>
        <v>268.99999999999983</v>
      </c>
      <c r="AJ96" s="13">
        <f>AI96*VLOOKUP('Données projet'!$B$10,Paramètres!$A$1:$I$89,3,0)*VLOOKUP('Données projet'!$B$10,Paramètres!$A$1:$I$89,5,0)</f>
        <v>243.39119999999986</v>
      </c>
      <c r="AK96" s="13">
        <f t="shared" si="89"/>
        <v>59.168566788241527</v>
      </c>
      <c r="AL96" s="20">
        <f t="shared" si="58"/>
        <v>526.95826048952051</v>
      </c>
      <c r="AM96" s="59">
        <f t="shared" si="59"/>
        <v>820.29159382285388</v>
      </c>
      <c r="AN96" s="59">
        <f ca="1">AVERAGE(OFFSET($AM$3,0,0,'Données projet'!$E$10+1,1))-AVERAGE(OFFSET($H$3,0,0,'Données projet'!$E$10+1,1))</f>
        <v>237.64646718446005</v>
      </c>
      <c r="AO96" s="59">
        <f t="shared" si="90"/>
        <v>156.67965022779907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0.95712503052587128</v>
      </c>
      <c r="AV96" s="21">
        <f>EXP(-LN(2)/25)*AV95+(1-EXP(-LN(2)/25))/(LN(2)/25)*Calculateur!AQ96*Calculateur!AS96*VLOOKUP('Données projet'!$B$10,Paramètres!$A$1:$I$89,3,0)*0.475*44/12</f>
        <v>0.73142480302358315</v>
      </c>
      <c r="AW96" s="21">
        <f>EXP(-LN(2)/2)*AW95+(1-EXP(-LN(2)/2))/(LN(2)/2)*AQ96*AT96*VLOOKUP('Données projet'!$B$10,Paramètres!$A$1:$I$89,3,0)*0.475*44/12</f>
        <v>2.0094567009527983E-9</v>
      </c>
      <c r="AX96" s="21">
        <f t="shared" si="60"/>
        <v>1.688549835558911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-1.7053025658242404E-13</v>
      </c>
      <c r="BE96" s="13">
        <f>BD96*VLOOKUP('Données projet'!$B$11,Paramètres!$A$1:$I$89,3,0)*VLOOKUP('Données projet'!$B$11,Paramètres!$A$1:$I$89,5,0)</f>
        <v>-1.1173142411280423E-13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172.9177436650786</v>
      </c>
      <c r="BJ96" s="59">
        <f t="shared" si="92"/>
        <v>173.73622806725865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0.4772582239175423</v>
      </c>
      <c r="BQ96" s="21">
        <f>EXP(-LN(2)/25)*BQ95+(1-EXP(-LN(2)/25))/(LN(2)/25)*Calculateur!BL96*Calculateur!BN96*VLOOKUP('Données projet'!$B$11,Paramètres!$A$1:$I$89,3,0)*0.475*44/12</f>
        <v>1.9902217286536728</v>
      </c>
      <c r="BR96" s="21">
        <f>EXP(-LN(2)/2)*BR95+(1-EXP(-LN(2)/2))/(LN(2)/2)*BL96*BO96*VLOOKUP('Données projet'!$B$11,Paramètres!$A$1:$I$89,3,0)*0.475*44/12</f>
        <v>2.771899504877323E-9</v>
      </c>
      <c r="BS96" s="22">
        <f t="shared" si="63"/>
        <v>2.4674799553431148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289.07218105343333</v>
      </c>
      <c r="CE96" s="59">
        <f t="shared" si="94"/>
        <v>217.57508587672368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0.34855151843919707</v>
      </c>
      <c r="CL96" s="21">
        <f>EXP(-LN(2)/25)*CL95+(1-EXP(-LN(2)/25))/(LN(2)/25)*Calculateur!CG96*Calculateur!CI96*VLOOKUP('Données projet'!$B$12,Paramètres!$A$1:$I$89,3,0)*0.475*44/12</f>
        <v>1.1459118998009776</v>
      </c>
      <c r="CM96" s="21">
        <f>EXP(-LN(2)/2)*CM95+(1-EXP(-LN(2)/2))/(LN(2)/2)*CG96*CJ96*VLOOKUP('Données projet'!$B$12,Paramètres!$A$1:$I$89,3,0)*0.475*44/12</f>
        <v>2.5418866515038685E-9</v>
      </c>
      <c r="CN96" s="22">
        <f t="shared" si="66"/>
        <v>1.4944634207820613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</v>
      </c>
      <c r="N97" s="13">
        <f>IF('Données projet'!$A$36&gt;35,N96+M97-V96,IF(A97&lt;'Données projet'!$A$36,$K$205^A97,IF(A97='Données projet'!$A$36,'Données projet'!$B$36,N96+M97-V96)))</f>
        <v>273.99999999999983</v>
      </c>
      <c r="O97" s="13">
        <f>N97*VLOOKUP('Données projet'!$B$9,Paramètres!$A$1:$I$89,3,0)*VLOOKUP('Données projet'!$B$9,Paramètres!$A$1:$I$89,5,0)</f>
        <v>277.83599999999984</v>
      </c>
      <c r="P97" s="13">
        <f t="shared" si="87"/>
        <v>66.509487177652261</v>
      </c>
      <c r="Q97" s="20">
        <f t="shared" si="54"/>
        <v>599.73505683441078</v>
      </c>
      <c r="R97" s="59">
        <f t="shared" si="55"/>
        <v>893.06839016774416</v>
      </c>
      <c r="S97" s="59">
        <f ca="1">AVERAGE(OFFSET($R$3,0,0,'Données projet'!$E$9+1,1))-AVERAGE(OFFSET($H$3,0,0,'Données projet'!$E$9+1,1))</f>
        <v>272.93635583300755</v>
      </c>
      <c r="T97" s="59">
        <f t="shared" si="88"/>
        <v>179.56041631665812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1.051606301901421</v>
      </c>
      <c r="AA97" s="21">
        <f>EXP(-LN(2)/25)*AA96+(1-EXP(-LN(2)/25))/(LN(2)/25)*Calculateur!V97*Calculateur!X97*VLOOKUP('Données projet'!$B$9,Paramètres!$A$1:$I$89,3,0)*0.475*44/12</f>
        <v>0.79728546492864494</v>
      </c>
      <c r="AB97" s="21">
        <f>EXP(-LN(2)/2)*AB96+(1-EXP(-LN(2)/2))/(LN(2)/2)*V97*Y97*VLOOKUP('Données projet'!$B$9,Paramètres!$A$1:$I$89,3,0)*0.475*44/12</f>
        <v>1.5923884462653571E-9</v>
      </c>
      <c r="AC97" s="22">
        <f t="shared" si="57"/>
        <v>1.8488917684224544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</v>
      </c>
      <c r="AI97" s="13">
        <f>IF('Données projet'!$A$62&gt;35,AI96+AH97-AQ96,IF(A97&lt;'Données projet'!$A$62,$AF$205^A97,IF(A97='Données projet'!$A$62,'Données projet'!$B$62,AI96+AH97-AQ96)))</f>
        <v>273.99999999999983</v>
      </c>
      <c r="AJ97" s="13">
        <f>AI97*VLOOKUP('Données projet'!$B$10,Paramètres!$A$1:$I$89,3,0)*VLOOKUP('Données projet'!$B$10,Paramètres!$A$1:$I$89,5,0)</f>
        <v>247.91519999999986</v>
      </c>
      <c r="AK97" s="13">
        <f t="shared" si="89"/>
        <v>60.139294964297406</v>
      </c>
      <c r="AL97" s="20">
        <f t="shared" si="58"/>
        <v>536.52824539615096</v>
      </c>
      <c r="AM97" s="59">
        <f t="shared" si="59"/>
        <v>829.86157872948434</v>
      </c>
      <c r="AN97" s="59">
        <f ca="1">AVERAGE(OFFSET($AM$3,0,0,'Données projet'!$E$10+1,1))-AVERAGE(OFFSET($H$3,0,0,'Données projet'!$E$10+1,1))</f>
        <v>237.64646718446005</v>
      </c>
      <c r="AO97" s="59">
        <f t="shared" si="90"/>
        <v>156.67965022779907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0.9383563924658832</v>
      </c>
      <c r="AV97" s="21">
        <f>EXP(-LN(2)/25)*AV96+(1-EXP(-LN(2)/25))/(LN(2)/25)*Calculateur!AQ97*Calculateur!AS97*VLOOKUP('Données projet'!$B$10,Paramètres!$A$1:$I$89,3,0)*0.475*44/12</f>
        <v>0.71142395332094455</v>
      </c>
      <c r="AW97" s="21">
        <f>EXP(-LN(2)/2)*AW96+(1-EXP(-LN(2)/2))/(LN(2)/2)*AQ97*AT97*VLOOKUP('Données projet'!$B$10,Paramètres!$A$1:$I$89,3,0)*0.475*44/12</f>
        <v>1.420900459744472E-9</v>
      </c>
      <c r="AX97" s="21">
        <f t="shared" si="60"/>
        <v>1.6497803472077284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-1.7053025658242404E-13</v>
      </c>
      <c r="BE97" s="13">
        <f>BD97*VLOOKUP('Données projet'!$B$11,Paramètres!$A$1:$I$89,3,0)*VLOOKUP('Données projet'!$B$11,Paramètres!$A$1:$I$89,5,0)</f>
        <v>-1.1173142411280423E-13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172.9177436650786</v>
      </c>
      <c r="BJ97" s="59">
        <f t="shared" si="92"/>
        <v>173.73622806725865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0.46789948124529229</v>
      </c>
      <c r="BQ97" s="21">
        <f>EXP(-LN(2)/25)*BQ96+(1-EXP(-LN(2)/25))/(LN(2)/25)*Calculateur!BL97*Calculateur!BN97*VLOOKUP('Données projet'!$B$11,Paramètres!$A$1:$I$89,3,0)*0.475*44/12</f>
        <v>1.9357990108224261</v>
      </c>
      <c r="BR97" s="21">
        <f>EXP(-LN(2)/2)*BR96+(1-EXP(-LN(2)/2))/(LN(2)/2)*BL97*BO97*VLOOKUP('Données projet'!$B$11,Paramètres!$A$1:$I$89,3,0)*0.475*44/12</f>
        <v>1.9600289366663887E-9</v>
      </c>
      <c r="BS97" s="22">
        <f t="shared" si="63"/>
        <v>2.4036984940277475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289.07218105343333</v>
      </c>
      <c r="CE97" s="59">
        <f t="shared" si="94"/>
        <v>217.57508587672368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0.34171663575803862</v>
      </c>
      <c r="CL97" s="21">
        <f>EXP(-LN(2)/25)*CL96+(1-EXP(-LN(2)/25))/(LN(2)/25)*Calculateur!CG97*Calculateur!CI97*VLOOKUP('Données projet'!$B$12,Paramètres!$A$1:$I$89,3,0)*0.475*44/12</f>
        <v>1.1145768786400321</v>
      </c>
      <c r="CM97" s="21">
        <f>EXP(-LN(2)/2)*CM96+(1-EXP(-LN(2)/2))/(LN(2)/2)*CG97*CJ97*VLOOKUP('Données projet'!$B$12,Paramètres!$A$1:$I$89,3,0)*0.475*44/12</f>
        <v>1.7973852882859519E-9</v>
      </c>
      <c r="CN97" s="22">
        <f t="shared" si="66"/>
        <v>1.456293516195456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279</v>
      </c>
      <c r="L98" s="12">
        <f>VLOOKUP(A98,'Données projet'!$A$35:$I$55,9,0)</f>
        <v>5</v>
      </c>
      <c r="M98" s="12">
        <f t="array" ref="M98">INDEX(L:L,MIN(IF(ISNUMBER(L98:L294),ROW(L98:L294),"")))</f>
        <v>5</v>
      </c>
      <c r="N98" s="13">
        <f>IF('Données projet'!$A$36&gt;35,N97+M98-V97,IF(A98&lt;'Données projet'!$A$36,$K$205^A98,IF(A98='Données projet'!$A$36,'Données projet'!$B$36,N97+M98-V97)))</f>
        <v>278.99999999999983</v>
      </c>
      <c r="O98" s="13">
        <f>N98*VLOOKUP('Données projet'!$B$9,Paramètres!$A$1:$I$89,3,0)*VLOOKUP('Données projet'!$B$9,Paramètres!$A$1:$I$89,5,0)</f>
        <v>282.90599999999989</v>
      </c>
      <c r="P98" s="13">
        <f t="shared" si="87"/>
        <v>67.580760694123455</v>
      </c>
      <c r="Q98" s="20">
        <f t="shared" si="54"/>
        <v>610.43110820893151</v>
      </c>
      <c r="R98" s="59">
        <f t="shared" si="55"/>
        <v>903.76444154226488</v>
      </c>
      <c r="S98" s="59">
        <f ca="1">AVERAGE(OFFSET($R$3,0,0,'Données projet'!$E$9+1,1))-AVERAGE(OFFSET($H$3,0,0,'Données projet'!$E$9+1,1))</f>
        <v>272.93635583300755</v>
      </c>
      <c r="T98" s="59">
        <f t="shared" si="88"/>
        <v>179.56041631665812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21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1.0309849437376437</v>
      </c>
      <c r="AA98" s="21">
        <f>EXP(-LN(2)/25)*AA97+(1-EXP(-LN(2)/25))/(LN(2)/25)*Calculateur!V98*Calculateur!X98*VLOOKUP('Données projet'!$B$9,Paramètres!$A$1:$I$89,3,0)*0.475*44/12</f>
        <v>0.77548365196275071</v>
      </c>
      <c r="AB98" s="21">
        <f>EXP(-LN(2)/2)*AB97+(1-EXP(-LN(2)/2))/(LN(2)/2)*V98*Y98*VLOOKUP('Données projet'!$B$9,Paramètres!$A$1:$I$89,3,0)*0.475*44/12</f>
        <v>1.1259886686373443E-9</v>
      </c>
      <c r="AC98" s="22">
        <f t="shared" si="57"/>
        <v>1.8064685968263832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279</v>
      </c>
      <c r="AG98" s="12">
        <f>VLOOKUP(A98,'Données projet'!$A$61:$I$81,9,0)</f>
        <v>5</v>
      </c>
      <c r="AH98" s="12">
        <f t="array" ref="AH98">INDEX(AG:AG,MIN(IF(ISNUMBER(AG98:AG294),ROW(AG98:AG294),"")))</f>
        <v>5</v>
      </c>
      <c r="AI98" s="13">
        <f>IF('Données projet'!$A$62&gt;35,AI97+AH98-AQ97,IF(A98&lt;'Données projet'!$A$62,$AF$205^A98,IF(A98='Données projet'!$A$62,'Données projet'!$B$62,AI97+AH98-AQ97)))</f>
        <v>278.99999999999983</v>
      </c>
      <c r="AJ98" s="13">
        <f>AI98*VLOOKUP('Données projet'!$B$10,Paramètres!$A$1:$I$89,3,0)*VLOOKUP('Données projet'!$B$10,Paramètres!$A$1:$I$89,5,0)</f>
        <v>252.43919999999983</v>
      </c>
      <c r="AK98" s="13">
        <f t="shared" si="89"/>
        <v>61.107963296116218</v>
      </c>
      <c r="AL98" s="20">
        <f t="shared" si="58"/>
        <v>546.09464274073537</v>
      </c>
      <c r="AM98" s="59">
        <f t="shared" si="59"/>
        <v>839.42797607406874</v>
      </c>
      <c r="AN98" s="59">
        <f ca="1">AVERAGE(OFFSET($AM$3,0,0,'Données projet'!$E$10+1,1))-AVERAGE(OFFSET($H$3,0,0,'Données projet'!$E$10+1,1))</f>
        <v>237.64646718446005</v>
      </c>
      <c r="AO98" s="59">
        <f t="shared" si="90"/>
        <v>156.67965022779907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0.91995579595051269</v>
      </c>
      <c r="AV98" s="21">
        <f>EXP(-LN(2)/25)*AV97+(1-EXP(-LN(2)/25))/(LN(2)/25)*Calculateur!AQ98*Calculateur!AS98*VLOOKUP('Données projet'!$B$10,Paramètres!$A$1:$I$89,3,0)*0.475*44/12</f>
        <v>0.69197002790522355</v>
      </c>
      <c r="AW98" s="21">
        <f>EXP(-LN(2)/2)*AW97+(1-EXP(-LN(2)/2))/(LN(2)/2)*AQ98*AT98*VLOOKUP('Données projet'!$B$10,Paramètres!$A$1:$I$89,3,0)*0.475*44/12</f>
        <v>1.0047283504763992E-9</v>
      </c>
      <c r="AX98" s="21">
        <f t="shared" si="60"/>
        <v>1.6119258248604647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-1.7053025658242404E-13</v>
      </c>
      <c r="BE98" s="13">
        <f>BD98*VLOOKUP('Données projet'!$B$11,Paramètres!$A$1:$I$89,3,0)*VLOOKUP('Données projet'!$B$11,Paramètres!$A$1:$I$89,5,0)</f>
        <v>-1.1173142411280423E-13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172.9177436650786</v>
      </c>
      <c r="BJ98" s="59">
        <f t="shared" si="92"/>
        <v>173.73622806725865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0.45872425780857568</v>
      </c>
      <c r="BQ98" s="21">
        <f>EXP(-LN(2)/25)*BQ97+(1-EXP(-LN(2)/25))/(LN(2)/25)*Calculateur!BL98*Calculateur!BN98*VLOOKUP('Données projet'!$B$11,Paramètres!$A$1:$I$89,3,0)*0.475*44/12</f>
        <v>1.8828644850722411</v>
      </c>
      <c r="BR98" s="21">
        <f>EXP(-LN(2)/2)*BR97+(1-EXP(-LN(2)/2))/(LN(2)/2)*BL98*BO98*VLOOKUP('Données projet'!$B$11,Paramètres!$A$1:$I$89,3,0)*0.475*44/12</f>
        <v>1.3859497524386615E-9</v>
      </c>
      <c r="BS98" s="22">
        <f t="shared" si="63"/>
        <v>2.3415887442667662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289.07218105343333</v>
      </c>
      <c r="CE98" s="59">
        <f t="shared" si="94"/>
        <v>217.57508587672368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0.33501578095739087</v>
      </c>
      <c r="CL98" s="21">
        <f>EXP(-LN(2)/25)*CL97+(1-EXP(-LN(2)/25))/(LN(2)/25)*Calculateur!CG98*Calculateur!CI98*VLOOKUP('Données projet'!$B$12,Paramètres!$A$1:$I$89,3,0)*0.475*44/12</f>
        <v>1.0840987152805697</v>
      </c>
      <c r="CM98" s="21">
        <f>EXP(-LN(2)/2)*CM97+(1-EXP(-LN(2)/2))/(LN(2)/2)*CG98*CJ98*VLOOKUP('Données projet'!$B$12,Paramètres!$A$1:$I$89,3,0)*0.475*44/12</f>
        <v>1.2709433257519342E-9</v>
      </c>
      <c r="CN98" s="22">
        <f t="shared" si="66"/>
        <v>1.4191144975089038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4.8</v>
      </c>
      <c r="N99" s="13">
        <f>IF('Données projet'!$A$36&gt;35,N98+M99-V98,IF(A99&lt;'Données projet'!$A$36,$K$205^A99,IF(A99='Données projet'!$A$36,'Données projet'!$B$36,N98+M99-V98)))</f>
        <v>262.79999999999984</v>
      </c>
      <c r="O99" s="13">
        <f>N99*VLOOKUP('Données projet'!$B$9,Paramètres!$A$1:$I$89,3,0)*VLOOKUP('Données projet'!$B$9,Paramètres!$A$1:$I$89,5,0)</f>
        <v>266.47919999999988</v>
      </c>
      <c r="P99" s="13">
        <f t="shared" si="87"/>
        <v>64.101496824889622</v>
      </c>
      <c r="Q99" s="20">
        <f t="shared" ref="Q99:Q130" si="107">(O99+P99)*0.475*44/12</f>
        <v>575.76138030334926</v>
      </c>
      <c r="R99" s="59">
        <f t="shared" si="55"/>
        <v>869.09471363668263</v>
      </c>
      <c r="S99" s="59">
        <f ca="1">AVERAGE(OFFSET($R$3,0,0,'Données projet'!$E$9+1,1))-AVERAGE(OFFSET($H$3,0,0,'Données projet'!$E$9+1,1))</f>
        <v>272.93635583300755</v>
      </c>
      <c r="T99" s="59">
        <f t="shared" si="88"/>
        <v>179.56041631665812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1.0107679578296715</v>
      </c>
      <c r="AA99" s="21">
        <f>EXP(-LN(2)/25)*AA98+(1-EXP(-LN(2)/25))/(LN(2)/25)*Calculateur!V99*Calculateur!X99*VLOOKUP('Données projet'!$B$9,Paramètres!$A$1:$I$89,3,0)*0.475*44/12</f>
        <v>0.75427801071891643</v>
      </c>
      <c r="AB99" s="21">
        <f>EXP(-LN(2)/2)*AB98+(1-EXP(-LN(2)/2))/(LN(2)/2)*V99*Y99*VLOOKUP('Données projet'!$B$9,Paramètres!$A$1:$I$89,3,0)*0.475*44/12</f>
        <v>7.9619422313267856E-10</v>
      </c>
      <c r="AC99" s="22">
        <f t="shared" si="57"/>
        <v>1.7650459693447822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4.8</v>
      </c>
      <c r="AI99" s="13">
        <f>IF('Données projet'!$A$62&gt;35,AI98+AH99-AQ98,IF(A99&lt;'Données projet'!$A$62,$AF$205^A99,IF(A99='Données projet'!$A$62,'Données projet'!$B$62,AI98+AH99-AQ98)))</f>
        <v>262.79999999999984</v>
      </c>
      <c r="AJ99" s="13">
        <f>AI99*VLOOKUP('Données projet'!$B$10,Paramètres!$A$1:$I$89,3,0)*VLOOKUP('Données projet'!$B$10,Paramètres!$A$1:$I$89,5,0)</f>
        <v>237.78143999999983</v>
      </c>
      <c r="AK99" s="13">
        <f t="shared" si="89"/>
        <v>57.9619387969109</v>
      </c>
      <c r="AL99" s="20">
        <f t="shared" si="58"/>
        <v>515.08638473795281</v>
      </c>
      <c r="AM99" s="59">
        <f t="shared" si="59"/>
        <v>808.41971807128607</v>
      </c>
      <c r="AN99" s="59">
        <f ca="1">AVERAGE(OFFSET($AM$3,0,0,'Données projet'!$E$10+1,1))-AVERAGE(OFFSET($H$3,0,0,'Données projet'!$E$10+1,1))</f>
        <v>237.64646718446005</v>
      </c>
      <c r="AO99" s="59">
        <f t="shared" si="90"/>
        <v>156.67965022779907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0.90191602390955294</v>
      </c>
      <c r="AV99" s="21">
        <f>EXP(-LN(2)/25)*AV98+(1-EXP(-LN(2)/25))/(LN(2)/25)*Calculateur!AQ99*Calculateur!AS99*VLOOKUP('Données projet'!$B$10,Paramètres!$A$1:$I$89,3,0)*0.475*44/12</f>
        <v>0.673048071103033</v>
      </c>
      <c r="AW99" s="21">
        <f>EXP(-LN(2)/2)*AW98+(1-EXP(-LN(2)/2))/(LN(2)/2)*AQ99*AT99*VLOOKUP('Données projet'!$B$10,Paramètres!$A$1:$I$89,3,0)*0.475*44/12</f>
        <v>7.1045022987223601E-10</v>
      </c>
      <c r="AX99" s="21">
        <f t="shared" si="60"/>
        <v>1.574964095723036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-1.7053025658242404E-13</v>
      </c>
      <c r="BE99" s="13">
        <f>BD99*VLOOKUP('Données projet'!$B$11,Paramètres!$A$1:$I$89,3,0)*VLOOKUP('Données projet'!$B$11,Paramètres!$A$1:$I$89,5,0)</f>
        <v>-1.1173142411280423E-13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172.9177436650786</v>
      </c>
      <c r="BJ99" s="59">
        <f t="shared" si="92"/>
        <v>173.73622806725865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0.44972895490711939</v>
      </c>
      <c r="BQ99" s="21">
        <f>EXP(-LN(2)/25)*BQ98+(1-EXP(-LN(2)/25))/(LN(2)/25)*Calculateur!BL99*Calculateur!BN99*VLOOKUP('Données projet'!$B$11,Paramètres!$A$1:$I$89,3,0)*0.475*44/12</f>
        <v>1.8313774567124008</v>
      </c>
      <c r="BR99" s="21">
        <f>EXP(-LN(2)/2)*BR98+(1-EXP(-LN(2)/2))/(LN(2)/2)*BL99*BO99*VLOOKUP('Données projet'!$B$11,Paramètres!$A$1:$I$89,3,0)*0.475*44/12</f>
        <v>9.8001446833319433E-10</v>
      </c>
      <c r="BS99" s="22">
        <f t="shared" si="63"/>
        <v>2.2811064125995344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289.07218105343333</v>
      </c>
      <c r="CE99" s="59">
        <f t="shared" si="94"/>
        <v>217.57508587672368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0.32844632583226596</v>
      </c>
      <c r="CL99" s="21">
        <f>EXP(-LN(2)/25)*CL98+(1-EXP(-LN(2)/25))/(LN(2)/25)*Calculateur!CG99*Calculateur!CI99*VLOOKUP('Données projet'!$B$12,Paramètres!$A$1:$I$89,3,0)*0.475*44/12</f>
        <v>1.0544539789009488</v>
      </c>
      <c r="CM99" s="21">
        <f>EXP(-LN(2)/2)*CM98+(1-EXP(-LN(2)/2))/(LN(2)/2)*CG99*CJ99*VLOOKUP('Données projet'!$B$12,Paramètres!$A$1:$I$89,3,0)*0.475*44/12</f>
        <v>8.9869264414297597E-10</v>
      </c>
      <c r="CN99" s="22">
        <f t="shared" si="66"/>
        <v>1.3829003056319076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4.8</v>
      </c>
      <c r="N100" s="13">
        <f>IF('Données projet'!$A$36&gt;35,N99+M100-V99,IF(A100&lt;'Données projet'!$A$36,$K$205^A100,IF(A100='Données projet'!$A$36,'Données projet'!$B$36,N99+M100-V99)))</f>
        <v>267.59999999999985</v>
      </c>
      <c r="O100" s="13">
        <f>N100*VLOOKUP('Données projet'!$B$9,Paramètres!$A$1:$I$89,3,0)*VLOOKUP('Données projet'!$B$9,Paramètres!$A$1:$I$89,5,0)</f>
        <v>271.34639999999985</v>
      </c>
      <c r="P100" s="13">
        <f t="shared" si="87"/>
        <v>65.134926573557308</v>
      </c>
      <c r="Q100" s="20">
        <f t="shared" si="107"/>
        <v>586.03831044894537</v>
      </c>
      <c r="R100" s="59">
        <f t="shared" si="55"/>
        <v>879.37164378227862</v>
      </c>
      <c r="S100" s="59">
        <f ca="1">AVERAGE(OFFSET($R$3,0,0,'Données projet'!$E$9+1,1))-AVERAGE(OFFSET($H$3,0,0,'Données projet'!$E$9+1,1))</f>
        <v>272.93635583300755</v>
      </c>
      <c r="T100" s="59">
        <f t="shared" si="88"/>
        <v>179.56041631665812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0.99094741468421088</v>
      </c>
      <c r="AA100" s="21">
        <f>EXP(-LN(2)/25)*AA99+(1-EXP(-LN(2)/25))/(LN(2)/25)*Calculateur!V100*Calculateur!X100*VLOOKUP('Données projet'!$B$9,Paramètres!$A$1:$I$89,3,0)*0.475*44/12</f>
        <v>0.73365223885005104</v>
      </c>
      <c r="AB100" s="21">
        <f>EXP(-LN(2)/2)*AB99+(1-EXP(-LN(2)/2))/(LN(2)/2)*V100*Y100*VLOOKUP('Données projet'!$B$9,Paramètres!$A$1:$I$89,3,0)*0.475*44/12</f>
        <v>5.6299433431867213E-10</v>
      </c>
      <c r="AC100" s="22">
        <f t="shared" si="57"/>
        <v>1.7245996540972561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4.8</v>
      </c>
      <c r="AI100" s="13">
        <f>IF('Données projet'!$A$62&gt;35,AI99+AH100-AQ99,IF(A100&lt;'Données projet'!$A$62,$AF$205^A100,IF(A100='Données projet'!$A$62,'Données projet'!$B$62,AI99+AH100-AQ99)))</f>
        <v>267.59999999999985</v>
      </c>
      <c r="AJ100" s="13">
        <f>AI100*VLOOKUP('Données projet'!$B$10,Paramètres!$A$1:$I$89,3,0)*VLOOKUP('Données projet'!$B$10,Paramètres!$A$1:$I$89,5,0)</f>
        <v>242.12447999999986</v>
      </c>
      <c r="AK100" s="13">
        <f t="shared" si="89"/>
        <v>58.896387987806008</v>
      </c>
      <c r="AL100" s="20">
        <f t="shared" si="58"/>
        <v>524.27801174542856</v>
      </c>
      <c r="AM100" s="59">
        <f t="shared" si="59"/>
        <v>817.61134507876181</v>
      </c>
      <c r="AN100" s="59">
        <f ca="1">AVERAGE(OFFSET($AM$3,0,0,'Données projet'!$E$10+1,1))-AVERAGE(OFFSET($H$3,0,0,'Données projet'!$E$10+1,1))</f>
        <v>237.64646718446005</v>
      </c>
      <c r="AO100" s="59">
        <f t="shared" si="90"/>
        <v>156.67965022779907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0.88423000079514191</v>
      </c>
      <c r="AV100" s="21">
        <f>EXP(-LN(2)/25)*AV99+(1-EXP(-LN(2)/25))/(LN(2)/25)*Calculateur!AQ100*Calculateur!AS100*VLOOKUP('Données projet'!$B$10,Paramètres!$A$1:$I$89,3,0)*0.475*44/12</f>
        <v>0.65464353620466076</v>
      </c>
      <c r="AW100" s="21">
        <f>EXP(-LN(2)/2)*AW99+(1-EXP(-LN(2)/2))/(LN(2)/2)*AQ100*AT100*VLOOKUP('Données projet'!$B$10,Paramètres!$A$1:$I$89,3,0)*0.475*44/12</f>
        <v>5.0236417523819958E-10</v>
      </c>
      <c r="AX100" s="21">
        <f t="shared" si="60"/>
        <v>1.5388735375021667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-1.7053025658242404E-13</v>
      </c>
      <c r="BE100" s="13">
        <f>BD100*VLOOKUP('Données projet'!$B$11,Paramètres!$A$1:$I$89,3,0)*VLOOKUP('Données projet'!$B$11,Paramètres!$A$1:$I$89,5,0)</f>
        <v>-1.1173142411280423E-13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172.9177436650786</v>
      </c>
      <c r="BJ100" s="59">
        <f t="shared" si="92"/>
        <v>173.73622806725865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0.44091004440896764</v>
      </c>
      <c r="BQ100" s="21">
        <f>EXP(-LN(2)/25)*BQ99+(1-EXP(-LN(2)/25))/(LN(2)/25)*Calculateur!BL100*Calculateur!BN100*VLOOKUP('Données projet'!$B$11,Paramètres!$A$1:$I$89,3,0)*0.475*44/12</f>
        <v>1.7812983438506453</v>
      </c>
      <c r="BR100" s="21">
        <f>EXP(-LN(2)/2)*BR99+(1-EXP(-LN(2)/2))/(LN(2)/2)*BL100*BO100*VLOOKUP('Données projet'!$B$11,Paramètres!$A$1:$I$89,3,0)*0.475*44/12</f>
        <v>6.9297487621933075E-10</v>
      </c>
      <c r="BS100" s="22">
        <f t="shared" si="63"/>
        <v>2.2222083889525881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289.07218105343333</v>
      </c>
      <c r="CE100" s="59">
        <f t="shared" si="94"/>
        <v>217.57508587672368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0.32200569371517279</v>
      </c>
      <c r="CL100" s="21">
        <f>EXP(-LN(2)/25)*CL99+(1-EXP(-LN(2)/25))/(LN(2)/25)*Calculateur!CG100*Calculateur!CI100*VLOOKUP('Données projet'!$B$12,Paramètres!$A$1:$I$89,3,0)*0.475*44/12</f>
        <v>1.0256198793965776</v>
      </c>
      <c r="CM100" s="21">
        <f>EXP(-LN(2)/2)*CM99+(1-EXP(-LN(2)/2))/(LN(2)/2)*CG100*CJ100*VLOOKUP('Données projet'!$B$12,Paramètres!$A$1:$I$89,3,0)*0.475*44/12</f>
        <v>6.3547166287596712E-10</v>
      </c>
      <c r="CN100" s="22">
        <f t="shared" si="66"/>
        <v>1.347625573747222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4.8</v>
      </c>
      <c r="N101" s="13">
        <f>IF('Données projet'!$A$36&gt;35,N100+M101-V100,IF(A101&lt;'Données projet'!$A$36,$K$205^A101,IF(A101='Données projet'!$A$36,'Données projet'!$B$36,N100+M101-V100)))</f>
        <v>272.39999999999986</v>
      </c>
      <c r="O101" s="13">
        <f>N101*VLOOKUP('Données projet'!$B$9,Paramètres!$A$1:$I$89,3,0)*VLOOKUP('Données projet'!$B$9,Paramètres!$A$1:$I$89,5,0)</f>
        <v>276.21359999999987</v>
      </c>
      <c r="P101" s="13">
        <f t="shared" si="87"/>
        <v>66.166200760877416</v>
      </c>
      <c r="Q101" s="20">
        <f t="shared" si="107"/>
        <v>596.31148632519455</v>
      </c>
      <c r="R101" s="59">
        <f t="shared" si="55"/>
        <v>889.64481965852792</v>
      </c>
      <c r="S101" s="59">
        <f ca="1">AVERAGE(OFFSET($R$3,0,0,'Données projet'!$E$9+1,1))-AVERAGE(OFFSET($H$3,0,0,'Données projet'!$E$9+1,1))</f>
        <v>272.93635583300755</v>
      </c>
      <c r="T101" s="59">
        <f t="shared" si="88"/>
        <v>179.56041631665812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0.97151554030049514</v>
      </c>
      <c r="AA101" s="21">
        <f>EXP(-LN(2)/25)*AA100+(1-EXP(-LN(2)/25))/(LN(2)/25)*Calculateur!V101*Calculateur!X101*VLOOKUP('Données projet'!$B$9,Paramètres!$A$1:$I$89,3,0)*0.475*44/12</f>
        <v>0.71359047979760193</v>
      </c>
      <c r="AB101" s="21">
        <f>EXP(-LN(2)/2)*AB100+(1-EXP(-LN(2)/2))/(LN(2)/2)*V101*Y101*VLOOKUP('Données projet'!$B$9,Paramètres!$A$1:$I$89,3,0)*0.475*44/12</f>
        <v>3.9809711156633928E-10</v>
      </c>
      <c r="AC101" s="22">
        <f t="shared" si="57"/>
        <v>1.6851060204961943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4.8</v>
      </c>
      <c r="AI101" s="13">
        <f>IF('Données projet'!$A$62&gt;35,AI100+AH101-AQ100,IF(A101&lt;'Données projet'!$A$62,$AF$205^A101,IF(A101='Données projet'!$A$62,'Données projet'!$B$62,AI100+AH101-AQ100)))</f>
        <v>272.39999999999986</v>
      </c>
      <c r="AJ101" s="13">
        <f>AI101*VLOOKUP('Données projet'!$B$10,Paramètres!$A$1:$I$89,3,0)*VLOOKUP('Données projet'!$B$10,Paramètres!$A$1:$I$89,5,0)</f>
        <v>246.46751999999987</v>
      </c>
      <c r="AK101" s="13">
        <f t="shared" si="89"/>
        <v>59.828888074216977</v>
      </c>
      <c r="AL101" s="20">
        <f t="shared" si="58"/>
        <v>533.46624406259423</v>
      </c>
      <c r="AM101" s="59">
        <f t="shared" si="59"/>
        <v>826.7995773959276</v>
      </c>
      <c r="AN101" s="59">
        <f ca="1">AVERAGE(OFFSET($AM$3,0,0,'Données projet'!$E$10+1,1))-AVERAGE(OFFSET($H$3,0,0,'Données projet'!$E$10+1,1))</f>
        <v>237.64646718446005</v>
      </c>
      <c r="AO101" s="59">
        <f t="shared" si="90"/>
        <v>156.67965022779907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0.86689078980659551</v>
      </c>
      <c r="AV101" s="21">
        <f>EXP(-LN(2)/25)*AV100+(1-EXP(-LN(2)/25))/(LN(2)/25)*Calculateur!AQ101*Calculateur!AS101*VLOOKUP('Données projet'!$B$10,Paramètres!$A$1:$I$89,3,0)*0.475*44/12</f>
        <v>0.63674227428093699</v>
      </c>
      <c r="AW101" s="21">
        <f>EXP(-LN(2)/2)*AW100+(1-EXP(-LN(2)/2))/(LN(2)/2)*AQ101*AT101*VLOOKUP('Données projet'!$B$10,Paramètres!$A$1:$I$89,3,0)*0.475*44/12</f>
        <v>3.5522511493611801E-10</v>
      </c>
      <c r="AX101" s="21">
        <f t="shared" si="60"/>
        <v>1.5036330644427576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-1.7053025658242404E-13</v>
      </c>
      <c r="BE101" s="13">
        <f>BD101*VLOOKUP('Données projet'!$B$11,Paramètres!$A$1:$I$89,3,0)*VLOOKUP('Données projet'!$B$11,Paramètres!$A$1:$I$89,5,0)</f>
        <v>-1.1173142411280423E-13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172.9177436650786</v>
      </c>
      <c r="BJ101" s="59">
        <f t="shared" si="92"/>
        <v>173.73622806725865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0.43226406736668038</v>
      </c>
      <c r="BQ101" s="21">
        <f>EXP(-LN(2)/25)*BQ100+(1-EXP(-LN(2)/25))/(LN(2)/25)*Calculateur!BL101*Calculateur!BN101*VLOOKUP('Données projet'!$B$11,Paramètres!$A$1:$I$89,3,0)*0.475*44/12</f>
        <v>1.7325886469636407</v>
      </c>
      <c r="BR101" s="21">
        <f>EXP(-LN(2)/2)*BR100+(1-EXP(-LN(2)/2))/(LN(2)/2)*BL101*BO101*VLOOKUP('Données projet'!$B$11,Paramètres!$A$1:$I$89,3,0)*0.475*44/12</f>
        <v>4.9000723416659716E-10</v>
      </c>
      <c r="BS101" s="22">
        <f t="shared" si="63"/>
        <v>2.164852714820328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289.07218105343333</v>
      </c>
      <c r="CE101" s="59">
        <f t="shared" si="94"/>
        <v>217.57508587672368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0.31569135846549812</v>
      </c>
      <c r="CL101" s="21">
        <f>EXP(-LN(2)/25)*CL100+(1-EXP(-LN(2)/25))/(LN(2)/25)*Calculateur!CG101*Calculateur!CI101*VLOOKUP('Données projet'!$B$12,Paramètres!$A$1:$I$89,3,0)*0.475*44/12</f>
        <v>0.99757424985947285</v>
      </c>
      <c r="CM101" s="21">
        <f>EXP(-LN(2)/2)*CM100+(1-EXP(-LN(2)/2))/(LN(2)/2)*CG101*CJ101*VLOOKUP('Données projet'!$B$12,Paramètres!$A$1:$I$89,3,0)*0.475*44/12</f>
        <v>4.4934632207148799E-10</v>
      </c>
      <c r="CN101" s="22">
        <f t="shared" si="66"/>
        <v>1.3132656087743173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4.8</v>
      </c>
      <c r="N102" s="13">
        <f>IF('Données projet'!$A$36&gt;35,N101+M102-V101,IF(A102&lt;'Données projet'!$A$36,$K$205^A102,IF(A102='Données projet'!$A$36,'Données projet'!$B$36,N101+M102-V101)))</f>
        <v>277.19999999999987</v>
      </c>
      <c r="O102" s="13">
        <f>N102*VLOOKUP('Données projet'!$B$9,Paramètres!$A$1:$I$89,3,0)*VLOOKUP('Données projet'!$B$9,Paramètres!$A$1:$I$89,5,0)</f>
        <v>281.0807999999999</v>
      </c>
      <c r="P102" s="13">
        <f t="shared" si="87"/>
        <v>67.19536175254612</v>
      </c>
      <c r="Q102" s="20">
        <f t="shared" si="107"/>
        <v>606.58098171901759</v>
      </c>
      <c r="R102" s="59">
        <f t="shared" si="55"/>
        <v>899.91431505235096</v>
      </c>
      <c r="S102" s="59">
        <f ca="1">AVERAGE(OFFSET($R$3,0,0,'Données projet'!$E$9+1,1))-AVERAGE(OFFSET($H$3,0,0,'Données projet'!$E$9+1,1))</f>
        <v>272.93635583300755</v>
      </c>
      <c r="T102" s="59">
        <f t="shared" si="88"/>
        <v>179.56041631665812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0.95246471312117098</v>
      </c>
      <c r="AA102" s="21">
        <f>EXP(-LN(2)/25)*AA101+(1-EXP(-LN(2)/25))/(LN(2)/25)*Calculateur!V102*Calculateur!X102*VLOOKUP('Données projet'!$B$9,Paramètres!$A$1:$I$89,3,0)*0.475*44/12</f>
        <v>0.69407731060144406</v>
      </c>
      <c r="AB102" s="21">
        <f>EXP(-LN(2)/2)*AB101+(1-EXP(-LN(2)/2))/(LN(2)/2)*V102*Y102*VLOOKUP('Données projet'!$B$9,Paramètres!$A$1:$I$89,3,0)*0.475*44/12</f>
        <v>2.8149716715933606E-10</v>
      </c>
      <c r="AC102" s="22">
        <f t="shared" si="57"/>
        <v>1.6465420240041124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4.8</v>
      </c>
      <c r="AI102" s="13">
        <f>IF('Données projet'!$A$62&gt;35,AI101+AH102-AQ101,IF(A102&lt;'Données projet'!$A$62,$AF$205^A102,IF(A102='Données projet'!$A$62,'Données projet'!$B$62,AI101+AH102-AQ101)))</f>
        <v>277.19999999999987</v>
      </c>
      <c r="AJ102" s="13">
        <f>AI102*VLOOKUP('Données projet'!$B$10,Paramètres!$A$1:$I$89,3,0)*VLOOKUP('Données projet'!$B$10,Paramètres!$A$1:$I$89,5,0)</f>
        <v>250.8105599999999</v>
      </c>
      <c r="AK102" s="13">
        <f t="shared" si="89"/>
        <v>60.75947736410869</v>
      </c>
      <c r="AL102" s="20">
        <f t="shared" si="58"/>
        <v>542.65114840915578</v>
      </c>
      <c r="AM102" s="59">
        <f t="shared" si="59"/>
        <v>835.98448174248915</v>
      </c>
      <c r="AN102" s="59">
        <f ca="1">AVERAGE(OFFSET($AM$3,0,0,'Données projet'!$E$10+1,1))-AVERAGE(OFFSET($H$3,0,0,'Données projet'!$E$10+1,1))</f>
        <v>237.64646718446005</v>
      </c>
      <c r="AO102" s="59">
        <f t="shared" si="90"/>
        <v>156.67965022779907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0.84989159016966009</v>
      </c>
      <c r="AV102" s="21">
        <f>EXP(-LN(2)/25)*AV101+(1-EXP(-LN(2)/25))/(LN(2)/25)*Calculateur!AQ102*Calculateur!AS102*VLOOKUP('Données projet'!$B$10,Paramètres!$A$1:$I$89,3,0)*0.475*44/12</f>
        <v>0.61933052330590388</v>
      </c>
      <c r="AW102" s="21">
        <f>EXP(-LN(2)/2)*AW101+(1-EXP(-LN(2)/2))/(LN(2)/2)*AQ102*AT102*VLOOKUP('Données projet'!$B$10,Paramètres!$A$1:$I$89,3,0)*0.475*44/12</f>
        <v>2.5118208761909979E-10</v>
      </c>
      <c r="AX102" s="21">
        <f t="shared" si="60"/>
        <v>1.469222113726746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-1.7053025658242404E-13</v>
      </c>
      <c r="BE102" s="13">
        <f>BD102*VLOOKUP('Données projet'!$B$11,Paramètres!$A$1:$I$89,3,0)*VLOOKUP('Données projet'!$B$11,Paramètres!$A$1:$I$89,5,0)</f>
        <v>-1.1173142411280423E-13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172.9177436650786</v>
      </c>
      <c r="BJ102" s="59">
        <f t="shared" si="92"/>
        <v>173.73622806725865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0.4237876326606671</v>
      </c>
      <c r="BQ102" s="21">
        <f>EXP(-LN(2)/25)*BQ101+(1-EXP(-LN(2)/25))/(LN(2)/25)*Calculateur!BL102*Calculateur!BN102*VLOOKUP('Données projet'!$B$11,Paramètres!$A$1:$I$89,3,0)*0.475*44/12</f>
        <v>1.6852109192995428</v>
      </c>
      <c r="BR102" s="21">
        <f>EXP(-LN(2)/2)*BR101+(1-EXP(-LN(2)/2))/(LN(2)/2)*BL102*BO102*VLOOKUP('Données projet'!$B$11,Paramètres!$A$1:$I$89,3,0)*0.475*44/12</f>
        <v>3.4648743810966537E-10</v>
      </c>
      <c r="BS102" s="22">
        <f t="shared" si="63"/>
        <v>2.108998552306697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289.07218105343333</v>
      </c>
      <c r="CE102" s="59">
        <f t="shared" si="94"/>
        <v>217.57508587672368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0.30950084347870538</v>
      </c>
      <c r="CL102" s="21">
        <f>EXP(-LN(2)/25)*CL101+(1-EXP(-LN(2)/25))/(LN(2)/25)*Calculateur!CG102*Calculateur!CI102*VLOOKUP('Données projet'!$B$12,Paramètres!$A$1:$I$89,3,0)*0.475*44/12</f>
        <v>0.97029552953691578</v>
      </c>
      <c r="CM102" s="21">
        <f>EXP(-LN(2)/2)*CM101+(1-EXP(-LN(2)/2))/(LN(2)/2)*CG102*CJ102*VLOOKUP('Données projet'!$B$12,Paramètres!$A$1:$I$89,3,0)*0.475*44/12</f>
        <v>3.1773583143798356E-10</v>
      </c>
      <c r="CN102" s="22">
        <f t="shared" si="66"/>
        <v>1.2797963733333571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282</v>
      </c>
      <c r="L103" s="12">
        <f>VLOOKUP(A103,'Données projet'!$A$35:$I$55,9,0)</f>
        <v>4.8</v>
      </c>
      <c r="M103" s="12">
        <f t="array" ref="M103">INDEX(L:L,MIN(IF(ISNUMBER(L103:L299),ROW(L103:L299),"")))</f>
        <v>4.8</v>
      </c>
      <c r="N103" s="13">
        <f>IF('Données projet'!$A$36&gt;35,N102+M103-V102,IF(A103&lt;'Données projet'!$A$36,$K$205^A103,IF(A103='Données projet'!$A$36,'Données projet'!$B$36,N102+M103-V102)))</f>
        <v>281.99999999999989</v>
      </c>
      <c r="O103" s="13">
        <f>N103*VLOOKUP('Données projet'!$B$9,Paramètres!$A$1:$I$89,3,0)*VLOOKUP('Données projet'!$B$9,Paramètres!$A$1:$I$89,5,0)</f>
        <v>285.94799999999992</v>
      </c>
      <c r="P103" s="13">
        <f t="shared" si="87"/>
        <v>68.222450362989363</v>
      </c>
      <c r="Q103" s="20">
        <f t="shared" si="107"/>
        <v>616.84686771553959</v>
      </c>
      <c r="R103" s="59">
        <f t="shared" si="55"/>
        <v>910.18020104887296</v>
      </c>
      <c r="S103" s="59">
        <f ca="1">AVERAGE(OFFSET($R$3,0,0,'Données projet'!$E$9+1,1))-AVERAGE(OFFSET($H$3,0,0,'Données projet'!$E$9+1,1))</f>
        <v>272.93635583300755</v>
      </c>
      <c r="T103" s="59">
        <f t="shared" si="88"/>
        <v>179.56041631665812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282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0.93378746104297616</v>
      </c>
      <c r="AA103" s="21">
        <f>EXP(-LN(2)/25)*AA102+(1-EXP(-LN(2)/25))/(LN(2)/25)*Calculateur!V103*Calculateur!X103*VLOOKUP('Données projet'!$B$9,Paramètres!$A$1:$I$89,3,0)*0.475*44/12</f>
        <v>0.67509773004310814</v>
      </c>
      <c r="AB103" s="21">
        <f>EXP(-LN(2)/2)*AB102+(1-EXP(-LN(2)/2))/(LN(2)/2)*V103*Y103*VLOOKUP('Données projet'!$B$9,Paramètres!$A$1:$I$89,3,0)*0.475*44/12</f>
        <v>1.9904855578316964E-10</v>
      </c>
      <c r="AC103" s="22">
        <f t="shared" si="57"/>
        <v>1.6088851912851327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4.8</v>
      </c>
      <c r="AH103" s="12">
        <f t="array" ref="AH103">INDEX(AG:AG,MIN(IF(ISNUMBER(AG103:AG299),ROW(AG103:AG299),"")))</f>
        <v>4.8</v>
      </c>
      <c r="AI103" s="13">
        <f>IF('Données projet'!$A$62&gt;35,AI102+AH103-AQ102,IF(A103&lt;'Données projet'!$A$62,$AF$205^A103,IF(A103='Données projet'!$A$62,'Données projet'!$B$62,AI102+AH103-AQ102)))</f>
        <v>281.99999999999989</v>
      </c>
      <c r="AJ103" s="13">
        <f>AI103*VLOOKUP('Données projet'!$B$10,Paramètres!$A$1:$I$89,3,0)*VLOOKUP('Données projet'!$B$10,Paramètres!$A$1:$I$89,5,0)</f>
        <v>255.15359999999987</v>
      </c>
      <c r="AK103" s="13">
        <f t="shared" si="89"/>
        <v>61.688192762754376</v>
      </c>
      <c r="AL103" s="20">
        <f t="shared" si="58"/>
        <v>551.83278906179692</v>
      </c>
      <c r="AM103" s="59">
        <f t="shared" si="59"/>
        <v>845.16612239513029</v>
      </c>
      <c r="AN103" s="59">
        <f ca="1">AVERAGE(OFFSET($AM$3,0,0,'Données projet'!$E$10+1,1))-AVERAGE(OFFSET($H$3,0,0,'Données projet'!$E$10+1,1))</f>
        <v>237.64646718446005</v>
      </c>
      <c r="AO103" s="59">
        <f t="shared" si="90"/>
        <v>156.67965022779907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282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0.83322573446911707</v>
      </c>
      <c r="AV103" s="21">
        <f>EXP(-LN(2)/25)*AV102+(1-EXP(-LN(2)/25))/(LN(2)/25)*Calculateur!AQ103*Calculateur!AS103*VLOOKUP('Données projet'!$B$10,Paramètres!$A$1:$I$89,3,0)*0.475*44/12</f>
        <v>0.60239489757692721</v>
      </c>
      <c r="AW103" s="21">
        <f>EXP(-LN(2)/2)*AW102+(1-EXP(-LN(2)/2))/(LN(2)/2)*AQ103*AT103*VLOOKUP('Données projet'!$B$10,Paramètres!$A$1:$I$89,3,0)*0.475*44/12</f>
        <v>1.77612557468059E-10</v>
      </c>
      <c r="AX103" s="21">
        <f t="shared" si="60"/>
        <v>1.4356206322236569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-1.7053025658242404E-13</v>
      </c>
      <c r="BE103" s="13">
        <f>BD103*VLOOKUP('Données projet'!$B$11,Paramètres!$A$1:$I$89,3,0)*VLOOKUP('Données projet'!$B$11,Paramètres!$A$1:$I$89,5,0)</f>
        <v>-1.1173142411280423E-13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172.9177436650786</v>
      </c>
      <c r="BJ103" s="59">
        <f t="shared" si="92"/>
        <v>173.73622806725865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0.41547741566912405</v>
      </c>
      <c r="BQ103" s="21">
        <f>EXP(-LN(2)/25)*BQ102+(1-EXP(-LN(2)/25))/(LN(2)/25)*Calculateur!BL103*Calculateur!BN103*VLOOKUP('Données projet'!$B$11,Paramètres!$A$1:$I$89,3,0)*0.475*44/12</f>
        <v>1.6391287380899062</v>
      </c>
      <c r="BR103" s="21">
        <f>EXP(-LN(2)/2)*BR102+(1-EXP(-LN(2)/2))/(LN(2)/2)*BL103*BO103*VLOOKUP('Données projet'!$B$11,Paramètres!$A$1:$I$89,3,0)*0.475*44/12</f>
        <v>2.4500361708329858E-10</v>
      </c>
      <c r="BS103" s="22">
        <f t="shared" si="63"/>
        <v>2.0546061540040337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289.07218105343333</v>
      </c>
      <c r="CE103" s="59">
        <f t="shared" si="94"/>
        <v>217.57508587672368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0.30343172071496233</v>
      </c>
      <c r="CL103" s="21">
        <f>EXP(-LN(2)/25)*CL102+(1-EXP(-LN(2)/25))/(LN(2)/25)*Calculateur!CG103*Calculateur!CI103*VLOOKUP('Données projet'!$B$12,Paramètres!$A$1:$I$89,3,0)*0.475*44/12</f>
        <v>0.94376274725610454</v>
      </c>
      <c r="CM103" s="21">
        <f>EXP(-LN(2)/2)*CM102+(1-EXP(-LN(2)/2))/(LN(2)/2)*CG103*CJ103*VLOOKUP('Données projet'!$B$12,Paramètres!$A$1:$I$89,3,0)*0.475*44/12</f>
        <v>2.2467316103574399E-10</v>
      </c>
      <c r="CN103" s="22">
        <f t="shared" si="66"/>
        <v>1.2471944681957401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-1.1527845344971866E-13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272.93635583300755</v>
      </c>
      <c r="T104" s="59">
        <f t="shared" si="88"/>
        <v>179.56041631665812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0.91547645848603587</v>
      </c>
      <c r="AA104" s="21">
        <f>EXP(-LN(2)/25)*AA103+(1-EXP(-LN(2)/25))/(LN(2)/25)*Calculateur!V104*Calculateur!X104*VLOOKUP('Données projet'!$B$9,Paramètres!$A$1:$I$89,3,0)*0.475*44/12</f>
        <v>0.65663714711323262</v>
      </c>
      <c r="AB104" s="21">
        <f>EXP(-LN(2)/2)*AB103+(1-EXP(-LN(2)/2))/(LN(2)/2)*V104*Y104*VLOOKUP('Données projet'!$B$9,Paramètres!$A$1:$I$89,3,0)*0.475*44/12</f>
        <v>1.4074858357966803E-10</v>
      </c>
      <c r="AC104" s="22">
        <f t="shared" si="57"/>
        <v>1.5721136057400169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-1.0286385077051818E-13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237.64646718446005</v>
      </c>
      <c r="AO104" s="59">
        <f t="shared" si="90"/>
        <v>156.67965022779907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0.81688668603369341</v>
      </c>
      <c r="AV104" s="21">
        <f>EXP(-LN(2)/25)*AV103+(1-EXP(-LN(2)/25))/(LN(2)/25)*Calculateur!AQ104*Calculateur!AS104*VLOOKUP('Données projet'!$B$10,Paramètres!$A$1:$I$89,3,0)*0.475*44/12</f>
        <v>0.58592237742411524</v>
      </c>
      <c r="AW104" s="21">
        <f>EXP(-LN(2)/2)*AW103+(1-EXP(-LN(2)/2))/(LN(2)/2)*AQ104*AT104*VLOOKUP('Données projet'!$B$10,Paramètres!$A$1:$I$89,3,0)*0.475*44/12</f>
        <v>1.2559104380954989E-10</v>
      </c>
      <c r="AX104" s="21">
        <f t="shared" si="60"/>
        <v>1.4028090635833999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-1.7053025658242404E-13</v>
      </c>
      <c r="BE104" s="13">
        <f>BD104*VLOOKUP('Données projet'!$B$11,Paramètres!$A$1:$I$89,3,0)*VLOOKUP('Données projet'!$B$11,Paramètres!$A$1:$I$89,5,0)</f>
        <v>-1.1173142411280423E-13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172.9177436650786</v>
      </c>
      <c r="BJ104" s="59">
        <f t="shared" si="92"/>
        <v>173.73622806725865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0.40733015696405334</v>
      </c>
      <c r="BQ104" s="21">
        <f>EXP(-LN(2)/25)*BQ103+(1-EXP(-LN(2)/25))/(LN(2)/25)*Calculateur!BL104*Calculateur!BN104*VLOOKUP('Données projet'!$B$11,Paramètres!$A$1:$I$89,3,0)*0.475*44/12</f>
        <v>1.5943066765488036</v>
      </c>
      <c r="BR104" s="21">
        <f>EXP(-LN(2)/2)*BR103+(1-EXP(-LN(2)/2))/(LN(2)/2)*BL104*BO104*VLOOKUP('Données projet'!$B$11,Paramètres!$A$1:$I$89,3,0)*0.475*44/12</f>
        <v>1.7324371905483269E-10</v>
      </c>
      <c r="BS104" s="22">
        <f t="shared" si="63"/>
        <v>2.0016368336861006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289.07218105343333</v>
      </c>
      <c r="CE104" s="59">
        <f t="shared" si="94"/>
        <v>217.57508587672368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0.29748160974681692</v>
      </c>
      <c r="CL104" s="21">
        <f>EXP(-LN(2)/25)*CL103+(1-EXP(-LN(2)/25))/(LN(2)/25)*Calculateur!CG104*Calculateur!CI104*VLOOKUP('Données projet'!$B$12,Paramètres!$A$1:$I$89,3,0)*0.475*44/12</f>
        <v>0.91795550530206049</v>
      </c>
      <c r="CM104" s="21">
        <f>EXP(-LN(2)/2)*CM103+(1-EXP(-LN(2)/2))/(LN(2)/2)*CG104*CJ104*VLOOKUP('Données projet'!$B$12,Paramètres!$A$1:$I$89,3,0)*0.475*44/12</f>
        <v>1.5886791571899178E-10</v>
      </c>
      <c r="CN104" s="22">
        <f t="shared" si="66"/>
        <v>1.2154371152077452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-1.1527845344971866E-13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272.93635583300755</v>
      </c>
      <c r="T105" s="59">
        <f t="shared" si="88"/>
        <v>179.56041631665812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0.89752452352062839</v>
      </c>
      <c r="AA105" s="21">
        <f>EXP(-LN(2)/25)*AA104+(1-EXP(-LN(2)/25))/(LN(2)/25)*Calculateur!V105*Calculateur!X105*VLOOKUP('Données projet'!$B$9,Paramètres!$A$1:$I$89,3,0)*0.475*44/12</f>
        <v>0.63868136979437451</v>
      </c>
      <c r="AB105" s="21">
        <f>EXP(-LN(2)/2)*AB104+(1-EXP(-LN(2)/2))/(LN(2)/2)*V105*Y105*VLOOKUP('Données projet'!$B$9,Paramètres!$A$1:$I$89,3,0)*0.475*44/12</f>
        <v>9.952427789158482E-11</v>
      </c>
      <c r="AC105" s="22">
        <f t="shared" si="57"/>
        <v>1.5362058934145273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-1.0286385077051818E-13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237.64646718446005</v>
      </c>
      <c r="AO105" s="59">
        <f t="shared" si="90"/>
        <v>156.67965022779907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0.8008680363722529</v>
      </c>
      <c r="AV105" s="21">
        <f>EXP(-LN(2)/25)*AV104+(1-EXP(-LN(2)/25))/(LN(2)/25)*Calculateur!AQ105*Calculateur!AS105*VLOOKUP('Données projet'!$B$10,Paramètres!$A$1:$I$89,3,0)*0.475*44/12</f>
        <v>0.56990029920113416</v>
      </c>
      <c r="AW105" s="21">
        <f>EXP(-LN(2)/2)*AW104+(1-EXP(-LN(2)/2))/(LN(2)/2)*AQ105*AT105*VLOOKUP('Données projet'!$B$10,Paramètres!$A$1:$I$89,3,0)*0.475*44/12</f>
        <v>8.8806278734029502E-11</v>
      </c>
      <c r="AX105" s="21">
        <f t="shared" si="60"/>
        <v>1.3707683356621934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-1.7053025658242404E-13</v>
      </c>
      <c r="BE105" s="13">
        <f>BD105*VLOOKUP('Données projet'!$B$11,Paramètres!$A$1:$I$89,3,0)*VLOOKUP('Données projet'!$B$11,Paramètres!$A$1:$I$89,5,0)</f>
        <v>-1.1173142411280423E-13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172.9177436650786</v>
      </c>
      <c r="BJ105" s="59">
        <f t="shared" si="92"/>
        <v>173.73622806725865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0.39934266103285193</v>
      </c>
      <c r="BQ105" s="21">
        <f>EXP(-LN(2)/25)*BQ104+(1-EXP(-LN(2)/25))/(LN(2)/25)*Calculateur!BL105*Calculateur!BN105*VLOOKUP('Données projet'!$B$11,Paramètres!$A$1:$I$89,3,0)*0.475*44/12</f>
        <v>1.5507102766376324</v>
      </c>
      <c r="BR105" s="21">
        <f>EXP(-LN(2)/2)*BR104+(1-EXP(-LN(2)/2))/(LN(2)/2)*BL105*BO105*VLOOKUP('Données projet'!$B$11,Paramètres!$A$1:$I$89,3,0)*0.475*44/12</f>
        <v>1.2250180854164929E-10</v>
      </c>
      <c r="BS105" s="22">
        <f t="shared" si="63"/>
        <v>1.9500529377929861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289.07218105343333</v>
      </c>
      <c r="CE105" s="59">
        <f t="shared" si="94"/>
        <v>217.57508587672368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0.2916481768255475</v>
      </c>
      <c r="CL105" s="21">
        <f>EXP(-LN(2)/25)*CL104+(1-EXP(-LN(2)/25))/(LN(2)/25)*Calculateur!CG105*Calculateur!CI105*VLOOKUP('Données projet'!$B$12,Paramètres!$A$1:$I$89,3,0)*0.475*44/12</f>
        <v>0.89285396373639359</v>
      </c>
      <c r="CM105" s="21">
        <f>EXP(-LN(2)/2)*CM104+(1-EXP(-LN(2)/2))/(LN(2)/2)*CG105*CJ105*VLOOKUP('Données projet'!$B$12,Paramètres!$A$1:$I$89,3,0)*0.475*44/12</f>
        <v>1.12336580517872E-10</v>
      </c>
      <c r="CN105" s="22">
        <f t="shared" si="66"/>
        <v>1.1845021406742777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-1.1527845344971866E-13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272.93635583300755</v>
      </c>
      <c r="T106" s="59">
        <f t="shared" si="88"/>
        <v>179.56041631665812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0.8799246150502934</v>
      </c>
      <c r="AA106" s="21">
        <f>EXP(-LN(2)/25)*AA105+(1-EXP(-LN(2)/25))/(LN(2)/25)*Calculateur!V106*Calculateur!X106*VLOOKUP('Données projet'!$B$9,Paramètres!$A$1:$I$89,3,0)*0.475*44/12</f>
        <v>0.62121659415055386</v>
      </c>
      <c r="AB106" s="21">
        <f>EXP(-LN(2)/2)*AB105+(1-EXP(-LN(2)/2))/(LN(2)/2)*V106*Y106*VLOOKUP('Données projet'!$B$9,Paramètres!$A$1:$I$89,3,0)*0.475*44/12</f>
        <v>7.0374291789834016E-11</v>
      </c>
      <c r="AC106" s="22">
        <f t="shared" si="57"/>
        <v>1.5011412092712217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-1.0286385077051818E-13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237.64646718446005</v>
      </c>
      <c r="AO106" s="59">
        <f t="shared" si="90"/>
        <v>156.67965022779907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0.78516350266026169</v>
      </c>
      <c r="AV106" s="21">
        <f>EXP(-LN(2)/25)*AV105+(1-EXP(-LN(2)/25))/(LN(2)/25)*Calculateur!AQ106*Calculateur!AS106*VLOOKUP('Données projet'!$B$10,Paramètres!$A$1:$I$89,3,0)*0.475*44/12</f>
        <v>0.55431634554972498</v>
      </c>
      <c r="AW106" s="21">
        <f>EXP(-LN(2)/2)*AW105+(1-EXP(-LN(2)/2))/(LN(2)/2)*AQ106*AT106*VLOOKUP('Données projet'!$B$10,Paramètres!$A$1:$I$89,3,0)*0.475*44/12</f>
        <v>6.2795521904774947E-11</v>
      </c>
      <c r="AX106" s="21">
        <f t="shared" si="60"/>
        <v>1.3394798482727821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-1.7053025658242404E-13</v>
      </c>
      <c r="BE106" s="13">
        <f>BD106*VLOOKUP('Données projet'!$B$11,Paramètres!$A$1:$I$89,3,0)*VLOOKUP('Données projet'!$B$11,Paramètres!$A$1:$I$89,5,0)</f>
        <v>-1.1173142411280423E-13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172.9177436650786</v>
      </c>
      <c r="BJ106" s="59">
        <f t="shared" si="92"/>
        <v>173.73622806725865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0.39151179502496991</v>
      </c>
      <c r="BQ106" s="21">
        <f>EXP(-LN(2)/25)*BQ105+(1-EXP(-LN(2)/25))/(LN(2)/25)*Calculateur!BL106*Calculateur!BN106*VLOOKUP('Données projet'!$B$11,Paramètres!$A$1:$I$89,3,0)*0.475*44/12</f>
        <v>1.5083060225746672</v>
      </c>
      <c r="BR106" s="21">
        <f>EXP(-LN(2)/2)*BR105+(1-EXP(-LN(2)/2))/(LN(2)/2)*BL106*BO106*VLOOKUP('Données projet'!$B$11,Paramètres!$A$1:$I$89,3,0)*0.475*44/12</f>
        <v>8.6621859527416344E-11</v>
      </c>
      <c r="BS106" s="22">
        <f t="shared" si="63"/>
        <v>1.8998178176862588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289.07218105343333</v>
      </c>
      <c r="CE106" s="59">
        <f t="shared" si="94"/>
        <v>217.57508587672368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0.28592913396582142</v>
      </c>
      <c r="CL106" s="21">
        <f>EXP(-LN(2)/25)*CL105+(1-EXP(-LN(2)/25))/(LN(2)/25)*Calculateur!CG106*Calculateur!CI106*VLOOKUP('Données projet'!$B$12,Paramètres!$A$1:$I$89,3,0)*0.475*44/12</f>
        <v>0.86843882514487258</v>
      </c>
      <c r="CM106" s="21">
        <f>EXP(-LN(2)/2)*CM105+(1-EXP(-LN(2)/2))/(LN(2)/2)*CG106*CJ106*VLOOKUP('Données projet'!$B$12,Paramètres!$A$1:$I$89,3,0)*0.475*44/12</f>
        <v>7.9433957859495891E-11</v>
      </c>
      <c r="CN106" s="22">
        <f t="shared" si="66"/>
        <v>1.1543679591901281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-1.1527845344971866E-13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272.93635583300755</v>
      </c>
      <c r="T107" s="59">
        <f t="shared" si="88"/>
        <v>179.56041631665812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0.8626698300501775</v>
      </c>
      <c r="AA107" s="21">
        <f>EXP(-LN(2)/25)*AA106+(1-EXP(-LN(2)/25))/(LN(2)/25)*Calculateur!V107*Calculateur!X107*VLOOKUP('Données projet'!$B$9,Paramètres!$A$1:$I$89,3,0)*0.475*44/12</f>
        <v>0.60422939371514606</v>
      </c>
      <c r="AB107" s="21">
        <f>EXP(-LN(2)/2)*AB106+(1-EXP(-LN(2)/2))/(LN(2)/2)*V107*Y107*VLOOKUP('Données projet'!$B$9,Paramètres!$A$1:$I$89,3,0)*0.475*44/12</f>
        <v>4.976213894579241E-11</v>
      </c>
      <c r="AC107" s="22">
        <f t="shared" si="57"/>
        <v>1.4668992238150858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-1.0286385077051818E-13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237.64646718446005</v>
      </c>
      <c r="AO107" s="59">
        <f t="shared" si="90"/>
        <v>156.67965022779907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0.76976692527554291</v>
      </c>
      <c r="AV107" s="21">
        <f>EXP(-LN(2)/25)*AV106+(1-EXP(-LN(2)/25))/(LN(2)/25)*Calculateur!AQ107*Calculateur!AS107*VLOOKUP('Données projet'!$B$10,Paramètres!$A$1:$I$89,3,0)*0.475*44/12</f>
        <v>0.53915853593043805</v>
      </c>
      <c r="AW107" s="21">
        <f>EXP(-LN(2)/2)*AW106+(1-EXP(-LN(2)/2))/(LN(2)/2)*AQ107*AT107*VLOOKUP('Données projet'!$B$10,Paramètres!$A$1:$I$89,3,0)*0.475*44/12</f>
        <v>4.4403139367014751E-11</v>
      </c>
      <c r="AX107" s="21">
        <f t="shared" si="60"/>
        <v>1.308925461250384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-1.7053025658242404E-13</v>
      </c>
      <c r="BE107" s="13">
        <f>BD107*VLOOKUP('Données projet'!$B$11,Paramètres!$A$1:$I$89,3,0)*VLOOKUP('Données projet'!$B$11,Paramètres!$A$1:$I$89,5,0)</f>
        <v>-1.1173142411280423E-13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172.9177436650786</v>
      </c>
      <c r="BJ107" s="59">
        <f t="shared" si="92"/>
        <v>173.73622806725865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0.38383448752314581</v>
      </c>
      <c r="BQ107" s="21">
        <f>EXP(-LN(2)/25)*BQ106+(1-EXP(-LN(2)/25))/(LN(2)/25)*Calculateur!BL107*Calculateur!BN107*VLOOKUP('Données projet'!$B$11,Paramètres!$A$1:$I$89,3,0)*0.475*44/12</f>
        <v>1.4670613150689964</v>
      </c>
      <c r="BR107" s="21">
        <f>EXP(-LN(2)/2)*BR106+(1-EXP(-LN(2)/2))/(LN(2)/2)*BL107*BO107*VLOOKUP('Données projet'!$B$11,Paramètres!$A$1:$I$89,3,0)*0.475*44/12</f>
        <v>6.1250904270824645E-11</v>
      </c>
      <c r="BS107" s="22">
        <f t="shared" si="63"/>
        <v>1.8508958026533933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289.07218105343333</v>
      </c>
      <c r="CE107" s="59">
        <f t="shared" si="94"/>
        <v>217.57508587672368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0.28032223804830286</v>
      </c>
      <c r="CL107" s="21">
        <f>EXP(-LN(2)/25)*CL106+(1-EXP(-LN(2)/25))/(LN(2)/25)*Calculateur!CG107*Calculateur!CI107*VLOOKUP('Données projet'!$B$12,Paramètres!$A$1:$I$89,3,0)*0.475*44/12</f>
        <v>0.84469131980207313</v>
      </c>
      <c r="CM107" s="21">
        <f>EXP(-LN(2)/2)*CM106+(1-EXP(-LN(2)/2))/(LN(2)/2)*CG107*CJ107*VLOOKUP('Données projet'!$B$12,Paramètres!$A$1:$I$89,3,0)*0.475*44/12</f>
        <v>5.6168290258935998E-11</v>
      </c>
      <c r="CN107" s="22">
        <f t="shared" si="66"/>
        <v>1.1250135579065441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-1.1527845344971866E-13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272.93635583300755</v>
      </c>
      <c r="T108" s="59">
        <f t="shared" si="88"/>
        <v>179.56041631665812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0.84575340085953421</v>
      </c>
      <c r="AA108" s="21">
        <f>EXP(-LN(2)/25)*AA107+(1-EXP(-LN(2)/25))/(LN(2)/25)*Calculateur!V108*Calculateur!X108*VLOOKUP('Données projet'!$B$9,Paramètres!$A$1:$I$89,3,0)*0.475*44/12</f>
        <v>0.5877067091689625</v>
      </c>
      <c r="AB108" s="21">
        <f>EXP(-LN(2)/2)*AB107+(1-EXP(-LN(2)/2))/(LN(2)/2)*V108*Y108*VLOOKUP('Données projet'!$B$9,Paramètres!$A$1:$I$89,3,0)*0.475*44/12</f>
        <v>3.5187145894917008E-11</v>
      </c>
      <c r="AC108" s="22">
        <f t="shared" si="57"/>
        <v>1.4334601100636839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-1.0286385077051818E-13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237.64646718446005</v>
      </c>
      <c r="AO108" s="59">
        <f t="shared" si="90"/>
        <v>156.67965022779907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0.75467226538235355</v>
      </c>
      <c r="AV108" s="21">
        <f>EXP(-LN(2)/25)*AV107+(1-EXP(-LN(2)/25))/(LN(2)/25)*Calculateur!AQ108*Calculateur!AS108*VLOOKUP('Données projet'!$B$10,Paramètres!$A$1:$I$89,3,0)*0.475*44/12</f>
        <v>0.52441521741230512</v>
      </c>
      <c r="AW108" s="21">
        <f>EXP(-LN(2)/2)*AW107+(1-EXP(-LN(2)/2))/(LN(2)/2)*AQ108*AT108*VLOOKUP('Données projet'!$B$10,Paramètres!$A$1:$I$89,3,0)*0.475*44/12</f>
        <v>3.1397760952387474E-11</v>
      </c>
      <c r="AX108" s="21">
        <f t="shared" si="60"/>
        <v>1.2790874828260563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-1.7053025658242404E-13</v>
      </c>
      <c r="BE108" s="13">
        <f>BD108*VLOOKUP('Données projet'!$B$11,Paramètres!$A$1:$I$89,3,0)*VLOOKUP('Données projet'!$B$11,Paramètres!$A$1:$I$89,5,0)</f>
        <v>-1.1173142411280423E-13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172.9177436650786</v>
      </c>
      <c r="BJ108" s="59">
        <f t="shared" si="92"/>
        <v>173.73622806725865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0.3763077273387373</v>
      </c>
      <c r="BQ108" s="21">
        <f>EXP(-LN(2)/25)*BQ107+(1-EXP(-LN(2)/25))/(LN(2)/25)*Calculateur!BL108*Calculateur!BN108*VLOOKUP('Données projet'!$B$11,Paramètres!$A$1:$I$89,3,0)*0.475*44/12</f>
        <v>1.4269444462590331</v>
      </c>
      <c r="BR108" s="21">
        <f>EXP(-LN(2)/2)*BR107+(1-EXP(-LN(2)/2))/(LN(2)/2)*BL108*BO108*VLOOKUP('Données projet'!$B$11,Paramètres!$A$1:$I$89,3,0)*0.475*44/12</f>
        <v>4.3310929763708172E-11</v>
      </c>
      <c r="BS108" s="22">
        <f t="shared" si="63"/>
        <v>1.8032521736410814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289.07218105343333</v>
      </c>
      <c r="CE108" s="59">
        <f t="shared" si="94"/>
        <v>217.57508587672368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0.274825289939858</v>
      </c>
      <c r="CL108" s="21">
        <f>EXP(-LN(2)/25)*CL107+(1-EXP(-LN(2)/25))/(LN(2)/25)*Calculateur!CG108*Calculateur!CI108*VLOOKUP('Données projet'!$B$12,Paramètres!$A$1:$I$89,3,0)*0.475*44/12</f>
        <v>0.82159319124169949</v>
      </c>
      <c r="CM108" s="21">
        <f>EXP(-LN(2)/2)*CM107+(1-EXP(-LN(2)/2))/(LN(2)/2)*CG108*CJ108*VLOOKUP('Données projet'!$B$12,Paramètres!$A$1:$I$89,3,0)*0.475*44/12</f>
        <v>3.9716978929747945E-11</v>
      </c>
      <c r="CN108" s="22">
        <f t="shared" si="66"/>
        <v>1.0964184812212745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-1.1527845344971866E-13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272.93635583300755</v>
      </c>
      <c r="T109" s="59">
        <f t="shared" si="88"/>
        <v>179.56041631665812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0.82916869252731651</v>
      </c>
      <c r="AA109" s="21">
        <f>EXP(-LN(2)/25)*AA108+(1-EXP(-LN(2)/25))/(LN(2)/25)*Calculateur!V109*Calculateur!X109*VLOOKUP('Données projet'!$B$9,Paramètres!$A$1:$I$89,3,0)*0.475*44/12</f>
        <v>0.57163583830058462</v>
      </c>
      <c r="AB109" s="21">
        <f>EXP(-LN(2)/2)*AB108+(1-EXP(-LN(2)/2))/(LN(2)/2)*V109*Y109*VLOOKUP('Données projet'!$B$9,Paramètres!$A$1:$I$89,3,0)*0.475*44/12</f>
        <v>2.4881069472896205E-11</v>
      </c>
      <c r="AC109" s="22">
        <f t="shared" si="57"/>
        <v>1.4008045308527821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-1.0286385077051818E-13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237.64646718446005</v>
      </c>
      <c r="AO109" s="59">
        <f t="shared" si="90"/>
        <v>156.67965022779907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0.73987360256283619</v>
      </c>
      <c r="AV109" s="21">
        <f>EXP(-LN(2)/25)*AV108+(1-EXP(-LN(2)/25))/(LN(2)/25)*Calculateur!AQ109*Calculateur!AS109*VLOOKUP('Données projet'!$B$10,Paramètres!$A$1:$I$89,3,0)*0.475*44/12</f>
        <v>0.51007505571436795</v>
      </c>
      <c r="AW109" s="21">
        <f>EXP(-LN(2)/2)*AW108+(1-EXP(-LN(2)/2))/(LN(2)/2)*AQ109*AT109*VLOOKUP('Données projet'!$B$10,Paramètres!$A$1:$I$89,3,0)*0.475*44/12</f>
        <v>2.2201569683507375E-11</v>
      </c>
      <c r="AX109" s="21">
        <f t="shared" si="60"/>
        <v>1.2499486582994057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-1.7053025658242404E-13</v>
      </c>
      <c r="BE109" s="13">
        <f>BD109*VLOOKUP('Données projet'!$B$11,Paramètres!$A$1:$I$89,3,0)*VLOOKUP('Données projet'!$B$11,Paramètres!$A$1:$I$89,5,0)</f>
        <v>-1.1173142411280423E-13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172.9177436650786</v>
      </c>
      <c r="BJ109" s="59">
        <f t="shared" si="92"/>
        <v>173.73622806725865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0.36892856233067461</v>
      </c>
      <c r="BQ109" s="21">
        <f>EXP(-LN(2)/25)*BQ108+(1-EXP(-LN(2)/25))/(LN(2)/25)*Calculateur!BL109*Calculateur!BN109*VLOOKUP('Données projet'!$B$11,Paramètres!$A$1:$I$89,3,0)*0.475*44/12</f>
        <v>1.3879245753363327</v>
      </c>
      <c r="BR109" s="21">
        <f>EXP(-LN(2)/2)*BR108+(1-EXP(-LN(2)/2))/(LN(2)/2)*BL109*BO109*VLOOKUP('Données projet'!$B$11,Paramètres!$A$1:$I$89,3,0)*0.475*44/12</f>
        <v>3.0625452135412323E-11</v>
      </c>
      <c r="BS109" s="22">
        <f t="shared" si="63"/>
        <v>1.7568531376976328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289.07218105343333</v>
      </c>
      <c r="CE109" s="59">
        <f t="shared" si="94"/>
        <v>217.57508587672368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0.26943613363101249</v>
      </c>
      <c r="CL109" s="21">
        <f>EXP(-LN(2)/25)*CL108+(1-EXP(-LN(2)/25))/(LN(2)/25)*Calculateur!CG109*Calculateur!CI109*VLOOKUP('Données projet'!$B$12,Paramètres!$A$1:$I$89,3,0)*0.475*44/12</f>
        <v>0.79912668222148708</v>
      </c>
      <c r="CM109" s="21">
        <f>EXP(-LN(2)/2)*CM108+(1-EXP(-LN(2)/2))/(LN(2)/2)*CG109*CJ109*VLOOKUP('Données projet'!$B$12,Paramètres!$A$1:$I$89,3,0)*0.475*44/12</f>
        <v>2.8084145129467999E-11</v>
      </c>
      <c r="CN109" s="22">
        <f t="shared" si="66"/>
        <v>1.0685628158805838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-1.1527845344971866E-13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272.93635583300755</v>
      </c>
      <c r="T110" s="59">
        <f t="shared" si="88"/>
        <v>179.56041631665812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0.81290920020982027</v>
      </c>
      <c r="AA110" s="21">
        <f>EXP(-LN(2)/25)*AA109+(1-EXP(-LN(2)/25))/(LN(2)/25)*Calculateur!V110*Calculateur!X110*VLOOKUP('Données projet'!$B$9,Paramètres!$A$1:$I$89,3,0)*0.475*44/12</f>
        <v>0.55600442624123292</v>
      </c>
      <c r="AB110" s="21">
        <f>EXP(-LN(2)/2)*AB109+(1-EXP(-LN(2)/2))/(LN(2)/2)*V110*Y110*VLOOKUP('Données projet'!$B$9,Paramètres!$A$1:$I$89,3,0)*0.475*44/12</f>
        <v>1.7593572947458504E-11</v>
      </c>
      <c r="AC110" s="22">
        <f t="shared" si="57"/>
        <v>1.3689136264686468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-1.0286385077051818E-13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237.64646718446005</v>
      </c>
      <c r="AO110" s="59">
        <f t="shared" si="90"/>
        <v>156.67965022779907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0.72536513249491652</v>
      </c>
      <c r="AV110" s="21">
        <f>EXP(-LN(2)/25)*AV109+(1-EXP(-LN(2)/25))/(LN(2)/25)*Calculateur!AQ110*Calculateur!AS110*VLOOKUP('Données projet'!$B$10,Paramètres!$A$1:$I$89,3,0)*0.475*44/12</f>
        <v>0.49612702649217716</v>
      </c>
      <c r="AW110" s="21">
        <f>EXP(-LN(2)/2)*AW109+(1-EXP(-LN(2)/2))/(LN(2)/2)*AQ110*AT110*VLOOKUP('Données projet'!$B$10,Paramètres!$A$1:$I$89,3,0)*0.475*44/12</f>
        <v>1.5698880476193737E-11</v>
      </c>
      <c r="AX110" s="21">
        <f t="shared" si="60"/>
        <v>1.2214921590027925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-1.7053025658242404E-13</v>
      </c>
      <c r="BE110" s="13">
        <f>BD110*VLOOKUP('Données projet'!$B$11,Paramètres!$A$1:$I$89,3,0)*VLOOKUP('Données projet'!$B$11,Paramètres!$A$1:$I$89,5,0)</f>
        <v>-1.1173142411280423E-13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172.9177436650786</v>
      </c>
      <c r="BJ110" s="59">
        <f t="shared" si="92"/>
        <v>173.73622806725865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0.36169409824757381</v>
      </c>
      <c r="BQ110" s="21">
        <f>EXP(-LN(2)/25)*BQ109+(1-EXP(-LN(2)/25))/(LN(2)/25)*Calculateur!BL110*Calculateur!BN110*VLOOKUP('Données projet'!$B$11,Paramètres!$A$1:$I$89,3,0)*0.475*44/12</f>
        <v>1.3499717048359794</v>
      </c>
      <c r="BR110" s="21">
        <f>EXP(-LN(2)/2)*BR109+(1-EXP(-LN(2)/2))/(LN(2)/2)*BL110*BO110*VLOOKUP('Données projet'!$B$11,Paramètres!$A$1:$I$89,3,0)*0.475*44/12</f>
        <v>2.1655464881854086E-11</v>
      </c>
      <c r="BS110" s="22">
        <f t="shared" si="63"/>
        <v>1.7116658031052088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289.07218105343333</v>
      </c>
      <c r="CE110" s="59">
        <f t="shared" si="94"/>
        <v>217.57508587672368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0.26415265539032262</v>
      </c>
      <c r="CL110" s="21">
        <f>EXP(-LN(2)/25)*CL109+(1-EXP(-LN(2)/25))/(LN(2)/25)*Calculateur!CG110*Calculateur!CI110*VLOOKUP('Données projet'!$B$12,Paramètres!$A$1:$I$89,3,0)*0.475*44/12</f>
        <v>0.77727452107189476</v>
      </c>
      <c r="CM110" s="21">
        <f>EXP(-LN(2)/2)*CM109+(1-EXP(-LN(2)/2))/(LN(2)/2)*CG110*CJ110*VLOOKUP('Données projet'!$B$12,Paramètres!$A$1:$I$89,3,0)*0.475*44/12</f>
        <v>1.9858489464873973E-11</v>
      </c>
      <c r="CN110" s="22">
        <f t="shared" si="66"/>
        <v>1.0414271764820759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-1.1527845344971866E-13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272.93635583300755</v>
      </c>
      <c r="T111" s="59">
        <f t="shared" si="88"/>
        <v>179.56041631665812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0.79696854661935912</v>
      </c>
      <c r="AA111" s="21">
        <f>EXP(-LN(2)/25)*AA110+(1-EXP(-LN(2)/25))/(LN(2)/25)*Calculateur!V111*Calculateur!X111*VLOOKUP('Données projet'!$B$9,Paramètres!$A$1:$I$89,3,0)*0.475*44/12</f>
        <v>0.54080045596666437</v>
      </c>
      <c r="AB111" s="21">
        <f>EXP(-LN(2)/2)*AB110+(1-EXP(-LN(2)/2))/(LN(2)/2)*V111*Y111*VLOOKUP('Données projet'!$B$9,Paramètres!$A$1:$I$89,3,0)*0.475*44/12</f>
        <v>1.2440534736448103E-11</v>
      </c>
      <c r="AC111" s="22">
        <f t="shared" si="57"/>
        <v>1.3377690025984641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-1.0286385077051818E-13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237.64646718446005</v>
      </c>
      <c r="AO111" s="59">
        <f t="shared" si="90"/>
        <v>156.67965022779907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0.71114116467573574</v>
      </c>
      <c r="AV111" s="21">
        <f>EXP(-LN(2)/25)*AV110+(1-EXP(-LN(2)/25))/(LN(2)/25)*Calculateur!AQ111*Calculateur!AS111*VLOOKUP('Données projet'!$B$10,Paramètres!$A$1:$I$89,3,0)*0.475*44/12</f>
        <v>0.48256040686256219</v>
      </c>
      <c r="AW111" s="21">
        <f>EXP(-LN(2)/2)*AW110+(1-EXP(-LN(2)/2))/(LN(2)/2)*AQ111*AT111*VLOOKUP('Données projet'!$B$10,Paramètres!$A$1:$I$89,3,0)*0.475*44/12</f>
        <v>1.1100784841753688E-11</v>
      </c>
      <c r="AX111" s="21">
        <f t="shared" si="60"/>
        <v>1.1937015715493986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-1.7053025658242404E-13</v>
      </c>
      <c r="BE111" s="13">
        <f>BD111*VLOOKUP('Données projet'!$B$11,Paramètres!$A$1:$I$89,3,0)*VLOOKUP('Données projet'!$B$11,Paramètres!$A$1:$I$89,5,0)</f>
        <v>-1.1173142411280423E-13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172.9177436650786</v>
      </c>
      <c r="BJ111" s="59">
        <f t="shared" si="92"/>
        <v>173.73622806725865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0.35460149759255521</v>
      </c>
      <c r="BQ111" s="21">
        <f>EXP(-LN(2)/25)*BQ110+(1-EXP(-LN(2)/25))/(LN(2)/25)*Calculateur!BL111*Calculateur!BN111*VLOOKUP('Données projet'!$B$11,Paramètres!$A$1:$I$89,3,0)*0.475*44/12</f>
        <v>1.3130566575753129</v>
      </c>
      <c r="BR111" s="21">
        <f>EXP(-LN(2)/2)*BR110+(1-EXP(-LN(2)/2))/(LN(2)/2)*BL111*BO111*VLOOKUP('Données projet'!$B$11,Paramètres!$A$1:$I$89,3,0)*0.475*44/12</f>
        <v>1.5312726067706161E-11</v>
      </c>
      <c r="BS111" s="22">
        <f t="shared" si="63"/>
        <v>1.6676581551831808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289.07218105343333</v>
      </c>
      <c r="CE111" s="59">
        <f t="shared" si="94"/>
        <v>217.57508587672368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0.25897278293532916</v>
      </c>
      <c r="CL111" s="21">
        <f>EXP(-LN(2)/25)*CL110+(1-EXP(-LN(2)/25))/(LN(2)/25)*Calculateur!CG111*Calculateur!CI111*VLOOKUP('Données projet'!$B$12,Paramètres!$A$1:$I$89,3,0)*0.475*44/12</f>
        <v>0.75601990841809319</v>
      </c>
      <c r="CM111" s="21">
        <f>EXP(-LN(2)/2)*CM110+(1-EXP(-LN(2)/2))/(LN(2)/2)*CG111*CJ111*VLOOKUP('Données projet'!$B$12,Paramètres!$A$1:$I$89,3,0)*0.475*44/12</f>
        <v>1.4042072564734E-11</v>
      </c>
      <c r="CN111" s="22">
        <f t="shared" si="66"/>
        <v>1.0149926913674645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-1.1527845344971866E-13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272.93635583300755</v>
      </c>
      <c r="T112" s="59">
        <f t="shared" si="88"/>
        <v>179.56041631665812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0.78134047952296826</v>
      </c>
      <c r="AA112" s="21">
        <f>EXP(-LN(2)/25)*AA111+(1-EXP(-LN(2)/25))/(LN(2)/25)*Calculateur!V112*Calculateur!X112*VLOOKUP('Données projet'!$B$9,Paramètres!$A$1:$I$89,3,0)*0.475*44/12</f>
        <v>0.52601223905879602</v>
      </c>
      <c r="AB112" s="21">
        <f>EXP(-LN(2)/2)*AB111+(1-EXP(-LN(2)/2))/(LN(2)/2)*V112*Y112*VLOOKUP('Données projet'!$B$9,Paramètres!$A$1:$I$89,3,0)*0.475*44/12</f>
        <v>8.796786473729252E-12</v>
      </c>
      <c r="AC112" s="22">
        <f t="shared" si="57"/>
        <v>1.3073527185905609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-1.0286385077051818E-13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237.64646718446005</v>
      </c>
      <c r="AO112" s="59">
        <f t="shared" si="90"/>
        <v>156.67965022779907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0.69719612018972543</v>
      </c>
      <c r="AV112" s="21">
        <f>EXP(-LN(2)/25)*AV111+(1-EXP(-LN(2)/25))/(LN(2)/25)*Calculateur!AQ112*Calculateur!AS112*VLOOKUP('Données projet'!$B$10,Paramètres!$A$1:$I$89,3,0)*0.475*44/12</f>
        <v>0.46936476716015652</v>
      </c>
      <c r="AW112" s="21">
        <f>EXP(-LN(2)/2)*AW111+(1-EXP(-LN(2)/2))/(LN(2)/2)*AQ112*AT112*VLOOKUP('Données projet'!$B$10,Paramètres!$A$1:$I$89,3,0)*0.475*44/12</f>
        <v>7.8494402380968684E-12</v>
      </c>
      <c r="AX112" s="21">
        <f t="shared" si="60"/>
        <v>1.1665608873577316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-1.7053025658242404E-13</v>
      </c>
      <c r="BE112" s="13">
        <f>BD112*VLOOKUP('Données projet'!$B$11,Paramètres!$A$1:$I$89,3,0)*VLOOKUP('Données projet'!$B$11,Paramètres!$A$1:$I$89,5,0)</f>
        <v>-1.1173142411280423E-13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172.9177436650786</v>
      </c>
      <c r="BJ112" s="59">
        <f t="shared" si="92"/>
        <v>173.73622806725865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0.34764797851032231</v>
      </c>
      <c r="BQ112" s="21">
        <f>EXP(-LN(2)/25)*BQ111+(1-EXP(-LN(2)/25))/(LN(2)/25)*Calculateur!BL112*Calculateur!BN112*VLOOKUP('Données projet'!$B$11,Paramètres!$A$1:$I$89,3,0)*0.475*44/12</f>
        <v>1.2771510542232674</v>
      </c>
      <c r="BR112" s="21">
        <f>EXP(-LN(2)/2)*BR111+(1-EXP(-LN(2)/2))/(LN(2)/2)*BL112*BO112*VLOOKUP('Données projet'!$B$11,Paramètres!$A$1:$I$89,3,0)*0.475*44/12</f>
        <v>1.0827732440927043E-11</v>
      </c>
      <c r="BS112" s="22">
        <f t="shared" si="63"/>
        <v>1.6247990327444175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289.07218105343333</v>
      </c>
      <c r="CE112" s="59">
        <f t="shared" si="94"/>
        <v>217.57508587672368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0.25389448461976794</v>
      </c>
      <c r="CL112" s="21">
        <f>EXP(-LN(2)/25)*CL111+(1-EXP(-LN(2)/25))/(LN(2)/25)*Calculateur!CG112*Calculateur!CI112*VLOOKUP('Données projet'!$B$12,Paramètres!$A$1:$I$89,3,0)*0.475*44/12</f>
        <v>0.73534650426504133</v>
      </c>
      <c r="CM112" s="21">
        <f>EXP(-LN(2)/2)*CM111+(1-EXP(-LN(2)/2))/(LN(2)/2)*CG112*CJ112*VLOOKUP('Données projet'!$B$12,Paramètres!$A$1:$I$89,3,0)*0.475*44/12</f>
        <v>9.9292447324369863E-12</v>
      </c>
      <c r="CN112" s="22">
        <f t="shared" si="66"/>
        <v>0.98924098889473855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-1.1527845344971866E-13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272.93635583300755</v>
      </c>
      <c r="T113" s="59">
        <f t="shared" si="88"/>
        <v>179.56041631665812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0.76601886929015794</v>
      </c>
      <c r="AA113" s="21">
        <f>EXP(-LN(2)/25)*AA112+(1-EXP(-LN(2)/25))/(LN(2)/25)*Calculateur!V113*Calculateur!X113*VLOOKUP('Données projet'!$B$9,Paramètres!$A$1:$I$89,3,0)*0.475*44/12</f>
        <v>0.5116284067199518</v>
      </c>
      <c r="AB113" s="21">
        <f>EXP(-LN(2)/2)*AB112+(1-EXP(-LN(2)/2))/(LN(2)/2)*V113*Y113*VLOOKUP('Données projet'!$B$9,Paramètres!$A$1:$I$89,3,0)*0.475*44/12</f>
        <v>6.2202673682240513E-12</v>
      </c>
      <c r="AC113" s="22">
        <f t="shared" si="57"/>
        <v>1.2776472760163302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-1.0286385077051818E-13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237.64646718446005</v>
      </c>
      <c r="AO113" s="59">
        <f t="shared" si="90"/>
        <v>156.67965022779907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0.68352452952044851</v>
      </c>
      <c r="AV113" s="21">
        <f>EXP(-LN(2)/25)*AV112+(1-EXP(-LN(2)/25))/(LN(2)/25)*Calculateur!AQ113*Calculateur!AS113*VLOOKUP('Données projet'!$B$10,Paramètres!$A$1:$I$89,3,0)*0.475*44/12</f>
        <v>0.45652996291934167</v>
      </c>
      <c r="AW113" s="21">
        <f>EXP(-LN(2)/2)*AW112+(1-EXP(-LN(2)/2))/(LN(2)/2)*AQ113*AT113*VLOOKUP('Données projet'!$B$10,Paramètres!$A$1:$I$89,3,0)*0.475*44/12</f>
        <v>5.5503924208768438E-12</v>
      </c>
      <c r="AX113" s="21">
        <f t="shared" si="60"/>
        <v>1.1400544924453406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-1.7053025658242404E-13</v>
      </c>
      <c r="BE113" s="13">
        <f>BD113*VLOOKUP('Données projet'!$B$11,Paramètres!$A$1:$I$89,3,0)*VLOOKUP('Données projet'!$B$11,Paramètres!$A$1:$I$89,5,0)</f>
        <v>-1.1173142411280423E-13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172.9177436650786</v>
      </c>
      <c r="BJ113" s="59">
        <f t="shared" si="92"/>
        <v>173.73622806725865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0.34083081369606416</v>
      </c>
      <c r="BQ113" s="21">
        <f>EXP(-LN(2)/25)*BQ112+(1-EXP(-LN(2)/25))/(LN(2)/25)*Calculateur!BL113*Calculateur!BN113*VLOOKUP('Données projet'!$B$11,Paramètres!$A$1:$I$89,3,0)*0.475*44/12</f>
        <v>1.2422272914830772</v>
      </c>
      <c r="BR113" s="21">
        <f>EXP(-LN(2)/2)*BR112+(1-EXP(-LN(2)/2))/(LN(2)/2)*BL113*BO113*VLOOKUP('Données projet'!$B$11,Paramètres!$A$1:$I$89,3,0)*0.475*44/12</f>
        <v>7.6563630338530807E-12</v>
      </c>
      <c r="BS113" s="22">
        <f t="shared" si="63"/>
        <v>1.5830581051867976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289.07218105343333</v>
      </c>
      <c r="CE113" s="59">
        <f t="shared" si="94"/>
        <v>217.57508587672368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0.24891576863671872</v>
      </c>
      <c r="CL113" s="21">
        <f>EXP(-LN(2)/25)*CL112+(1-EXP(-LN(2)/25))/(LN(2)/25)*Calculateur!CG113*Calculateur!CI113*VLOOKUP('Données projet'!$B$12,Paramètres!$A$1:$I$89,3,0)*0.475*44/12</f>
        <v>0.71523841543572175</v>
      </c>
      <c r="CM113" s="21">
        <f>EXP(-LN(2)/2)*CM112+(1-EXP(-LN(2)/2))/(LN(2)/2)*CG113*CJ113*VLOOKUP('Données projet'!$B$12,Paramètres!$A$1:$I$89,3,0)*0.475*44/12</f>
        <v>7.0210362823669998E-12</v>
      </c>
      <c r="CN113" s="22">
        <f t="shared" si="66"/>
        <v>0.96415418407946152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-1.1527845344971866E-13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272.93635583300755</v>
      </c>
      <c r="T114" s="59">
        <f t="shared" si="88"/>
        <v>179.56041631665812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0.75099770648875352</v>
      </c>
      <c r="AA114" s="21">
        <f>EXP(-LN(2)/25)*AA113+(1-EXP(-LN(2)/25))/(LN(2)/25)*Calculateur!V114*Calculateur!X114*VLOOKUP('Données projet'!$B$9,Paramètres!$A$1:$I$89,3,0)*0.475*44/12</f>
        <v>0.49763790103282612</v>
      </c>
      <c r="AB114" s="21">
        <f>EXP(-LN(2)/2)*AB113+(1-EXP(-LN(2)/2))/(LN(2)/2)*V114*Y114*VLOOKUP('Données projet'!$B$9,Paramètres!$A$1:$I$89,3,0)*0.475*44/12</f>
        <v>4.398393236864626E-12</v>
      </c>
      <c r="AC114" s="22">
        <f t="shared" si="57"/>
        <v>1.2486356075259781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-1.0286385077051818E-13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237.64646718446005</v>
      </c>
      <c r="AO114" s="59">
        <f t="shared" si="90"/>
        <v>156.67965022779907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0.67012103040534921</v>
      </c>
      <c r="AV114" s="21">
        <f>EXP(-LN(2)/25)*AV113+(1-EXP(-LN(2)/25))/(LN(2)/25)*Calculateur!AQ114*Calculateur!AS114*VLOOKUP('Données projet'!$B$10,Paramètres!$A$1:$I$89,3,0)*0.475*44/12</f>
        <v>0.44404612707544494</v>
      </c>
      <c r="AW114" s="21">
        <f>EXP(-LN(2)/2)*AW113+(1-EXP(-LN(2)/2))/(LN(2)/2)*AQ114*AT114*VLOOKUP('Données projet'!$B$10,Paramètres!$A$1:$I$89,3,0)*0.475*44/12</f>
        <v>3.9247201190484342E-12</v>
      </c>
      <c r="AX114" s="21">
        <f t="shared" si="60"/>
        <v>1.1141671574847187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-1.7053025658242404E-13</v>
      </c>
      <c r="BE114" s="13">
        <f>BD114*VLOOKUP('Données projet'!$B$11,Paramètres!$A$1:$I$89,3,0)*VLOOKUP('Données projet'!$B$11,Paramètres!$A$1:$I$89,5,0)</f>
        <v>-1.1173142411280423E-13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172.9177436650786</v>
      </c>
      <c r="BJ114" s="59">
        <f t="shared" si="92"/>
        <v>173.73622806725865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0.33414732932575364</v>
      </c>
      <c r="BQ114" s="21">
        <f>EXP(-LN(2)/25)*BQ113+(1-EXP(-LN(2)/25))/(LN(2)/25)*Calculateur!BL114*Calculateur!BN114*VLOOKUP('Données projet'!$B$11,Paramètres!$A$1:$I$89,3,0)*0.475*44/12</f>
        <v>1.2082585208715784</v>
      </c>
      <c r="BR114" s="21">
        <f>EXP(-LN(2)/2)*BR113+(1-EXP(-LN(2)/2))/(LN(2)/2)*BL114*BO114*VLOOKUP('Données projet'!$B$11,Paramètres!$A$1:$I$89,3,0)*0.475*44/12</f>
        <v>5.4138662204635215E-12</v>
      </c>
      <c r="BS114" s="22">
        <f t="shared" si="63"/>
        <v>1.542405850202746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289.07218105343333</v>
      </c>
      <c r="CE114" s="59">
        <f t="shared" si="94"/>
        <v>217.57508587672368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0.2440346822373802</v>
      </c>
      <c r="CL114" s="21">
        <f>EXP(-LN(2)/25)*CL113+(1-EXP(-LN(2)/25))/(LN(2)/25)*Calculateur!CG114*Calculateur!CI114*VLOOKUP('Données projet'!$B$12,Paramètres!$A$1:$I$89,3,0)*0.475*44/12</f>
        <v>0.6956801833528784</v>
      </c>
      <c r="CM114" s="21">
        <f>EXP(-LN(2)/2)*CM113+(1-EXP(-LN(2)/2))/(LN(2)/2)*CG114*CJ114*VLOOKUP('Données projet'!$B$12,Paramètres!$A$1:$I$89,3,0)*0.475*44/12</f>
        <v>4.9646223662184932E-12</v>
      </c>
      <c r="CN114" s="22">
        <f t="shared" si="66"/>
        <v>0.93971486559522321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-1.1527845344971866E-13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272.93635583300755</v>
      </c>
      <c r="T115" s="59">
        <f t="shared" si="88"/>
        <v>179.56041631665812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0.73627109952788006</v>
      </c>
      <c r="AA115" s="21">
        <f>EXP(-LN(2)/25)*AA114+(1-EXP(-LN(2)/25))/(LN(2)/25)*Calculateur!V115*Calculateur!X115*VLOOKUP('Données projet'!$B$9,Paramètres!$A$1:$I$89,3,0)*0.475*44/12</f>
        <v>0.48402996645944363</v>
      </c>
      <c r="AB115" s="21">
        <f>EXP(-LN(2)/2)*AB114+(1-EXP(-LN(2)/2))/(LN(2)/2)*V115*Y115*VLOOKUP('Données projet'!$B$9,Paramètres!$A$1:$I$89,3,0)*0.475*44/12</f>
        <v>3.1101336841120256E-12</v>
      </c>
      <c r="AC115" s="22">
        <f t="shared" si="57"/>
        <v>1.2203010659904339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-1.0286385077051818E-13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237.64646718446005</v>
      </c>
      <c r="AO115" s="59">
        <f t="shared" si="90"/>
        <v>156.67965022779907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0.65698036573256979</v>
      </c>
      <c r="AV115" s="21">
        <f>EXP(-LN(2)/25)*AV114+(1-EXP(-LN(2)/25))/(LN(2)/25)*Calculateur!AQ115*Calculateur!AS115*VLOOKUP('Données projet'!$B$10,Paramètres!$A$1:$I$89,3,0)*0.475*44/12</f>
        <v>0.43190366237919597</v>
      </c>
      <c r="AW115" s="21">
        <f>EXP(-LN(2)/2)*AW114+(1-EXP(-LN(2)/2))/(LN(2)/2)*AQ115*AT115*VLOOKUP('Données projet'!$B$10,Paramètres!$A$1:$I$89,3,0)*0.475*44/12</f>
        <v>2.7751962104384219E-12</v>
      </c>
      <c r="AX115" s="21">
        <f t="shared" si="60"/>
        <v>1.0888840281145409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-1.7053025658242404E-13</v>
      </c>
      <c r="BE115" s="13">
        <f>BD115*VLOOKUP('Données projet'!$B$11,Paramètres!$A$1:$I$89,3,0)*VLOOKUP('Données projet'!$B$11,Paramètres!$A$1:$I$89,5,0)</f>
        <v>-1.1173142411280423E-13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172.9177436650786</v>
      </c>
      <c r="BJ115" s="59">
        <f t="shared" si="92"/>
        <v>173.73622806725865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0.32759490400742197</v>
      </c>
      <c r="BQ115" s="21">
        <f>EXP(-LN(2)/25)*BQ114+(1-EXP(-LN(2)/25))/(LN(2)/25)*Calculateur!BL115*Calculateur!BN115*VLOOKUP('Données projet'!$B$11,Paramètres!$A$1:$I$89,3,0)*0.475*44/12</f>
        <v>1.1752186280787909</v>
      </c>
      <c r="BR115" s="21">
        <f>EXP(-LN(2)/2)*BR114+(1-EXP(-LN(2)/2))/(LN(2)/2)*BL115*BO115*VLOOKUP('Données projet'!$B$11,Paramètres!$A$1:$I$89,3,0)*0.475*44/12</f>
        <v>3.8281815169265403E-12</v>
      </c>
      <c r="BS115" s="22">
        <f t="shared" si="63"/>
        <v>1.5028135320900411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289.07218105343333</v>
      </c>
      <c r="CE115" s="59">
        <f t="shared" si="94"/>
        <v>217.57508587672368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0.23924931096516397</v>
      </c>
      <c r="CL115" s="21">
        <f>EXP(-LN(2)/25)*CL114+(1-EXP(-LN(2)/25))/(LN(2)/25)*Calculateur!CG115*Calculateur!CI115*VLOOKUP('Données projet'!$B$12,Paramètres!$A$1:$I$89,3,0)*0.475*44/12</f>
        <v>0.67665677215486308</v>
      </c>
      <c r="CM115" s="21">
        <f>EXP(-LN(2)/2)*CM114+(1-EXP(-LN(2)/2))/(LN(2)/2)*CG115*CJ115*VLOOKUP('Données projet'!$B$12,Paramètres!$A$1:$I$89,3,0)*0.475*44/12</f>
        <v>3.5105181411834999E-12</v>
      </c>
      <c r="CN115" s="22">
        <f t="shared" si="66"/>
        <v>0.91590608312353761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-1.1527845344971866E-13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272.93635583300755</v>
      </c>
      <c r="T116" s="59">
        <f t="shared" si="88"/>
        <v>179.56041631665812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0.72183327234716599</v>
      </c>
      <c r="AA116" s="21">
        <f>EXP(-LN(2)/25)*AA115+(1-EXP(-LN(2)/25))/(LN(2)/25)*Calculateur!V116*Calculateur!X116*VLOOKUP('Données projet'!$B$9,Paramètres!$A$1:$I$89,3,0)*0.475*44/12</f>
        <v>0.47079414157258048</v>
      </c>
      <c r="AB116" s="21">
        <f>EXP(-LN(2)/2)*AB115+(1-EXP(-LN(2)/2))/(LN(2)/2)*V116*Y116*VLOOKUP('Données projet'!$B$9,Paramètres!$A$1:$I$89,3,0)*0.475*44/12</f>
        <v>2.199196618432313E-12</v>
      </c>
      <c r="AC116" s="22">
        <f t="shared" si="57"/>
        <v>1.1926274139219455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-1.0286385077051818E-13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237.64646718446005</v>
      </c>
      <c r="AO116" s="59">
        <f t="shared" si="90"/>
        <v>156.67965022779907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0.64409738147900952</v>
      </c>
      <c r="AV116" s="21">
        <f>EXP(-LN(2)/25)*AV115+(1-EXP(-LN(2)/25))/(LN(2)/25)*Calculateur!AQ116*Calculateur!AS116*VLOOKUP('Données projet'!$B$10,Paramètres!$A$1:$I$89,3,0)*0.475*44/12</f>
        <v>0.42009323401861037</v>
      </c>
      <c r="AW116" s="21">
        <f>EXP(-LN(2)/2)*AW115+(1-EXP(-LN(2)/2))/(LN(2)/2)*AQ116*AT116*VLOOKUP('Données projet'!$B$10,Paramètres!$A$1:$I$89,3,0)*0.475*44/12</f>
        <v>1.9623600595242171E-12</v>
      </c>
      <c r="AX116" s="21">
        <f t="shared" si="60"/>
        <v>1.0641906154995824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-1.7053025658242404E-13</v>
      </c>
      <c r="BE116" s="13">
        <f>BD116*VLOOKUP('Données projet'!$B$11,Paramètres!$A$1:$I$89,3,0)*VLOOKUP('Données projet'!$B$11,Paramètres!$A$1:$I$89,5,0)</f>
        <v>-1.1173142411280423E-13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172.9177436650786</v>
      </c>
      <c r="BJ116" s="59">
        <f t="shared" si="92"/>
        <v>173.73622806725865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0.32117096775299797</v>
      </c>
      <c r="BQ116" s="21">
        <f>EXP(-LN(2)/25)*BQ115+(1-EXP(-LN(2)/25))/(LN(2)/25)*Calculateur!BL116*Calculateur!BN116*VLOOKUP('Données projet'!$B$11,Paramètres!$A$1:$I$89,3,0)*0.475*44/12</f>
        <v>1.1430822128919147</v>
      </c>
      <c r="BR116" s="21">
        <f>EXP(-LN(2)/2)*BR115+(1-EXP(-LN(2)/2))/(LN(2)/2)*BL116*BO116*VLOOKUP('Données projet'!$B$11,Paramètres!$A$1:$I$89,3,0)*0.475*44/12</f>
        <v>2.7069331102317607E-12</v>
      </c>
      <c r="BS116" s="22">
        <f t="shared" si="63"/>
        <v>1.4642531806476196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289.07218105343333</v>
      </c>
      <c r="CE116" s="59">
        <f t="shared" si="94"/>
        <v>217.57508587672368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0.23455777790480764</v>
      </c>
      <c r="CL116" s="21">
        <f>EXP(-LN(2)/25)*CL115+(1-EXP(-LN(2)/25))/(LN(2)/25)*Calculateur!CG116*Calculateur!CI116*VLOOKUP('Données projet'!$B$12,Paramètres!$A$1:$I$89,3,0)*0.475*44/12</f>
        <v>0.65815355713645518</v>
      </c>
      <c r="CM116" s="21">
        <f>EXP(-LN(2)/2)*CM115+(1-EXP(-LN(2)/2))/(LN(2)/2)*CG116*CJ116*VLOOKUP('Données projet'!$B$12,Paramètres!$A$1:$I$89,3,0)*0.475*44/12</f>
        <v>2.4823111831092466E-12</v>
      </c>
      <c r="CN116" s="22">
        <f t="shared" si="66"/>
        <v>0.89271133504374511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-1.1527845344971866E-13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272.93635583300755</v>
      </c>
      <c r="T117" s="59">
        <f t="shared" si="88"/>
        <v>179.56041631665812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0.70767856215126068</v>
      </c>
      <c r="AA117" s="21">
        <f>EXP(-LN(2)/25)*AA116+(1-EXP(-LN(2)/25))/(LN(2)/25)*Calculateur!V117*Calculateur!X117*VLOOKUP('Données projet'!$B$9,Paramètres!$A$1:$I$89,3,0)*0.475*44/12</f>
        <v>0.45792025101329037</v>
      </c>
      <c r="AB117" s="21">
        <f>EXP(-LN(2)/2)*AB116+(1-EXP(-LN(2)/2))/(LN(2)/2)*V117*Y117*VLOOKUP('Données projet'!$B$9,Paramètres!$A$1:$I$89,3,0)*0.475*44/12</f>
        <v>1.5550668420560128E-12</v>
      </c>
      <c r="AC117" s="22">
        <f t="shared" si="57"/>
        <v>1.1655988131661059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-1.0286385077051818E-13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237.64646718446005</v>
      </c>
      <c r="AO117" s="59">
        <f t="shared" si="90"/>
        <v>156.67965022779907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0.6314670246888171</v>
      </c>
      <c r="AV117" s="21">
        <f>EXP(-LN(2)/25)*AV116+(1-EXP(-LN(2)/25))/(LN(2)/25)*Calculateur!AQ117*Calculateur!AS117*VLOOKUP('Données projet'!$B$10,Paramètres!$A$1:$I$89,3,0)*0.475*44/12</f>
        <v>0.40860576244262842</v>
      </c>
      <c r="AW117" s="21">
        <f>EXP(-LN(2)/2)*AW116+(1-EXP(-LN(2)/2))/(LN(2)/2)*AQ117*AT117*VLOOKUP('Données projet'!$B$10,Paramètres!$A$1:$I$89,3,0)*0.475*44/12</f>
        <v>1.387598105219211E-12</v>
      </c>
      <c r="AX117" s="21">
        <f t="shared" si="60"/>
        <v>1.040072787132833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-1.7053025658242404E-13</v>
      </c>
      <c r="BE117" s="13">
        <f>BD117*VLOOKUP('Données projet'!$B$11,Paramètres!$A$1:$I$89,3,0)*VLOOKUP('Données projet'!$B$11,Paramètres!$A$1:$I$89,5,0)</f>
        <v>-1.1173142411280423E-13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172.9177436650786</v>
      </c>
      <c r="BJ117" s="59">
        <f t="shared" si="92"/>
        <v>173.73622806725865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0.31487300097030901</v>
      </c>
      <c r="BQ117" s="21">
        <f>EXP(-LN(2)/25)*BQ116+(1-EXP(-LN(2)/25))/(LN(2)/25)*Calculateur!BL117*Calculateur!BN117*VLOOKUP('Données projet'!$B$11,Paramètres!$A$1:$I$89,3,0)*0.475*44/12</f>
        <v>1.1118245696683042</v>
      </c>
      <c r="BR117" s="21">
        <f>EXP(-LN(2)/2)*BR116+(1-EXP(-LN(2)/2))/(LN(2)/2)*BL117*BO117*VLOOKUP('Données projet'!$B$11,Paramètres!$A$1:$I$89,3,0)*0.475*44/12</f>
        <v>1.9140907584632702E-12</v>
      </c>
      <c r="BS117" s="22">
        <f t="shared" si="63"/>
        <v>1.4266975706405272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289.07218105343333</v>
      </c>
      <c r="CE117" s="59">
        <f t="shared" si="94"/>
        <v>217.57508587672368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0.22995824294621228</v>
      </c>
      <c r="CL117" s="21">
        <f>EXP(-LN(2)/25)*CL116+(1-EXP(-LN(2)/25))/(LN(2)/25)*Calculateur!CG117*Calculateur!CI117*VLOOKUP('Données projet'!$B$12,Paramètres!$A$1:$I$89,3,0)*0.475*44/12</f>
        <v>0.64015631350576752</v>
      </c>
      <c r="CM117" s="21">
        <f>EXP(-LN(2)/2)*CM116+(1-EXP(-LN(2)/2))/(LN(2)/2)*CG117*CJ117*VLOOKUP('Données projet'!$B$12,Paramètres!$A$1:$I$89,3,0)*0.475*44/12</f>
        <v>1.7552590705917499E-12</v>
      </c>
      <c r="CN117" s="22">
        <f t="shared" si="66"/>
        <v>0.87011455645373503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-1.1527845344971866E-13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272.93635583300755</v>
      </c>
      <c r="T118" s="59">
        <f t="shared" si="88"/>
        <v>179.56041631665812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0.6938014171887763</v>
      </c>
      <c r="AA118" s="21">
        <f>EXP(-LN(2)/25)*AA117+(1-EXP(-LN(2)/25))/(LN(2)/25)*Calculateur!V118*Calculateur!X118*VLOOKUP('Données projet'!$B$9,Paramètres!$A$1:$I$89,3,0)*0.475*44/12</f>
        <v>0.44539839766835254</v>
      </c>
      <c r="AB118" s="21">
        <f>EXP(-LN(2)/2)*AB117+(1-EXP(-LN(2)/2))/(LN(2)/2)*V118*Y118*VLOOKUP('Données projet'!$B$9,Paramètres!$A$1:$I$89,3,0)*0.475*44/12</f>
        <v>1.0995983092161565E-12</v>
      </c>
      <c r="AC118" s="22">
        <f t="shared" si="57"/>
        <v>1.1391998148582285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-1.0286385077051818E-13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237.64646718446005</v>
      </c>
      <c r="AO118" s="59">
        <f t="shared" si="90"/>
        <v>156.67965022779907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0.61908434149152336</v>
      </c>
      <c r="AV118" s="21">
        <f>EXP(-LN(2)/25)*AV117+(1-EXP(-LN(2)/25))/(LN(2)/25)*Calculateur!AQ118*Calculateur!AS118*VLOOKUP('Données projet'!$B$10,Paramètres!$A$1:$I$89,3,0)*0.475*44/12</f>
        <v>0.39743241638099158</v>
      </c>
      <c r="AW118" s="21">
        <f>EXP(-LN(2)/2)*AW117+(1-EXP(-LN(2)/2))/(LN(2)/2)*AQ118*AT118*VLOOKUP('Données projet'!$B$10,Paramètres!$A$1:$I$89,3,0)*0.475*44/12</f>
        <v>9.8118002976210855E-13</v>
      </c>
      <c r="AX118" s="21">
        <f t="shared" si="60"/>
        <v>1.0165167578734962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-1.7053025658242404E-13</v>
      </c>
      <c r="BE118" s="13">
        <f>BD118*VLOOKUP('Données projet'!$B$11,Paramètres!$A$1:$I$89,3,0)*VLOOKUP('Données projet'!$B$11,Paramètres!$A$1:$I$89,5,0)</f>
        <v>-1.1173142411280423E-13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172.9177436650786</v>
      </c>
      <c r="BJ118" s="59">
        <f t="shared" si="92"/>
        <v>173.73622806725865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0.30869853347484816</v>
      </c>
      <c r="BQ118" s="21">
        <f>EXP(-LN(2)/25)*BQ117+(1-EXP(-LN(2)/25))/(LN(2)/25)*Calculateur!BL118*Calculateur!BN118*VLOOKUP('Données projet'!$B$11,Paramètres!$A$1:$I$89,3,0)*0.475*44/12</f>
        <v>1.0814216683424114</v>
      </c>
      <c r="BR118" s="21">
        <f>EXP(-LN(2)/2)*BR117+(1-EXP(-LN(2)/2))/(LN(2)/2)*BL118*BO118*VLOOKUP('Données projet'!$B$11,Paramètres!$A$1:$I$89,3,0)*0.475*44/12</f>
        <v>1.3534665551158804E-12</v>
      </c>
      <c r="BS118" s="22">
        <f t="shared" si="63"/>
        <v>1.390120201818613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289.07218105343333</v>
      </c>
      <c r="CE118" s="59">
        <f t="shared" si="94"/>
        <v>217.57508587672368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0.22544890206271567</v>
      </c>
      <c r="CL118" s="21">
        <f>EXP(-LN(2)/25)*CL117+(1-EXP(-LN(2)/25))/(LN(2)/25)*Calculateur!CG118*Calculateur!CI118*VLOOKUP('Données projet'!$B$12,Paramètres!$A$1:$I$89,3,0)*0.475*44/12</f>
        <v>0.62265120544859487</v>
      </c>
      <c r="CM118" s="21">
        <f>EXP(-LN(2)/2)*CM117+(1-EXP(-LN(2)/2))/(LN(2)/2)*CG118*CJ118*VLOOKUP('Données projet'!$B$12,Paramètres!$A$1:$I$89,3,0)*0.475*44/12</f>
        <v>1.2411555915546233E-12</v>
      </c>
      <c r="CN118" s="22">
        <f t="shared" si="66"/>
        <v>0.84810010751255172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-1.1527845344971866E-13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272.93635583300755</v>
      </c>
      <c r="T119" s="59">
        <f t="shared" si="88"/>
        <v>179.56041631665812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0.68019639457478365</v>
      </c>
      <c r="AA119" s="21">
        <f>EXP(-LN(2)/25)*AA118+(1-EXP(-LN(2)/25))/(LN(2)/25)*Calculateur!V119*Calculateur!X119*VLOOKUP('Données projet'!$B$9,Paramètres!$A$1:$I$89,3,0)*0.475*44/12</f>
        <v>0.43321895506162766</v>
      </c>
      <c r="AB119" s="21">
        <f>EXP(-LN(2)/2)*AB118+(1-EXP(-LN(2)/2))/(LN(2)/2)*V119*Y119*VLOOKUP('Données projet'!$B$9,Paramètres!$A$1:$I$89,3,0)*0.475*44/12</f>
        <v>7.7753342102800641E-13</v>
      </c>
      <c r="AC119" s="22">
        <f t="shared" si="57"/>
        <v>1.1134153496371888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-1.0286385077051818E-13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237.64646718446005</v>
      </c>
      <c r="AO119" s="59">
        <f t="shared" si="90"/>
        <v>156.67965022779907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0.6069444751590376</v>
      </c>
      <c r="AV119" s="21">
        <f>EXP(-LN(2)/25)*AV118+(1-EXP(-LN(2)/25))/(LN(2)/25)*Calculateur!AQ119*Calculateur!AS119*VLOOKUP('Données projet'!$B$10,Paramètres!$A$1:$I$89,3,0)*0.475*44/12</f>
        <v>0.38656460605499093</v>
      </c>
      <c r="AW119" s="21">
        <f>EXP(-LN(2)/2)*AW118+(1-EXP(-LN(2)/2))/(LN(2)/2)*AQ119*AT119*VLOOKUP('Données projet'!$B$10,Paramètres!$A$1:$I$89,3,0)*0.475*44/12</f>
        <v>6.9379905260960548E-13</v>
      </c>
      <c r="AX119" s="21">
        <f t="shared" si="60"/>
        <v>0.99350908121472237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-1.7053025658242404E-13</v>
      </c>
      <c r="BE119" s="13">
        <f>BD119*VLOOKUP('Données projet'!$B$11,Paramètres!$A$1:$I$89,3,0)*VLOOKUP('Données projet'!$B$11,Paramètres!$A$1:$I$89,5,0)</f>
        <v>-1.1173142411280423E-13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172.9177436650786</v>
      </c>
      <c r="BJ119" s="59">
        <f t="shared" si="92"/>
        <v>173.73622806725865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0.30264514352091998</v>
      </c>
      <c r="BQ119" s="21">
        <f>EXP(-LN(2)/25)*BQ118+(1-EXP(-LN(2)/25))/(LN(2)/25)*Calculateur!BL119*Calculateur!BN119*VLOOKUP('Données projet'!$B$11,Paramètres!$A$1:$I$89,3,0)*0.475*44/12</f>
        <v>1.0518501359520942</v>
      </c>
      <c r="BR119" s="21">
        <f>EXP(-LN(2)/2)*BR118+(1-EXP(-LN(2)/2))/(LN(2)/2)*BL119*BO119*VLOOKUP('Données projet'!$B$11,Paramètres!$A$1:$I$89,3,0)*0.475*44/12</f>
        <v>9.5704537923163508E-13</v>
      </c>
      <c r="BS119" s="22">
        <f t="shared" si="63"/>
        <v>1.3544952794739711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289.07218105343333</v>
      </c>
      <c r="CE119" s="59">
        <f t="shared" si="94"/>
        <v>217.57508587672368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0.22102798660351808</v>
      </c>
      <c r="CL119" s="21">
        <f>EXP(-LN(2)/25)*CL118+(1-EXP(-LN(2)/25))/(LN(2)/25)*Calculateur!CG119*Calculateur!CI119*VLOOKUP('Données projet'!$B$12,Paramètres!$A$1:$I$89,3,0)*0.475*44/12</f>
        <v>0.60562477549179927</v>
      </c>
      <c r="CM119" s="21">
        <f>EXP(-LN(2)/2)*CM118+(1-EXP(-LN(2)/2))/(LN(2)/2)*CG119*CJ119*VLOOKUP('Données projet'!$B$12,Paramètres!$A$1:$I$89,3,0)*0.475*44/12</f>
        <v>8.7762953529587497E-13</v>
      </c>
      <c r="CN119" s="22">
        <f t="shared" si="66"/>
        <v>0.82665276209619498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-1.1527845344971866E-13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272.93635583300755</v>
      </c>
      <c r="T120" s="59">
        <f t="shared" si="88"/>
        <v>179.56041631665812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0.66685815815600691</v>
      </c>
      <c r="AA120" s="21">
        <f>EXP(-LN(2)/25)*AA119+(1-EXP(-LN(2)/25))/(LN(2)/25)*Calculateur!V120*Calculateur!X120*VLOOKUP('Données projet'!$B$9,Paramètres!$A$1:$I$89,3,0)*0.475*44/12</f>
        <v>0.42137255995347273</v>
      </c>
      <c r="AB120" s="21">
        <f>EXP(-LN(2)/2)*AB119+(1-EXP(-LN(2)/2))/(LN(2)/2)*V120*Y120*VLOOKUP('Données projet'!$B$9,Paramètres!$A$1:$I$89,3,0)*0.475*44/12</f>
        <v>5.4979915460807825E-13</v>
      </c>
      <c r="AC120" s="22">
        <f t="shared" si="57"/>
        <v>1.0882307181100295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-1.0286385077051818E-13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237.64646718446005</v>
      </c>
      <c r="AO120" s="59">
        <f t="shared" si="90"/>
        <v>156.67965022779907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0.59504266420074459</v>
      </c>
      <c r="AV120" s="21">
        <f>EXP(-LN(2)/25)*AV119+(1-EXP(-LN(2)/25))/(LN(2)/25)*Calculateur!AQ120*Calculateur!AS120*VLOOKUP('Données projet'!$B$10,Paramètres!$A$1:$I$89,3,0)*0.475*44/12</f>
        <v>0.37599397657386807</v>
      </c>
      <c r="AW120" s="21">
        <f>EXP(-LN(2)/2)*AW119+(1-EXP(-LN(2)/2))/(LN(2)/2)*AQ120*AT120*VLOOKUP('Données projet'!$B$10,Paramètres!$A$1:$I$89,3,0)*0.475*44/12</f>
        <v>4.9059001488105428E-13</v>
      </c>
      <c r="AX120" s="21">
        <f t="shared" si="60"/>
        <v>0.97103664077510332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-1.7053025658242404E-13</v>
      </c>
      <c r="BE120" s="13">
        <f>BD120*VLOOKUP('Données projet'!$B$11,Paramètres!$A$1:$I$89,3,0)*VLOOKUP('Données projet'!$B$11,Paramètres!$A$1:$I$89,5,0)</f>
        <v>-1.1173142411280423E-13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172.9177436650786</v>
      </c>
      <c r="BJ120" s="59">
        <f t="shared" si="92"/>
        <v>173.73622806725865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0.29671045685178499</v>
      </c>
      <c r="BQ120" s="21">
        <f>EXP(-LN(2)/25)*BQ119+(1-EXP(-LN(2)/25))/(LN(2)/25)*Calculateur!BL120*Calculateur!BN120*VLOOKUP('Données projet'!$B$11,Paramètres!$A$1:$I$89,3,0)*0.475*44/12</f>
        <v>1.0230872386700895</v>
      </c>
      <c r="BR120" s="21">
        <f>EXP(-LN(2)/2)*BR119+(1-EXP(-LN(2)/2))/(LN(2)/2)*BL120*BO120*VLOOKUP('Données projet'!$B$11,Paramètres!$A$1:$I$89,3,0)*0.475*44/12</f>
        <v>6.7673327755794018E-13</v>
      </c>
      <c r="BS120" s="22">
        <f t="shared" si="63"/>
        <v>1.3197976955225514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289.07218105343333</v>
      </c>
      <c r="CE120" s="59">
        <f t="shared" si="94"/>
        <v>217.57508587672368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0.21669376259998316</v>
      </c>
      <c r="CL120" s="21">
        <f>EXP(-LN(2)/25)*CL119+(1-EXP(-LN(2)/25))/(LN(2)/25)*Calculateur!CG120*Calculateur!CI120*VLOOKUP('Données projet'!$B$12,Paramètres!$A$1:$I$89,3,0)*0.475*44/12</f>
        <v>0.5890639341575532</v>
      </c>
      <c r="CM120" s="21">
        <f>EXP(-LN(2)/2)*CM119+(1-EXP(-LN(2)/2))/(LN(2)/2)*CG120*CJ120*VLOOKUP('Données projet'!$B$12,Paramètres!$A$1:$I$89,3,0)*0.475*44/12</f>
        <v>6.2057779577731164E-13</v>
      </c>
      <c r="CN120" s="22">
        <f t="shared" si="66"/>
        <v>0.805757696758157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-1.1527845344971866E-13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272.93635583300755</v>
      </c>
      <c r="T121" s="59">
        <f t="shared" si="88"/>
        <v>179.56041631665812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0.65378147641788154</v>
      </c>
      <c r="AA121" s="21">
        <f>EXP(-LN(2)/25)*AA120+(1-EXP(-LN(2)/25))/(LN(2)/25)*Calculateur!V121*Calculateur!X121*VLOOKUP('Données projet'!$B$9,Paramètres!$A$1:$I$89,3,0)*0.475*44/12</f>
        <v>0.40985010514252512</v>
      </c>
      <c r="AB121" s="21">
        <f>EXP(-LN(2)/2)*AB120+(1-EXP(-LN(2)/2))/(LN(2)/2)*V121*Y121*VLOOKUP('Données projet'!$B$9,Paramètres!$A$1:$I$89,3,0)*0.475*44/12</f>
        <v>3.887667105140032E-13</v>
      </c>
      <c r="AC121" s="22">
        <f t="shared" si="57"/>
        <v>1.0636315815607955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-1.0286385077051818E-13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237.64646718446005</v>
      </c>
      <c r="AO121" s="59">
        <f t="shared" si="90"/>
        <v>156.67965022779907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0.58337424049595576</v>
      </c>
      <c r="AV121" s="21">
        <f>EXP(-LN(2)/25)*AV120+(1-EXP(-LN(2)/25))/(LN(2)/25)*Calculateur!AQ121*Calculateur!AS121*VLOOKUP('Données projet'!$B$10,Paramètres!$A$1:$I$89,3,0)*0.475*44/12</f>
        <v>0.36571240151179174</v>
      </c>
      <c r="AW121" s="21">
        <f>EXP(-LN(2)/2)*AW120+(1-EXP(-LN(2)/2))/(LN(2)/2)*AQ121*AT121*VLOOKUP('Données projet'!$B$10,Paramètres!$A$1:$I$89,3,0)*0.475*44/12</f>
        <v>3.4689952630480274E-13</v>
      </c>
      <c r="AX121" s="21">
        <f t="shared" si="60"/>
        <v>0.94908664200809445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-1.7053025658242404E-13</v>
      </c>
      <c r="BE121" s="13">
        <f>BD121*VLOOKUP('Données projet'!$B$11,Paramètres!$A$1:$I$89,3,0)*VLOOKUP('Données projet'!$B$11,Paramètres!$A$1:$I$89,5,0)</f>
        <v>-1.1173142411280423E-13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172.9177436650786</v>
      </c>
      <c r="BJ121" s="59">
        <f t="shared" si="92"/>
        <v>173.73622806725865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0.29089214576843031</v>
      </c>
      <c r="BQ121" s="21">
        <f>EXP(-LN(2)/25)*BQ120+(1-EXP(-LN(2)/25))/(LN(2)/25)*Calculateur!BL121*Calculateur!BN121*VLOOKUP('Données projet'!$B$11,Paramètres!$A$1:$I$89,3,0)*0.475*44/12</f>
        <v>0.99511086432683638</v>
      </c>
      <c r="BR121" s="21">
        <f>EXP(-LN(2)/2)*BR120+(1-EXP(-LN(2)/2))/(LN(2)/2)*BL121*BO121*VLOOKUP('Données projet'!$B$11,Paramètres!$A$1:$I$89,3,0)*0.475*44/12</f>
        <v>4.7852268961581754E-13</v>
      </c>
      <c r="BS121" s="22">
        <f t="shared" si="63"/>
        <v>1.2860030100957451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289.07218105343333</v>
      </c>
      <c r="CE121" s="59">
        <f t="shared" si="94"/>
        <v>217.57508587672368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0.21244453008554195</v>
      </c>
      <c r="CL121" s="21">
        <f>EXP(-LN(2)/25)*CL120+(1-EXP(-LN(2)/25))/(LN(2)/25)*Calculateur!CG121*Calculateur!CI121*VLOOKUP('Données projet'!$B$12,Paramètres!$A$1:$I$89,3,0)*0.475*44/12</f>
        <v>0.57295594990048893</v>
      </c>
      <c r="CM121" s="21">
        <f>EXP(-LN(2)/2)*CM120+(1-EXP(-LN(2)/2))/(LN(2)/2)*CG121*CJ121*VLOOKUP('Données projet'!$B$12,Paramètres!$A$1:$I$89,3,0)*0.475*44/12</f>
        <v>4.3881476764793749E-13</v>
      </c>
      <c r="CN121" s="22">
        <f t="shared" si="66"/>
        <v>0.78540047998646967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-1.1527845344971866E-13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272.93635583300755</v>
      </c>
      <c r="T122" s="59">
        <f t="shared" si="88"/>
        <v>179.56041631665812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0.64096122043265247</v>
      </c>
      <c r="AA122" s="21">
        <f>EXP(-LN(2)/25)*AA121+(1-EXP(-LN(2)/25))/(LN(2)/25)*Calculateur!V122*Calculateur!X122*VLOOKUP('Données projet'!$B$9,Paramètres!$A$1:$I$89,3,0)*0.475*44/12</f>
        <v>0.39864273246432247</v>
      </c>
      <c r="AB122" s="21">
        <f>EXP(-LN(2)/2)*AB121+(1-EXP(-LN(2)/2))/(LN(2)/2)*V122*Y122*VLOOKUP('Données projet'!$B$9,Paramètres!$A$1:$I$89,3,0)*0.475*44/12</f>
        <v>2.7489957730403912E-13</v>
      </c>
      <c r="AC122" s="22">
        <f t="shared" si="57"/>
        <v>1.0396039528972498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-1.0286385077051818E-13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237.64646718446005</v>
      </c>
      <c r="AO122" s="59">
        <f t="shared" si="90"/>
        <v>156.67965022779907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0.57193462746298218</v>
      </c>
      <c r="AV122" s="21">
        <f>EXP(-LN(2)/25)*AV121+(1-EXP(-LN(2)/25))/(LN(2)/25)*Calculateur!AQ122*Calculateur!AS122*VLOOKUP('Données projet'!$B$10,Paramètres!$A$1:$I$89,3,0)*0.475*44/12</f>
        <v>0.35571197666047244</v>
      </c>
      <c r="AW122" s="21">
        <f>EXP(-LN(2)/2)*AW121+(1-EXP(-LN(2)/2))/(LN(2)/2)*AQ122*AT122*VLOOKUP('Données projet'!$B$10,Paramètres!$A$1:$I$89,3,0)*0.475*44/12</f>
        <v>2.4529500744052714E-13</v>
      </c>
      <c r="AX122" s="21">
        <f t="shared" si="60"/>
        <v>0.92764660412369981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-1.7053025658242404E-13</v>
      </c>
      <c r="BE122" s="13">
        <f>BD122*VLOOKUP('Données projet'!$B$11,Paramètres!$A$1:$I$89,3,0)*VLOOKUP('Données projet'!$B$11,Paramètres!$A$1:$I$89,5,0)</f>
        <v>-1.1173142411280423E-13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172.9177436650786</v>
      </c>
      <c r="BJ122" s="59">
        <f t="shared" si="92"/>
        <v>173.73622806725865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0.28518792821660088</v>
      </c>
      <c r="BQ122" s="21">
        <f>EXP(-LN(2)/25)*BQ121+(1-EXP(-LN(2)/25))/(LN(2)/25)*Calculateur!BL122*Calculateur!BN122*VLOOKUP('Données projet'!$B$11,Paramètres!$A$1:$I$89,3,0)*0.475*44/12</f>
        <v>0.96789950541121306</v>
      </c>
      <c r="BR122" s="21">
        <f>EXP(-LN(2)/2)*BR121+(1-EXP(-LN(2)/2))/(LN(2)/2)*BL122*BO122*VLOOKUP('Données projet'!$B$11,Paramètres!$A$1:$I$89,3,0)*0.475*44/12</f>
        <v>3.3836663877897009E-13</v>
      </c>
      <c r="BS122" s="22">
        <f t="shared" si="63"/>
        <v>1.2530874336281523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289.07218105343333</v>
      </c>
      <c r="CE122" s="59">
        <f t="shared" si="94"/>
        <v>217.57508587672368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0.20827862242893302</v>
      </c>
      <c r="CL122" s="21">
        <f>EXP(-LN(2)/25)*CL121+(1-EXP(-LN(2)/25))/(LN(2)/25)*Calculateur!CG122*Calculateur!CI122*VLOOKUP('Données projet'!$B$12,Paramètres!$A$1:$I$89,3,0)*0.475*44/12</f>
        <v>0.55728843932001615</v>
      </c>
      <c r="CM122" s="21">
        <f>EXP(-LN(2)/2)*CM121+(1-EXP(-LN(2)/2))/(LN(2)/2)*CG122*CJ122*VLOOKUP('Données projet'!$B$12,Paramètres!$A$1:$I$89,3,0)*0.475*44/12</f>
        <v>3.1028889788865582E-13</v>
      </c>
      <c r="CN122" s="22">
        <f t="shared" si="66"/>
        <v>0.76556706174925948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-1.1527845344971866E-13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272.93635583300755</v>
      </c>
      <c r="T123" s="59">
        <f t="shared" si="88"/>
        <v>179.56041631665812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0.62839236184770975</v>
      </c>
      <c r="AA123" s="21">
        <f>EXP(-LN(2)/25)*AA122+(1-EXP(-LN(2)/25))/(LN(2)/25)*Calculateur!V123*Calculateur!X123*VLOOKUP('Données projet'!$B$9,Paramètres!$A$1:$I$89,3,0)*0.475*44/12</f>
        <v>0.38774182598137535</v>
      </c>
      <c r="AB123" s="21">
        <f>EXP(-LN(2)/2)*AB122+(1-EXP(-LN(2)/2))/(LN(2)/2)*V123*Y123*VLOOKUP('Données projet'!$B$9,Paramètres!$A$1:$I$89,3,0)*0.475*44/12</f>
        <v>1.943833552570016E-13</v>
      </c>
      <c r="AC123" s="22">
        <f t="shared" si="57"/>
        <v>1.0161341878292793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-1.0286385077051818E-13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237.64646718446005</v>
      </c>
      <c r="AO123" s="59">
        <f t="shared" si="90"/>
        <v>156.67965022779907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0.56071933826411025</v>
      </c>
      <c r="AV123" s="21">
        <f>EXP(-LN(2)/25)*AV122+(1-EXP(-LN(2)/25))/(LN(2)/25)*Calculateur!AQ123*Calculateur!AS123*VLOOKUP('Données projet'!$B$10,Paramètres!$A$1:$I$89,3,0)*0.475*44/12</f>
        <v>0.34598501395261194</v>
      </c>
      <c r="AW123" s="21">
        <f>EXP(-LN(2)/2)*AW122+(1-EXP(-LN(2)/2))/(LN(2)/2)*AQ123*AT123*VLOOKUP('Données projet'!$B$10,Paramètres!$A$1:$I$89,3,0)*0.475*44/12</f>
        <v>1.7344976315240137E-13</v>
      </c>
      <c r="AX123" s="21">
        <f t="shared" si="60"/>
        <v>0.9067043522168956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-1.7053025658242404E-13</v>
      </c>
      <c r="BE123" s="13">
        <f>BD123*VLOOKUP('Données projet'!$B$11,Paramètres!$A$1:$I$89,3,0)*VLOOKUP('Données projet'!$B$11,Paramètres!$A$1:$I$89,5,0)</f>
        <v>-1.1173142411280423E-13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172.9177436650786</v>
      </c>
      <c r="BJ123" s="59">
        <f t="shared" si="92"/>
        <v>173.73622806725865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0.27959556689173365</v>
      </c>
      <c r="BQ123" s="21">
        <f>EXP(-LN(2)/25)*BQ122+(1-EXP(-LN(2)/25))/(LN(2)/25)*Calculateur!BL123*Calculateur!BN123*VLOOKUP('Données projet'!$B$11,Paramètres!$A$1:$I$89,3,0)*0.475*44/12</f>
        <v>0.94143224253612057</v>
      </c>
      <c r="BR123" s="21">
        <f>EXP(-LN(2)/2)*BR122+(1-EXP(-LN(2)/2))/(LN(2)/2)*BL123*BO123*VLOOKUP('Données projet'!$B$11,Paramètres!$A$1:$I$89,3,0)*0.475*44/12</f>
        <v>2.3926134480790877E-13</v>
      </c>
      <c r="BS123" s="22">
        <f t="shared" si="63"/>
        <v>1.2210278094280935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289.07218105343333</v>
      </c>
      <c r="CE123" s="59">
        <f t="shared" si="94"/>
        <v>217.57508587672368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0.20419440568051742</v>
      </c>
      <c r="CL123" s="21">
        <f>EXP(-LN(2)/25)*CL122+(1-EXP(-LN(2)/25))/(LN(2)/25)*Calculateur!CG123*Calculateur!CI123*VLOOKUP('Données projet'!$B$12,Paramètres!$A$1:$I$89,3,0)*0.475*44/12</f>
        <v>0.54204935764028495</v>
      </c>
      <c r="CM123" s="21">
        <f>EXP(-LN(2)/2)*CM122+(1-EXP(-LN(2)/2))/(LN(2)/2)*CG123*CJ123*VLOOKUP('Données projet'!$B$12,Paramètres!$A$1:$I$89,3,0)*0.475*44/12</f>
        <v>2.1940738382396874E-13</v>
      </c>
      <c r="CN123" s="22">
        <f t="shared" si="66"/>
        <v>0.74624376332102171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-1.1527845344971866E-13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272.93635583300755</v>
      </c>
      <c r="T124" s="59">
        <f t="shared" si="88"/>
        <v>179.56041631665812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0.61606997091337101</v>
      </c>
      <c r="AA124" s="21">
        <f>EXP(-LN(2)/25)*AA123+(1-EXP(-LN(2)/25))/(LN(2)/25)*Calculateur!V124*Calculateur!X124*VLOOKUP('Données projet'!$B$9,Paramètres!$A$1:$I$89,3,0)*0.475*44/12</f>
        <v>0.37713900535945821</v>
      </c>
      <c r="AB124" s="21">
        <f>EXP(-LN(2)/2)*AB123+(1-EXP(-LN(2)/2))/(LN(2)/2)*V124*Y124*VLOOKUP('Données projet'!$B$9,Paramètres!$A$1:$I$89,3,0)*0.475*44/12</f>
        <v>1.3744978865201956E-13</v>
      </c>
      <c r="AC124" s="22">
        <f t="shared" si="57"/>
        <v>0.99320897627296667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-1.0286385077051818E-13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237.64646718446005</v>
      </c>
      <c r="AO124" s="59">
        <f t="shared" si="90"/>
        <v>156.67965022779907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0.54972397404577722</v>
      </c>
      <c r="AV124" s="21">
        <f>EXP(-LN(2)/25)*AV123+(1-EXP(-LN(2)/25))/(LN(2)/25)*Calculateur!AQ124*Calculateur!AS124*VLOOKUP('Données projet'!$B$10,Paramètres!$A$1:$I$89,3,0)*0.475*44/12</f>
        <v>0.33652403555151666</v>
      </c>
      <c r="AW124" s="21">
        <f>EXP(-LN(2)/2)*AW123+(1-EXP(-LN(2)/2))/(LN(2)/2)*AQ124*AT124*VLOOKUP('Données projet'!$B$10,Paramètres!$A$1:$I$89,3,0)*0.475*44/12</f>
        <v>1.2264750372026357E-13</v>
      </c>
      <c r="AX124" s="21">
        <f t="shared" si="60"/>
        <v>0.88624800959741656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-1.7053025658242404E-13</v>
      </c>
      <c r="BE124" s="13">
        <f>BD124*VLOOKUP('Données projet'!$B$11,Paramètres!$A$1:$I$89,3,0)*VLOOKUP('Données projet'!$B$11,Paramètres!$A$1:$I$89,5,0)</f>
        <v>-1.1173142411280423E-13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172.9177436650786</v>
      </c>
      <c r="BJ124" s="59">
        <f t="shared" si="92"/>
        <v>173.73622806725865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0.2741128683614435</v>
      </c>
      <c r="BQ124" s="21">
        <f>EXP(-LN(2)/25)*BQ123+(1-EXP(-LN(2)/25))/(LN(2)/25)*Calculateur!BL124*Calculateur!BN124*VLOOKUP('Données projet'!$B$11,Paramètres!$A$1:$I$89,3,0)*0.475*44/12</f>
        <v>0.91568872835620041</v>
      </c>
      <c r="BR124" s="21">
        <f>EXP(-LN(2)/2)*BR123+(1-EXP(-LN(2)/2))/(LN(2)/2)*BL124*BO124*VLOOKUP('Données projet'!$B$11,Paramètres!$A$1:$I$89,3,0)*0.475*44/12</f>
        <v>1.6918331938948505E-13</v>
      </c>
      <c r="BS124" s="22">
        <f t="shared" si="63"/>
        <v>1.189801596717813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289.07218105343333</v>
      </c>
      <c r="CE124" s="59">
        <f t="shared" si="94"/>
        <v>217.57508587672368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0.200190277931412</v>
      </c>
      <c r="CL124" s="21">
        <f>EXP(-LN(2)/25)*CL123+(1-EXP(-LN(2)/25))/(LN(2)/25)*Calculateur!CG124*Calculateur!CI124*VLOOKUP('Données projet'!$B$12,Paramètres!$A$1:$I$89,3,0)*0.475*44/12</f>
        <v>0.52722698945047453</v>
      </c>
      <c r="CM124" s="21">
        <f>EXP(-LN(2)/2)*CM123+(1-EXP(-LN(2)/2))/(LN(2)/2)*CG124*CJ124*VLOOKUP('Données projet'!$B$12,Paramètres!$A$1:$I$89,3,0)*0.475*44/12</f>
        <v>1.5514444894432791E-13</v>
      </c>
      <c r="CN124" s="22">
        <f t="shared" si="66"/>
        <v>0.7274172673820416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-1.1527845344971866E-13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272.93635583300755</v>
      </c>
      <c r="T125" s="59">
        <f t="shared" si="88"/>
        <v>179.56041631665812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0.60398921454933829</v>
      </c>
      <c r="AA125" s="21">
        <f>EXP(-LN(2)/25)*AA124+(1-EXP(-LN(2)/25))/(LN(2)/25)*Calculateur!V125*Calculateur!X125*VLOOKUP('Données projet'!$B$9,Paramètres!$A$1:$I$89,3,0)*0.475*44/12</f>
        <v>0.36682611942502552</v>
      </c>
      <c r="AB125" s="21">
        <f>EXP(-LN(2)/2)*AB124+(1-EXP(-LN(2)/2))/(LN(2)/2)*V125*Y125*VLOOKUP('Données projet'!$B$9,Paramètres!$A$1:$I$89,3,0)*0.475*44/12</f>
        <v>9.7191677628500801E-14</v>
      </c>
      <c r="AC125" s="22">
        <f t="shared" si="57"/>
        <v>0.97081533397446096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-1.0286385077051818E-13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237.64646718446005</v>
      </c>
      <c r="AO125" s="59">
        <f t="shared" si="90"/>
        <v>156.67965022779907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0.53894422221325566</v>
      </c>
      <c r="AV125" s="21">
        <f>EXP(-LN(2)/25)*AV124+(1-EXP(-LN(2)/25))/(LN(2)/25)*Calculateur!AQ125*Calculateur!AS125*VLOOKUP('Données projet'!$B$10,Paramètres!$A$1:$I$89,3,0)*0.475*44/12</f>
        <v>0.32732176810233055</v>
      </c>
      <c r="AW125" s="21">
        <f>EXP(-LN(2)/2)*AW124+(1-EXP(-LN(2)/2))/(LN(2)/2)*AQ125*AT125*VLOOKUP('Données projet'!$B$10,Paramètres!$A$1:$I$89,3,0)*0.475*44/12</f>
        <v>8.6724881576200685E-14</v>
      </c>
      <c r="AX125" s="21">
        <f t="shared" si="60"/>
        <v>0.86626599031567297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-1.7053025658242404E-13</v>
      </c>
      <c r="BE125" s="13">
        <f>BD125*VLOOKUP('Données projet'!$B$11,Paramètres!$A$1:$I$89,3,0)*VLOOKUP('Données projet'!$B$11,Paramètres!$A$1:$I$89,5,0)</f>
        <v>-1.1173142411280423E-13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172.9177436650786</v>
      </c>
      <c r="BJ125" s="59">
        <f t="shared" si="92"/>
        <v>173.73622806725865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0.26873768220521643</v>
      </c>
      <c r="BQ125" s="21">
        <f>EXP(-LN(2)/25)*BQ124+(1-EXP(-LN(2)/25))/(LN(2)/25)*Calculateur!BL125*Calculateur!BN125*VLOOKUP('Données projet'!$B$11,Paramètres!$A$1:$I$89,3,0)*0.475*44/12</f>
        <v>0.89064917192532267</v>
      </c>
      <c r="BR125" s="21">
        <f>EXP(-LN(2)/2)*BR124+(1-EXP(-LN(2)/2))/(LN(2)/2)*BL125*BO125*VLOOKUP('Données projet'!$B$11,Paramètres!$A$1:$I$89,3,0)*0.475*44/12</f>
        <v>1.1963067240395439E-13</v>
      </c>
      <c r="BS125" s="22">
        <f t="shared" si="63"/>
        <v>1.1593868541306589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289.07218105343333</v>
      </c>
      <c r="CE125" s="59">
        <f t="shared" si="94"/>
        <v>217.57508587672368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0.19626466868518977</v>
      </c>
      <c r="CL125" s="21">
        <f>EXP(-LN(2)/25)*CL124+(1-EXP(-LN(2)/25))/(LN(2)/25)*Calculateur!CG125*Calculateur!CI125*VLOOKUP('Données projet'!$B$12,Paramètres!$A$1:$I$89,3,0)*0.475*44/12</f>
        <v>0.51280993969828892</v>
      </c>
      <c r="CM125" s="21">
        <f>EXP(-LN(2)/2)*CM124+(1-EXP(-LN(2)/2))/(LN(2)/2)*CG125*CJ125*VLOOKUP('Données projet'!$B$12,Paramètres!$A$1:$I$89,3,0)*0.475*44/12</f>
        <v>1.0970369191198437E-13</v>
      </c>
      <c r="CN125" s="22">
        <f t="shared" si="66"/>
        <v>0.70907460838358838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-1.1527845344971866E-13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272.93635583300755</v>
      </c>
      <c r="T126" s="59">
        <f t="shared" si="88"/>
        <v>179.56041631665812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0.59214535444907046</v>
      </c>
      <c r="AA126" s="21">
        <f>EXP(-LN(2)/25)*AA125+(1-EXP(-LN(2)/25))/(LN(2)/25)*Calculateur!V126*Calculateur!X126*VLOOKUP('Données projet'!$B$9,Paramètres!$A$1:$I$89,3,0)*0.475*44/12</f>
        <v>0.35679523989880096</v>
      </c>
      <c r="AB126" s="21">
        <f>EXP(-LN(2)/2)*AB125+(1-EXP(-LN(2)/2))/(LN(2)/2)*V126*Y126*VLOOKUP('Données projet'!$B$9,Paramètres!$A$1:$I$89,3,0)*0.475*44/12</f>
        <v>6.8724894326009781E-14</v>
      </c>
      <c r="AC126" s="22">
        <f t="shared" si="57"/>
        <v>0.9489405943479402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-1.0286385077051818E-13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237.64646718446005</v>
      </c>
      <c r="AO126" s="59">
        <f t="shared" si="90"/>
        <v>156.67965022779907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0.52837585473917048</v>
      </c>
      <c r="AV126" s="21">
        <f>EXP(-LN(2)/25)*AV125+(1-EXP(-LN(2)/25))/(LN(2)/25)*Calculateur!AQ126*Calculateur!AS126*VLOOKUP('Données projet'!$B$10,Paramètres!$A$1:$I$89,3,0)*0.475*44/12</f>
        <v>0.31837113714046866</v>
      </c>
      <c r="AW126" s="21">
        <f>EXP(-LN(2)/2)*AW125+(1-EXP(-LN(2)/2))/(LN(2)/2)*AQ126*AT126*VLOOKUP('Données projet'!$B$10,Paramètres!$A$1:$I$89,3,0)*0.475*44/12</f>
        <v>6.1323751860131785E-14</v>
      </c>
      <c r="AX126" s="21">
        <f t="shared" si="60"/>
        <v>0.84674699187970037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-1.7053025658242404E-13</v>
      </c>
      <c r="BE126" s="13">
        <f>BD126*VLOOKUP('Données projet'!$B$11,Paramètres!$A$1:$I$89,3,0)*VLOOKUP('Données projet'!$B$11,Paramètres!$A$1:$I$89,5,0)</f>
        <v>-1.1173142411280423E-13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172.9177436650786</v>
      </c>
      <c r="BJ126" s="59">
        <f t="shared" si="92"/>
        <v>173.73622806725865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0.26346790017097316</v>
      </c>
      <c r="BQ126" s="21">
        <f>EXP(-LN(2)/25)*BQ125+(1-EXP(-LN(2)/25))/(LN(2)/25)*Calculateur!BL126*Calculateur!BN126*VLOOKUP('Données projet'!$B$11,Paramètres!$A$1:$I$89,3,0)*0.475*44/12</f>
        <v>0.86629432348182034</v>
      </c>
      <c r="BR126" s="21">
        <f>EXP(-LN(2)/2)*BR125+(1-EXP(-LN(2)/2))/(LN(2)/2)*BL126*BO126*VLOOKUP('Données projet'!$B$11,Paramètres!$A$1:$I$89,3,0)*0.475*44/12</f>
        <v>8.4591659694742523E-14</v>
      </c>
      <c r="BS126" s="22">
        <f t="shared" si="63"/>
        <v>1.1297622236528782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289.07218105343333</v>
      </c>
      <c r="CE126" s="59">
        <f t="shared" si="94"/>
        <v>217.57508587672368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0.19241603824190076</v>
      </c>
      <c r="CL126" s="21">
        <f>EXP(-LN(2)/25)*CL125+(1-EXP(-LN(2)/25))/(LN(2)/25)*Calculateur!CG126*Calculateur!CI126*VLOOKUP('Données projet'!$B$12,Paramètres!$A$1:$I$89,3,0)*0.475*44/12</f>
        <v>0.49878712492973654</v>
      </c>
      <c r="CM126" s="21">
        <f>EXP(-LN(2)/2)*CM125+(1-EXP(-LN(2)/2))/(LN(2)/2)*CG126*CJ126*VLOOKUP('Données projet'!$B$12,Paramètres!$A$1:$I$89,3,0)*0.475*44/12</f>
        <v>7.7572224472163956E-14</v>
      </c>
      <c r="CN126" s="22">
        <f t="shared" si="66"/>
        <v>0.69120316317171493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-1.1527845344971866E-13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272.93635583300755</v>
      </c>
      <c r="T127" s="59">
        <f t="shared" si="88"/>
        <v>179.56041631665812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0.5805337452213275</v>
      </c>
      <c r="AA127" s="21">
        <f>EXP(-LN(2)/25)*AA126+(1-EXP(-LN(2)/25))/(LN(2)/25)*Calculateur!V127*Calculateur!X127*VLOOKUP('Données projet'!$B$9,Paramètres!$A$1:$I$89,3,0)*0.475*44/12</f>
        <v>0.34703865530072203</v>
      </c>
      <c r="AB127" s="21">
        <f>EXP(-LN(2)/2)*AB126+(1-EXP(-LN(2)/2))/(LN(2)/2)*V127*Y127*VLOOKUP('Données projet'!$B$9,Paramètres!$A$1:$I$89,3,0)*0.475*44/12</f>
        <v>4.8595838814250401E-14</v>
      </c>
      <c r="AC127" s="22">
        <f t="shared" si="57"/>
        <v>0.92757240052209822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-1.0286385077051818E-13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237.64646718446005</v>
      </c>
      <c r="AO127" s="59">
        <f t="shared" si="90"/>
        <v>156.67965022779907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0.51801472650518443</v>
      </c>
      <c r="AV127" s="21">
        <f>EXP(-LN(2)/25)*AV126+(1-EXP(-LN(2)/25))/(LN(2)/25)*Calculateur!AQ127*Calculateur!AS127*VLOOKUP('Données projet'!$B$10,Paramètres!$A$1:$I$89,3,0)*0.475*44/12</f>
        <v>0.30966526165295211</v>
      </c>
      <c r="AW127" s="21">
        <f>EXP(-LN(2)/2)*AW126+(1-EXP(-LN(2)/2))/(LN(2)/2)*AQ127*AT127*VLOOKUP('Données projet'!$B$10,Paramètres!$A$1:$I$89,3,0)*0.475*44/12</f>
        <v>4.3362440788100343E-14</v>
      </c>
      <c r="AX127" s="21">
        <f t="shared" si="60"/>
        <v>0.82767998815817989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-1.7053025658242404E-13</v>
      </c>
      <c r="BE127" s="13">
        <f>BD127*VLOOKUP('Données projet'!$B$11,Paramètres!$A$1:$I$89,3,0)*VLOOKUP('Données projet'!$B$11,Paramètres!$A$1:$I$89,5,0)</f>
        <v>-1.1173142411280423E-13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172.9177436650786</v>
      </c>
      <c r="BJ127" s="59">
        <f t="shared" si="92"/>
        <v>173.73622806725865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0.25830145534817173</v>
      </c>
      <c r="BQ127" s="21">
        <f>EXP(-LN(2)/25)*BQ126+(1-EXP(-LN(2)/25))/(LN(2)/25)*Calculateur!BL127*Calculateur!BN127*VLOOKUP('Données projet'!$B$11,Paramètres!$A$1:$I$89,3,0)*0.475*44/12</f>
        <v>0.8426054596497714</v>
      </c>
      <c r="BR127" s="21">
        <f>EXP(-LN(2)/2)*BR126+(1-EXP(-LN(2)/2))/(LN(2)/2)*BL127*BO127*VLOOKUP('Données projet'!$B$11,Paramètres!$A$1:$I$89,3,0)*0.475*44/12</f>
        <v>5.9815336201977193E-14</v>
      </c>
      <c r="BS127" s="22">
        <f t="shared" si="63"/>
        <v>1.1009069149980029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289.07218105343333</v>
      </c>
      <c r="CE127" s="59">
        <f t="shared" si="94"/>
        <v>217.57508587672368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0.18864287709417185</v>
      </c>
      <c r="CL127" s="21">
        <f>EXP(-LN(2)/25)*CL126+(1-EXP(-LN(2)/25))/(LN(2)/25)*Calculateur!CG127*Calculateur!CI127*VLOOKUP('Données projet'!$B$12,Paramètres!$A$1:$I$89,3,0)*0.475*44/12</f>
        <v>0.485147764768458</v>
      </c>
      <c r="CM127" s="21">
        <f>EXP(-LN(2)/2)*CM126+(1-EXP(-LN(2)/2))/(LN(2)/2)*CG127*CJ127*VLOOKUP('Données projet'!$B$12,Paramètres!$A$1:$I$89,3,0)*0.475*44/12</f>
        <v>5.4851845955992186E-14</v>
      </c>
      <c r="CN127" s="22">
        <f t="shared" si="66"/>
        <v>0.67379064186268467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-1.1527845344971866E-13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272.93635583300755</v>
      </c>
      <c r="T128" s="59">
        <f t="shared" si="88"/>
        <v>179.56041631665812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0.56914983256815832</v>
      </c>
      <c r="AA128" s="21">
        <f>EXP(-LN(2)/25)*AA127+(1-EXP(-LN(2)/25))/(LN(2)/25)*Calculateur!V128*Calculateur!X128*VLOOKUP('Données projet'!$B$9,Paramètres!$A$1:$I$89,3,0)*0.475*44/12</f>
        <v>0.33754886502155407</v>
      </c>
      <c r="AB128" s="21">
        <f>EXP(-LN(2)/2)*AB127+(1-EXP(-LN(2)/2))/(LN(2)/2)*V128*Y128*VLOOKUP('Données projet'!$B$9,Paramètres!$A$1:$I$89,3,0)*0.475*44/12</f>
        <v>3.4362447163004891E-14</v>
      </c>
      <c r="AC128" s="22">
        <f t="shared" si="57"/>
        <v>0.90669869758974686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-1.0286385077051818E-13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237.64646718446005</v>
      </c>
      <c r="AO128" s="59">
        <f t="shared" si="90"/>
        <v>156.67965022779907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0.50785677367620274</v>
      </c>
      <c r="AV128" s="21">
        <f>EXP(-LN(2)/25)*AV127+(1-EXP(-LN(2)/25))/(LN(2)/25)*Calculateur!AQ128*Calculateur!AS128*VLOOKUP('Données projet'!$B$10,Paramètres!$A$1:$I$89,3,0)*0.475*44/12</f>
        <v>0.30119744878846377</v>
      </c>
      <c r="AW128" s="21">
        <f>EXP(-LN(2)/2)*AW127+(1-EXP(-LN(2)/2))/(LN(2)/2)*AQ128*AT128*VLOOKUP('Données projet'!$B$10,Paramètres!$A$1:$I$89,3,0)*0.475*44/12</f>
        <v>3.0661875930065892E-14</v>
      </c>
      <c r="AX128" s="21">
        <f t="shared" si="60"/>
        <v>0.80905422246469716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-1.7053025658242404E-13</v>
      </c>
      <c r="BE128" s="13">
        <f>BD128*VLOOKUP('Données projet'!$B$11,Paramètres!$A$1:$I$89,3,0)*VLOOKUP('Données projet'!$B$11,Paramètres!$A$1:$I$89,5,0)</f>
        <v>-1.1173142411280423E-13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172.9177436650786</v>
      </c>
      <c r="BJ128" s="59">
        <f t="shared" si="92"/>
        <v>173.73622806725865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0.25323632135712526</v>
      </c>
      <c r="BQ128" s="21">
        <f>EXP(-LN(2)/25)*BQ127+(1-EXP(-LN(2)/25))/(LN(2)/25)*Calculateur!BL128*Calculateur!BN128*VLOOKUP('Données projet'!$B$11,Paramètres!$A$1:$I$89,3,0)*0.475*44/12</f>
        <v>0.81956436904495311</v>
      </c>
      <c r="BR128" s="21">
        <f>EXP(-LN(2)/2)*BR127+(1-EXP(-LN(2)/2))/(LN(2)/2)*BL128*BO128*VLOOKUP('Données projet'!$B$11,Paramètres!$A$1:$I$89,3,0)*0.475*44/12</f>
        <v>4.2295829847371262E-14</v>
      </c>
      <c r="BS128" s="22">
        <f t="shared" si="63"/>
        <v>1.0728006904021206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289.07218105343333</v>
      </c>
      <c r="CE128" s="59">
        <f t="shared" si="94"/>
        <v>217.57508587672368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0.18494370533514887</v>
      </c>
      <c r="CL128" s="21">
        <f>EXP(-LN(2)/25)*CL127+(1-EXP(-LN(2)/25))/(LN(2)/25)*Calculateur!CG128*Calculateur!CI128*VLOOKUP('Données projet'!$B$12,Paramètres!$A$1:$I$89,3,0)*0.475*44/12</f>
        <v>0.47188137362805238</v>
      </c>
      <c r="CM128" s="21">
        <f>EXP(-LN(2)/2)*CM127+(1-EXP(-LN(2)/2))/(LN(2)/2)*CG128*CJ128*VLOOKUP('Données projet'!$B$12,Paramètres!$A$1:$I$89,3,0)*0.475*44/12</f>
        <v>3.8786112236081978E-14</v>
      </c>
      <c r="CN128" s="22">
        <f t="shared" si="66"/>
        <v>0.65682507896324005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-1.1527845344971866E-13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272.93635583300755</v>
      </c>
      <c r="T129" s="59">
        <f t="shared" si="88"/>
        <v>179.56041631665812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0.55798915149861672</v>
      </c>
      <c r="AA129" s="21">
        <f>EXP(-LN(2)/25)*AA128+(1-EXP(-LN(2)/25))/(LN(2)/25)*Calculateur!V129*Calculateur!X129*VLOOKUP('Données projet'!$B$9,Paramètres!$A$1:$I$89,3,0)*0.475*44/12</f>
        <v>0.32831857355661631</v>
      </c>
      <c r="AB129" s="21">
        <f>EXP(-LN(2)/2)*AB128+(1-EXP(-LN(2)/2))/(LN(2)/2)*V129*Y129*VLOOKUP('Données projet'!$B$9,Paramètres!$A$1:$I$89,3,0)*0.475*44/12</f>
        <v>2.42979194071252E-14</v>
      </c>
      <c r="AC129" s="22">
        <f t="shared" si="57"/>
        <v>0.88630772505525734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-1.0286385077051818E-13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237.64646718446005</v>
      </c>
      <c r="AO129" s="59">
        <f t="shared" si="90"/>
        <v>156.67965022779907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0.4978980121064579</v>
      </c>
      <c r="AV129" s="21">
        <f>EXP(-LN(2)/25)*AV128+(1-EXP(-LN(2)/25))/(LN(2)/25)*Calculateur!AQ129*Calculateur!AS129*VLOOKUP('Données projet'!$B$10,Paramètres!$A$1:$I$89,3,0)*0.475*44/12</f>
        <v>0.29296118871205779</v>
      </c>
      <c r="AW129" s="21">
        <f>EXP(-LN(2)/2)*AW128+(1-EXP(-LN(2)/2))/(LN(2)/2)*AQ129*AT129*VLOOKUP('Données projet'!$B$10,Paramètres!$A$1:$I$89,3,0)*0.475*44/12</f>
        <v>2.1681220394050171E-14</v>
      </c>
      <c r="AX129" s="21">
        <f t="shared" si="60"/>
        <v>0.79085920081853733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-1.7053025658242404E-13</v>
      </c>
      <c r="BE129" s="13">
        <f>BD129*VLOOKUP('Données projet'!$B$11,Paramètres!$A$1:$I$89,3,0)*VLOOKUP('Données projet'!$B$11,Paramètres!$A$1:$I$89,5,0)</f>
        <v>-1.1173142411280423E-13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172.9177436650786</v>
      </c>
      <c r="BJ129" s="59">
        <f t="shared" si="92"/>
        <v>173.73622806725865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0.24827051155421651</v>
      </c>
      <c r="BQ129" s="21">
        <f>EXP(-LN(2)/25)*BQ128+(1-EXP(-LN(2)/25))/(LN(2)/25)*Calculateur!BL129*Calculateur!BN129*VLOOKUP('Données projet'!$B$11,Paramètres!$A$1:$I$89,3,0)*0.475*44/12</f>
        <v>0.79715333827440182</v>
      </c>
      <c r="BR129" s="21">
        <f>EXP(-LN(2)/2)*BR128+(1-EXP(-LN(2)/2))/(LN(2)/2)*BL129*BO129*VLOOKUP('Données projet'!$B$11,Paramètres!$A$1:$I$89,3,0)*0.475*44/12</f>
        <v>2.9907668100988596E-14</v>
      </c>
      <c r="BS129" s="22">
        <f t="shared" si="63"/>
        <v>1.0454238498286483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289.07218105343333</v>
      </c>
      <c r="CE129" s="59">
        <f t="shared" si="94"/>
        <v>217.57508587672368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0.18131707207804834</v>
      </c>
      <c r="CL129" s="21">
        <f>EXP(-LN(2)/25)*CL128+(1-EXP(-LN(2)/25))/(LN(2)/25)*Calculateur!CG129*Calculateur!CI129*VLOOKUP('Données projet'!$B$12,Paramètres!$A$1:$I$89,3,0)*0.475*44/12</f>
        <v>0.45897775265103036</v>
      </c>
      <c r="CM129" s="21">
        <f>EXP(-LN(2)/2)*CM128+(1-EXP(-LN(2)/2))/(LN(2)/2)*CG129*CJ129*VLOOKUP('Données projet'!$B$12,Paramètres!$A$1:$I$89,3,0)*0.475*44/12</f>
        <v>2.7425922977996093E-14</v>
      </c>
      <c r="CN129" s="22">
        <f t="shared" si="66"/>
        <v>0.64029482472910615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-1.1527845344971866E-13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272.93635583300755</v>
      </c>
      <c r="T130" s="59">
        <f t="shared" si="88"/>
        <v>179.56041631665812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0.54704732457750549</v>
      </c>
      <c r="AA130" s="21">
        <f>EXP(-LN(2)/25)*AA129+(1-EXP(-LN(2)/25))/(LN(2)/25)*Calculateur!V130*Calculateur!X130*VLOOKUP('Données projet'!$B$9,Paramètres!$A$1:$I$89,3,0)*0.475*44/12</f>
        <v>0.31934068489718725</v>
      </c>
      <c r="AB130" s="21">
        <f>EXP(-LN(2)/2)*AB129+(1-EXP(-LN(2)/2))/(LN(2)/2)*V130*Y130*VLOOKUP('Données projet'!$B$9,Paramètres!$A$1:$I$89,3,0)*0.475*44/12</f>
        <v>1.7181223581502445E-14</v>
      </c>
      <c r="AC130" s="22">
        <f t="shared" si="57"/>
        <v>0.86638800947470995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-1.0286385077051818E-13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237.64646718446005</v>
      </c>
      <c r="AO130" s="59">
        <f t="shared" si="90"/>
        <v>156.67965022779907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0.48813453577685095</v>
      </c>
      <c r="AV130" s="21">
        <f>EXP(-LN(2)/25)*AV129+(1-EXP(-LN(2)/25))/(LN(2)/25)*Calculateur!AQ130*Calculateur!AS130*VLOOKUP('Données projet'!$B$10,Paramètres!$A$1:$I$89,3,0)*0.475*44/12</f>
        <v>0.28495014960056725</v>
      </c>
      <c r="AW130" s="21">
        <f>EXP(-LN(2)/2)*AW129+(1-EXP(-LN(2)/2))/(LN(2)/2)*AQ130*AT130*VLOOKUP('Données projet'!$B$10,Paramètres!$A$1:$I$89,3,0)*0.475*44/12</f>
        <v>1.5330937965032946E-14</v>
      </c>
      <c r="AX130" s="21">
        <f t="shared" si="60"/>
        <v>0.77308468537743358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-1.7053025658242404E-13</v>
      </c>
      <c r="BE130" s="13">
        <f>BD130*VLOOKUP('Données projet'!$B$11,Paramètres!$A$1:$I$89,3,0)*VLOOKUP('Données projet'!$B$11,Paramètres!$A$1:$I$89,5,0)</f>
        <v>-1.1173142411280423E-13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172.9177436650786</v>
      </c>
      <c r="BJ130" s="59">
        <f t="shared" si="92"/>
        <v>173.73622806725865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0.24340207825269788</v>
      </c>
      <c r="BQ130" s="21">
        <f>EXP(-LN(2)/25)*BQ129+(1-EXP(-LN(2)/25))/(LN(2)/25)*Calculateur!BL130*Calculateur!BN130*VLOOKUP('Données projet'!$B$11,Paramètres!$A$1:$I$89,3,0)*0.475*44/12</f>
        <v>0.77535513831881619</v>
      </c>
      <c r="BR130" s="21">
        <f>EXP(-LN(2)/2)*BR129+(1-EXP(-LN(2)/2))/(LN(2)/2)*BL130*BO130*VLOOKUP('Données projet'!$B$11,Paramètres!$A$1:$I$89,3,0)*0.475*44/12</f>
        <v>2.1147914923685631E-14</v>
      </c>
      <c r="BS130" s="22">
        <f t="shared" si="63"/>
        <v>1.0187572165715351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289.07218105343333</v>
      </c>
      <c r="CE130" s="59">
        <f t="shared" si="94"/>
        <v>217.57508587672368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0.17776155488709167</v>
      </c>
      <c r="CL130" s="21">
        <f>EXP(-LN(2)/25)*CL129+(1-EXP(-LN(2)/25))/(LN(2)/25)*Calculateur!CG130*Calculateur!CI130*VLOOKUP('Données projet'!$B$12,Paramètres!$A$1:$I$89,3,0)*0.475*44/12</f>
        <v>0.4464269818681969</v>
      </c>
      <c r="CM130" s="21">
        <f>EXP(-LN(2)/2)*CM129+(1-EXP(-LN(2)/2))/(LN(2)/2)*CG130*CJ130*VLOOKUP('Données projet'!$B$12,Paramètres!$A$1:$I$89,3,0)*0.475*44/12</f>
        <v>1.9393056118040989E-14</v>
      </c>
      <c r="CN130" s="22">
        <f t="shared" si="66"/>
        <v>0.62418853675530805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-1.1527845344971866E-13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272.93635583300755</v>
      </c>
      <c r="T131" s="59">
        <f t="shared" si="88"/>
        <v>179.56041631665812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0.53632006020846179</v>
      </c>
      <c r="AA131" s="21">
        <f>EXP(-LN(2)/25)*AA130+(1-EXP(-LN(2)/25))/(LN(2)/25)*Calculateur!V131*Calculateur!X131*VLOOKUP('Données projet'!$B$9,Paramètres!$A$1:$I$89,3,0)*0.475*44/12</f>
        <v>0.31060829707527693</v>
      </c>
      <c r="AB131" s="21">
        <f>EXP(-LN(2)/2)*AB130+(1-EXP(-LN(2)/2))/(LN(2)/2)*V131*Y131*VLOOKUP('Données projet'!$B$9,Paramètres!$A$1:$I$89,3,0)*0.475*44/12</f>
        <v>1.21489597035626E-14</v>
      </c>
      <c r="AC131" s="22">
        <f t="shared" si="57"/>
        <v>0.84692835728375082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-1.0286385077051818E-13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237.64646718446005</v>
      </c>
      <c r="AO131" s="59">
        <f t="shared" si="90"/>
        <v>156.67965022779907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0.47856251526293508</v>
      </c>
      <c r="AV131" s="21">
        <f>EXP(-LN(2)/25)*AV130+(1-EXP(-LN(2)/25))/(LN(2)/25)*Calculateur!AQ131*Calculateur!AS131*VLOOKUP('Données projet'!$B$10,Paramètres!$A$1:$I$89,3,0)*0.475*44/12</f>
        <v>0.27715817277486265</v>
      </c>
      <c r="AW131" s="21">
        <f>EXP(-LN(2)/2)*AW130+(1-EXP(-LN(2)/2))/(LN(2)/2)*AQ131*AT131*VLOOKUP('Données projet'!$B$10,Paramètres!$A$1:$I$89,3,0)*0.475*44/12</f>
        <v>1.0840610197025086E-14</v>
      </c>
      <c r="AX131" s="21">
        <f t="shared" si="60"/>
        <v>0.75572068803780867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-1.7053025658242404E-13</v>
      </c>
      <c r="BE131" s="13">
        <f>BD131*VLOOKUP('Données projet'!$B$11,Paramètres!$A$1:$I$89,3,0)*VLOOKUP('Données projet'!$B$11,Paramètres!$A$1:$I$89,5,0)</f>
        <v>-1.1173142411280423E-13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172.9177436650786</v>
      </c>
      <c r="BJ131" s="59">
        <f t="shared" si="92"/>
        <v>173.73622806725865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0.23862911195877096</v>
      </c>
      <c r="BQ131" s="21">
        <f>EXP(-LN(2)/25)*BQ130+(1-EXP(-LN(2)/25))/(LN(2)/25)*Calculateur!BL131*Calculateur!BN131*VLOOKUP('Données projet'!$B$11,Paramètres!$A$1:$I$89,3,0)*0.475*44/12</f>
        <v>0.75415301128733359</v>
      </c>
      <c r="BR131" s="21">
        <f>EXP(-LN(2)/2)*BR130+(1-EXP(-LN(2)/2))/(LN(2)/2)*BL131*BO131*VLOOKUP('Données projet'!$B$11,Paramètres!$A$1:$I$89,3,0)*0.475*44/12</f>
        <v>1.4953834050494298E-14</v>
      </c>
      <c r="BS131" s="22">
        <f t="shared" si="63"/>
        <v>0.99278212324611947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289.07218105343333</v>
      </c>
      <c r="CE131" s="59">
        <f t="shared" si="94"/>
        <v>217.57508587672368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0.17427575921959831</v>
      </c>
      <c r="CL131" s="21">
        <f>EXP(-LN(2)/25)*CL130+(1-EXP(-LN(2)/25))/(LN(2)/25)*Calculateur!CG131*Calculateur!CI131*VLOOKUP('Données projet'!$B$12,Paramètres!$A$1:$I$89,3,0)*0.475*44/12</f>
        <v>0.4342194125724364</v>
      </c>
      <c r="CM131" s="21">
        <f>EXP(-LN(2)/2)*CM130+(1-EXP(-LN(2)/2))/(LN(2)/2)*CG131*CJ131*VLOOKUP('Données projet'!$B$12,Paramètres!$A$1:$I$89,3,0)*0.475*44/12</f>
        <v>1.3712961488998046E-14</v>
      </c>
      <c r="CN131" s="22">
        <f t="shared" si="66"/>
        <v>0.60849517179204848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-1.1527845344971866E-13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272.93635583300755</v>
      </c>
      <c r="T132" s="59">
        <f t="shared" si="88"/>
        <v>179.56041631665812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0.52580315095070984</v>
      </c>
      <c r="AA132" s="21">
        <f>EXP(-LN(2)/25)*AA131+(1-EXP(-LN(2)/25))/(LN(2)/25)*Calculateur!V132*Calculateur!X132*VLOOKUP('Données projet'!$B$9,Paramètres!$A$1:$I$89,3,0)*0.475*44/12</f>
        <v>0.30211469685757303</v>
      </c>
      <c r="AB132" s="21">
        <f>EXP(-LN(2)/2)*AB131+(1-EXP(-LN(2)/2))/(LN(2)/2)*V132*Y132*VLOOKUP('Données projet'!$B$9,Paramètres!$A$1:$I$89,3,0)*0.475*44/12</f>
        <v>8.5906117907512226E-15</v>
      </c>
      <c r="AC132" s="22">
        <f t="shared" ref="AC132:AC153" si="111">SUM(Z132:AB132)</f>
        <v>0.82791784780829147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-1.0286385077051818E-13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237.64646718446005</v>
      </c>
      <c r="AO132" s="59">
        <f t="shared" si="90"/>
        <v>156.67965022779907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0.46917819623294105</v>
      </c>
      <c r="AV132" s="21">
        <f>EXP(-LN(2)/25)*AV131+(1-EXP(-LN(2)/25))/(LN(2)/25)*Calculateur!AQ132*Calculateur!AS132*VLOOKUP('Données projet'!$B$10,Paramètres!$A$1:$I$89,3,0)*0.475*44/12</f>
        <v>0.26957926796521919</v>
      </c>
      <c r="AW132" s="21">
        <f>EXP(-LN(2)/2)*AW131+(1-EXP(-LN(2)/2))/(LN(2)/2)*AQ132*AT132*VLOOKUP('Données projet'!$B$10,Paramètres!$A$1:$I$89,3,0)*0.475*44/12</f>
        <v>7.6654689825164731E-15</v>
      </c>
      <c r="AX132" s="21">
        <f t="shared" ref="AX132:AX153" si="114">SUM(AU132:AW132)</f>
        <v>0.7387574641981679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-1.7053025658242404E-13</v>
      </c>
      <c r="BE132" s="13">
        <f>BD132*VLOOKUP('Données projet'!$B$11,Paramètres!$A$1:$I$89,3,0)*VLOOKUP('Données projet'!$B$11,Paramètres!$A$1:$I$89,5,0)</f>
        <v>-1.1173142411280423E-13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172.9177436650786</v>
      </c>
      <c r="BJ132" s="59">
        <f t="shared" si="92"/>
        <v>173.73622806725865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0.23394974062264595</v>
      </c>
      <c r="BQ132" s="21">
        <f>EXP(-LN(2)/25)*BQ131+(1-EXP(-LN(2)/25))/(LN(2)/25)*Calculateur!BL132*Calculateur!BN132*VLOOKUP('Données projet'!$B$11,Paramètres!$A$1:$I$89,3,0)*0.475*44/12</f>
        <v>0.7335306575344982</v>
      </c>
      <c r="BR132" s="21">
        <f>EXP(-LN(2)/2)*BR131+(1-EXP(-LN(2)/2))/(LN(2)/2)*BL132*BO132*VLOOKUP('Données projet'!$B$11,Paramètres!$A$1:$I$89,3,0)*0.475*44/12</f>
        <v>1.0573957461842815E-14</v>
      </c>
      <c r="BS132" s="22">
        <f t="shared" ref="BS132:BS153" si="117">SUM(BP132:BR132)</f>
        <v>0.9674803981571547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289.07218105343333</v>
      </c>
      <c r="CE132" s="59">
        <f t="shared" si="94"/>
        <v>217.57508587672368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0.17085831787901909</v>
      </c>
      <c r="CL132" s="21">
        <f>EXP(-LN(2)/25)*CL131+(1-EXP(-LN(2)/25))/(LN(2)/25)*Calculateur!CG132*Calculateur!CI132*VLOOKUP('Données projet'!$B$12,Paramètres!$A$1:$I$89,3,0)*0.475*44/12</f>
        <v>0.42234565990103662</v>
      </c>
      <c r="CM132" s="21">
        <f>EXP(-LN(2)/2)*CM131+(1-EXP(-LN(2)/2))/(LN(2)/2)*CG132*CJ132*VLOOKUP('Données projet'!$B$12,Paramètres!$A$1:$I$89,3,0)*0.475*44/12</f>
        <v>9.6965280590204945E-15</v>
      </c>
      <c r="CN132" s="22">
        <f t="shared" ref="CN132:CN153" si="120">SUM(CK132:CM132)</f>
        <v>0.59320397778006539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-1.1527845344971866E-13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272.93635583300755</v>
      </c>
      <c r="T133" s="59">
        <f t="shared" ref="T133:T196" si="142">$T$3</f>
        <v>179.56041631665812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0.51549247186882119</v>
      </c>
      <c r="AA133" s="21">
        <f>EXP(-LN(2)/25)*AA132+(1-EXP(-LN(2)/25))/(LN(2)/25)*Calculateur!V133*Calculateur!X133*VLOOKUP('Données projet'!$B$9,Paramètres!$A$1:$I$89,3,0)*0.475*44/12</f>
        <v>0.29385335458448125</v>
      </c>
      <c r="AB133" s="21">
        <f>EXP(-LN(2)/2)*AB132+(1-EXP(-LN(2)/2))/(LN(2)/2)*V133*Y133*VLOOKUP('Données projet'!$B$9,Paramètres!$A$1:$I$89,3,0)*0.475*44/12</f>
        <v>6.0744798517813001E-15</v>
      </c>
      <c r="AC133" s="22">
        <f t="shared" si="111"/>
        <v>0.80934582645330855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-1.0286385077051818E-13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237.64646718446005</v>
      </c>
      <c r="AO133" s="59">
        <f t="shared" ref="AO133:AO196" si="144">$AO$3</f>
        <v>156.67965022779907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0.45997789797525579</v>
      </c>
      <c r="AV133" s="21">
        <f>EXP(-LN(2)/25)*AV132+(1-EXP(-LN(2)/25))/(LN(2)/25)*Calculateur!AQ133*Calculateur!AS133*VLOOKUP('Données projet'!$B$10,Paramètres!$A$1:$I$89,3,0)*0.475*44/12</f>
        <v>0.26220760870615273</v>
      </c>
      <c r="AW133" s="21">
        <f>EXP(-LN(2)/2)*AW132+(1-EXP(-LN(2)/2))/(LN(2)/2)*AQ133*AT133*VLOOKUP('Données projet'!$B$10,Paramètres!$A$1:$I$89,3,0)*0.475*44/12</f>
        <v>5.4203050985125428E-15</v>
      </c>
      <c r="AX133" s="21">
        <f t="shared" si="114"/>
        <v>0.7221855066814139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-1.7053025658242404E-13</v>
      </c>
      <c r="BE133" s="13">
        <f>BD133*VLOOKUP('Données projet'!$B$11,Paramètres!$A$1:$I$89,3,0)*VLOOKUP('Données projet'!$B$11,Paramètres!$A$1:$I$89,5,0)</f>
        <v>-1.1173142411280423E-13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172.9177436650786</v>
      </c>
      <c r="BJ133" s="59">
        <f t="shared" ref="BJ133:BJ196" si="146">$BJ$3</f>
        <v>173.73622806725865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0.22936212890428767</v>
      </c>
      <c r="BQ133" s="21">
        <f>EXP(-LN(2)/25)*BQ132+(1-EXP(-LN(2)/25))/(LN(2)/25)*Calculateur!BL133*Calculateur!BN133*VLOOKUP('Données projet'!$B$11,Paramètres!$A$1:$I$89,3,0)*0.475*44/12</f>
        <v>0.71347222312951653</v>
      </c>
      <c r="BR133" s="21">
        <f>EXP(-LN(2)/2)*BR132+(1-EXP(-LN(2)/2))/(LN(2)/2)*BL133*BO133*VLOOKUP('Données projet'!$B$11,Paramètres!$A$1:$I$89,3,0)*0.475*44/12</f>
        <v>7.4769170252471491E-15</v>
      </c>
      <c r="BS133" s="22">
        <f t="shared" si="117"/>
        <v>0.94283435203381161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289.07218105343333</v>
      </c>
      <c r="CE133" s="59">
        <f t="shared" ref="CE133:CE196" si="148">$CE$3</f>
        <v>217.57508587672368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0.16750789047869521</v>
      </c>
      <c r="CL133" s="21">
        <f>EXP(-LN(2)/25)*CL132+(1-EXP(-LN(2)/25))/(LN(2)/25)*Calculateur!CG133*Calculateur!CI133*VLOOKUP('Données projet'!$B$12,Paramètres!$A$1:$I$89,3,0)*0.475*44/12</f>
        <v>0.4107965956208498</v>
      </c>
      <c r="CM133" s="21">
        <f>EXP(-LN(2)/2)*CM132+(1-EXP(-LN(2)/2))/(LN(2)/2)*CG133*CJ133*VLOOKUP('Données projet'!$B$12,Paramètres!$A$1:$I$89,3,0)*0.475*44/12</f>
        <v>6.8564807444990232E-15</v>
      </c>
      <c r="CN133" s="22">
        <f t="shared" si="120"/>
        <v>0.57830448609955187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-1.1527845344971866E-13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272.93635583300755</v>
      </c>
      <c r="T134" s="59">
        <f t="shared" si="142"/>
        <v>179.56041631665812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0.50538397891483511</v>
      </c>
      <c r="AA134" s="21">
        <f>EXP(-LN(2)/25)*AA133+(1-EXP(-LN(2)/25))/(LN(2)/25)*Calculateur!V134*Calculateur!X134*VLOOKUP('Données projet'!$B$9,Paramètres!$A$1:$I$89,3,0)*0.475*44/12</f>
        <v>0.28581791915029231</v>
      </c>
      <c r="AB134" s="21">
        <f>EXP(-LN(2)/2)*AB133+(1-EXP(-LN(2)/2))/(LN(2)/2)*V134*Y134*VLOOKUP('Données projet'!$B$9,Paramètres!$A$1:$I$89,3,0)*0.475*44/12</f>
        <v>4.2953058953756113E-15</v>
      </c>
      <c r="AC134" s="22">
        <f t="shared" si="111"/>
        <v>0.79120189806513175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-1.0286385077051818E-13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237.64646718446005</v>
      </c>
      <c r="AO134" s="59">
        <f t="shared" si="144"/>
        <v>156.67965022779907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0.45095801195477592</v>
      </c>
      <c r="AV134" s="21">
        <f>EXP(-LN(2)/25)*AV133+(1-EXP(-LN(2)/25))/(LN(2)/25)*Calculateur!AQ134*Calculateur!AS134*VLOOKUP('Données projet'!$B$10,Paramètres!$A$1:$I$89,3,0)*0.475*44/12</f>
        <v>0.25503752785718414</v>
      </c>
      <c r="AW134" s="21">
        <f>EXP(-LN(2)/2)*AW133+(1-EXP(-LN(2)/2))/(LN(2)/2)*AQ134*AT134*VLOOKUP('Données projet'!$B$10,Paramètres!$A$1:$I$89,3,0)*0.475*44/12</f>
        <v>3.8327344912582365E-15</v>
      </c>
      <c r="AX134" s="21">
        <f t="shared" si="114"/>
        <v>0.70599553981196395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-1.7053025658242404E-13</v>
      </c>
      <c r="BE134" s="13">
        <f>BD134*VLOOKUP('Données projet'!$B$11,Paramètres!$A$1:$I$89,3,0)*VLOOKUP('Données projet'!$B$11,Paramètres!$A$1:$I$89,5,0)</f>
        <v>-1.1173142411280423E-13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172.9177436650786</v>
      </c>
      <c r="BJ134" s="59">
        <f t="shared" si="146"/>
        <v>173.73622806725865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0.22486447745355953</v>
      </c>
      <c r="BQ134" s="21">
        <f>EXP(-LN(2)/25)*BQ133+(1-EXP(-LN(2)/25))/(LN(2)/25)*Calculateur!BL134*Calculateur!BN134*VLOOKUP('Données projet'!$B$11,Paramètres!$A$1:$I$89,3,0)*0.475*44/12</f>
        <v>0.69396228766816637</v>
      </c>
      <c r="BR134" s="21">
        <f>EXP(-LN(2)/2)*BR133+(1-EXP(-LN(2)/2))/(LN(2)/2)*BL134*BO134*VLOOKUP('Données projet'!$B$11,Paramètres!$A$1:$I$89,3,0)*0.475*44/12</f>
        <v>5.2869787309214077E-15</v>
      </c>
      <c r="BS134" s="22">
        <f t="shared" si="117"/>
        <v>0.91882676512173123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289.07218105343333</v>
      </c>
      <c r="CE134" s="59">
        <f t="shared" si="148"/>
        <v>217.57508587672368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0.16422316291613276</v>
      </c>
      <c r="CL134" s="21">
        <f>EXP(-LN(2)/25)*CL133+(1-EXP(-LN(2)/25))/(LN(2)/25)*Calculateur!CG134*Calculateur!CI134*VLOOKUP('Données projet'!$B$12,Paramètres!$A$1:$I$89,3,0)*0.475*44/12</f>
        <v>0.3995633411107436</v>
      </c>
      <c r="CM134" s="21">
        <f>EXP(-LN(2)/2)*CM133+(1-EXP(-LN(2)/2))/(LN(2)/2)*CG134*CJ134*VLOOKUP('Données projet'!$B$12,Paramètres!$A$1:$I$89,3,0)*0.475*44/12</f>
        <v>4.8482640295102472E-15</v>
      </c>
      <c r="CN134" s="22">
        <f t="shared" si="120"/>
        <v>0.56378650402688124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-1.1527845344971866E-13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272.93635583300755</v>
      </c>
      <c r="T135" s="59">
        <f t="shared" si="142"/>
        <v>179.56041631665812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0.49547370734210477</v>
      </c>
      <c r="AA135" s="21">
        <f>EXP(-LN(2)/25)*AA134+(1-EXP(-LN(2)/25))/(LN(2)/25)*Calculateur!V135*Calculateur!X135*VLOOKUP('Données projet'!$B$9,Paramètres!$A$1:$I$89,3,0)*0.475*44/12</f>
        <v>0.27800221312061646</v>
      </c>
      <c r="AB135" s="21">
        <f>EXP(-LN(2)/2)*AB134+(1-EXP(-LN(2)/2))/(LN(2)/2)*V135*Y135*VLOOKUP('Données projet'!$B$9,Paramètres!$A$1:$I$89,3,0)*0.475*44/12</f>
        <v>3.03723992589065E-15</v>
      </c>
      <c r="AC135" s="22">
        <f t="shared" si="111"/>
        <v>0.77347592046272429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-1.0286385077051818E-13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237.64646718446005</v>
      </c>
      <c r="AO135" s="59">
        <f t="shared" si="144"/>
        <v>156.67965022779907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0.4421150003975704</v>
      </c>
      <c r="AV135" s="21">
        <f>EXP(-LN(2)/25)*AV134+(1-EXP(-LN(2)/25))/(LN(2)/25)*Calculateur!AQ135*Calculateur!AS135*VLOOKUP('Données projet'!$B$10,Paramètres!$A$1:$I$89,3,0)*0.475*44/12</f>
        <v>0.24806351324608875</v>
      </c>
      <c r="AW135" s="21">
        <f>EXP(-LN(2)/2)*AW134+(1-EXP(-LN(2)/2))/(LN(2)/2)*AQ135*AT135*VLOOKUP('Données projet'!$B$10,Paramètres!$A$1:$I$89,3,0)*0.475*44/12</f>
        <v>2.7101525492562714E-15</v>
      </c>
      <c r="AX135" s="21">
        <f t="shared" si="114"/>
        <v>0.69017851364366178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-1.7053025658242404E-13</v>
      </c>
      <c r="BE135" s="13">
        <f>BD135*VLOOKUP('Données projet'!$B$11,Paramètres!$A$1:$I$89,3,0)*VLOOKUP('Données projet'!$B$11,Paramètres!$A$1:$I$89,5,0)</f>
        <v>-1.1173142411280423E-13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172.9177436650786</v>
      </c>
      <c r="BJ135" s="59">
        <f t="shared" si="146"/>
        <v>173.73622806725865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0.22045502220448365</v>
      </c>
      <c r="BQ135" s="21">
        <f>EXP(-LN(2)/25)*BQ134+(1-EXP(-LN(2)/25))/(LN(2)/25)*Calculateur!BL135*Calculateur!BN135*VLOOKUP('Données projet'!$B$11,Paramètres!$A$1:$I$89,3,0)*0.475*44/12</f>
        <v>0.6749858524179897</v>
      </c>
      <c r="BR135" s="21">
        <f>EXP(-LN(2)/2)*BR134+(1-EXP(-LN(2)/2))/(LN(2)/2)*BL135*BO135*VLOOKUP('Données projet'!$B$11,Paramètres!$A$1:$I$89,3,0)*0.475*44/12</f>
        <v>3.7384585126235745E-15</v>
      </c>
      <c r="BS135" s="22">
        <f t="shared" si="117"/>
        <v>0.89544087462247712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289.07218105343333</v>
      </c>
      <c r="CE135" s="59">
        <f t="shared" si="148"/>
        <v>217.57508587672368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0.16100284685758617</v>
      </c>
      <c r="CL135" s="21">
        <f>EXP(-LN(2)/25)*CL134+(1-EXP(-LN(2)/25))/(LN(2)/25)*Calculateur!CG135*Calculateur!CI135*VLOOKUP('Données projet'!$B$12,Paramètres!$A$1:$I$89,3,0)*0.475*44/12</f>
        <v>0.38863726053594744</v>
      </c>
      <c r="CM135" s="21">
        <f>EXP(-LN(2)/2)*CM134+(1-EXP(-LN(2)/2))/(LN(2)/2)*CG135*CJ135*VLOOKUP('Données projet'!$B$12,Paramètres!$A$1:$I$89,3,0)*0.475*44/12</f>
        <v>3.4282403722495116E-15</v>
      </c>
      <c r="CN135" s="22">
        <f t="shared" si="120"/>
        <v>0.54964010739353708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-1.1527845344971866E-13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272.93635583300755</v>
      </c>
      <c r="T136" s="59">
        <f t="shared" si="142"/>
        <v>179.56041631665812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0.4857577701502469</v>
      </c>
      <c r="AA136" s="21">
        <f>EXP(-LN(2)/25)*AA135+(1-EXP(-LN(2)/25))/(LN(2)/25)*Calculateur!V136*Calculateur!X136*VLOOKUP('Données projet'!$B$9,Paramètres!$A$1:$I$89,3,0)*0.475*44/12</f>
        <v>0.27040022798333219</v>
      </c>
      <c r="AB136" s="21">
        <f>EXP(-LN(2)/2)*AB135+(1-EXP(-LN(2)/2))/(LN(2)/2)*V136*Y136*VLOOKUP('Données projet'!$B$9,Paramètres!$A$1:$I$89,3,0)*0.475*44/12</f>
        <v>2.1476529476878057E-15</v>
      </c>
      <c r="AC136" s="22">
        <f t="shared" si="111"/>
        <v>0.7561579981335812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-1.0286385077051818E-13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237.64646718446005</v>
      </c>
      <c r="AO136" s="59">
        <f t="shared" si="144"/>
        <v>156.67965022779907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0.43344539490329725</v>
      </c>
      <c r="AV136" s="21">
        <f>EXP(-LN(2)/25)*AV135+(1-EXP(-LN(2)/25))/(LN(2)/25)*Calculateur!AQ136*Calculateur!AS136*VLOOKUP('Données projet'!$B$10,Paramètres!$A$1:$I$89,3,0)*0.475*44/12</f>
        <v>0.24128020343128123</v>
      </c>
      <c r="AW136" s="21">
        <f>EXP(-LN(2)/2)*AW135+(1-EXP(-LN(2)/2))/(LN(2)/2)*AQ136*AT136*VLOOKUP('Données projet'!$B$10,Paramètres!$A$1:$I$89,3,0)*0.475*44/12</f>
        <v>1.9163672456291183E-15</v>
      </c>
      <c r="AX136" s="21">
        <f t="shared" si="114"/>
        <v>0.67472559833458035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-1.7053025658242404E-13</v>
      </c>
      <c r="BE136" s="13">
        <f>BD136*VLOOKUP('Données projet'!$B$11,Paramètres!$A$1:$I$89,3,0)*VLOOKUP('Données projet'!$B$11,Paramètres!$A$1:$I$89,5,0)</f>
        <v>-1.1173142411280423E-13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172.9177436650786</v>
      </c>
      <c r="BJ136" s="59">
        <f t="shared" si="146"/>
        <v>173.73622806725865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0.21613203368334002</v>
      </c>
      <c r="BQ136" s="21">
        <f>EXP(-LN(2)/25)*BQ135+(1-EXP(-LN(2)/25))/(LN(2)/25)*Calculateur!BL136*Calculateur!BN136*VLOOKUP('Données projet'!$B$11,Paramètres!$A$1:$I$89,3,0)*0.475*44/12</f>
        <v>0.65652832878765643</v>
      </c>
      <c r="BR136" s="21">
        <f>EXP(-LN(2)/2)*BR135+(1-EXP(-LN(2)/2))/(LN(2)/2)*BL136*BO136*VLOOKUP('Données projet'!$B$11,Paramètres!$A$1:$I$89,3,0)*0.475*44/12</f>
        <v>2.6434893654607038E-15</v>
      </c>
      <c r="BS136" s="22">
        <f t="shared" si="117"/>
        <v>0.8726603624709991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289.07218105343333</v>
      </c>
      <c r="CE136" s="59">
        <f t="shared" si="148"/>
        <v>217.57508587672368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0.15784567923274884</v>
      </c>
      <c r="CL136" s="21">
        <f>EXP(-LN(2)/25)*CL135+(1-EXP(-LN(2)/25))/(LN(2)/25)*Calculateur!CG136*Calculateur!CI136*VLOOKUP('Données projet'!$B$12,Paramètres!$A$1:$I$89,3,0)*0.475*44/12</f>
        <v>0.37800995420904665</v>
      </c>
      <c r="CM136" s="21">
        <f>EXP(-LN(2)/2)*CM135+(1-EXP(-LN(2)/2))/(LN(2)/2)*CG136*CJ136*VLOOKUP('Données projet'!$B$12,Paramètres!$A$1:$I$89,3,0)*0.475*44/12</f>
        <v>2.4241320147551236E-15</v>
      </c>
      <c r="CN136" s="22">
        <f t="shared" si="120"/>
        <v>0.53585563344179787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-1.1527845344971866E-13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272.93635583300755</v>
      </c>
      <c r="T137" s="59">
        <f t="shared" si="142"/>
        <v>179.56041631665812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0.47623235656058482</v>
      </c>
      <c r="AA137" s="21">
        <f>EXP(-LN(2)/25)*AA136+(1-EXP(-LN(2)/25))/(LN(2)/25)*Calculateur!V137*Calculateur!X137*VLOOKUP('Données projet'!$B$9,Paramètres!$A$1:$I$89,3,0)*0.475*44/12</f>
        <v>0.26300611952939801</v>
      </c>
      <c r="AB137" s="21">
        <f>EXP(-LN(2)/2)*AB136+(1-EXP(-LN(2)/2))/(LN(2)/2)*V137*Y137*VLOOKUP('Données projet'!$B$9,Paramètres!$A$1:$I$89,3,0)*0.475*44/12</f>
        <v>1.518619962945325E-15</v>
      </c>
      <c r="AC137" s="22">
        <f t="shared" si="111"/>
        <v>0.73923847608998439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-1.0286385077051818E-13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237.64646718446005</v>
      </c>
      <c r="AO137" s="59">
        <f t="shared" si="144"/>
        <v>156.67965022779907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0.42494579508482955</v>
      </c>
      <c r="AV137" s="21">
        <f>EXP(-LN(2)/25)*AV136+(1-EXP(-LN(2)/25))/(LN(2)/25)*Calculateur!AQ137*Calculateur!AS137*VLOOKUP('Données projet'!$B$10,Paramètres!$A$1:$I$89,3,0)*0.475*44/12</f>
        <v>0.2346823835800784</v>
      </c>
      <c r="AW137" s="21">
        <f>EXP(-LN(2)/2)*AW136+(1-EXP(-LN(2)/2))/(LN(2)/2)*AQ137*AT137*VLOOKUP('Données projet'!$B$10,Paramètres!$A$1:$I$89,3,0)*0.475*44/12</f>
        <v>1.3550762746281357E-15</v>
      </c>
      <c r="AX137" s="21">
        <f t="shared" si="114"/>
        <v>0.6596281786649093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-1.7053025658242404E-13</v>
      </c>
      <c r="BE137" s="13">
        <f>BD137*VLOOKUP('Données projet'!$B$11,Paramètres!$A$1:$I$89,3,0)*VLOOKUP('Données projet'!$B$11,Paramètres!$A$1:$I$89,5,0)</f>
        <v>-1.1173142411280423E-13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172.9177436650786</v>
      </c>
      <c r="BJ137" s="59">
        <f t="shared" si="146"/>
        <v>173.73622806725865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0.21189381633033338</v>
      </c>
      <c r="BQ137" s="21">
        <f>EXP(-LN(2)/25)*BQ136+(1-EXP(-LN(2)/25))/(LN(2)/25)*Calculateur!BL137*Calculateur!BN137*VLOOKUP('Données projet'!$B$11,Paramètres!$A$1:$I$89,3,0)*0.475*44/12</f>
        <v>0.63857552711163368</v>
      </c>
      <c r="BR137" s="21">
        <f>EXP(-LN(2)/2)*BR136+(1-EXP(-LN(2)/2))/(LN(2)/2)*BL137*BO137*VLOOKUP('Données projet'!$B$11,Paramètres!$A$1:$I$89,3,0)*0.475*44/12</f>
        <v>1.8692292563117873E-15</v>
      </c>
      <c r="BS137" s="22">
        <f t="shared" si="117"/>
        <v>0.85046934344196889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289.07218105343333</v>
      </c>
      <c r="CE137" s="59">
        <f t="shared" si="148"/>
        <v>217.57508587672368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0.15475042173935247</v>
      </c>
      <c r="CL137" s="21">
        <f>EXP(-LN(2)/25)*CL136+(1-EXP(-LN(2)/25))/(LN(2)/25)*Calculateur!CG137*Calculateur!CI137*VLOOKUP('Données projet'!$B$12,Paramètres!$A$1:$I$89,3,0)*0.475*44/12</f>
        <v>0.36767325213252072</v>
      </c>
      <c r="CM137" s="21">
        <f>EXP(-LN(2)/2)*CM136+(1-EXP(-LN(2)/2))/(LN(2)/2)*CG137*CJ137*VLOOKUP('Données projet'!$B$12,Paramètres!$A$1:$I$89,3,0)*0.475*44/12</f>
        <v>1.7141201861247558E-15</v>
      </c>
      <c r="CN137" s="22">
        <f t="shared" si="120"/>
        <v>0.52242367387187483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-1.1527845344971866E-13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272.93635583300755</v>
      </c>
      <c r="T138" s="59">
        <f t="shared" si="142"/>
        <v>179.56041631665812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0.46689373052148742</v>
      </c>
      <c r="AA138" s="21">
        <f>EXP(-LN(2)/25)*AA137+(1-EXP(-LN(2)/25))/(LN(2)/25)*Calculateur!V138*Calculateur!X138*VLOOKUP('Données projet'!$B$9,Paramètres!$A$1:$I$89,3,0)*0.475*44/12</f>
        <v>0.2558142033599759</v>
      </c>
      <c r="AB138" s="21">
        <f>EXP(-LN(2)/2)*AB137+(1-EXP(-LN(2)/2))/(LN(2)/2)*V138*Y138*VLOOKUP('Données projet'!$B$9,Paramètres!$A$1:$I$89,3,0)*0.475*44/12</f>
        <v>1.0738264738439028E-15</v>
      </c>
      <c r="AC138" s="22">
        <f t="shared" si="111"/>
        <v>0.72270793388146437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-1.0286385077051818E-13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237.64646718446005</v>
      </c>
      <c r="AO138" s="59">
        <f t="shared" si="144"/>
        <v>156.67965022779907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0.41661286723455804</v>
      </c>
      <c r="AV138" s="21">
        <f>EXP(-LN(2)/25)*AV137+(1-EXP(-LN(2)/25))/(LN(2)/25)*Calculateur!AQ138*Calculateur!AS138*VLOOKUP('Données projet'!$B$10,Paramètres!$A$1:$I$89,3,0)*0.475*44/12</f>
        <v>0.22826498145967097</v>
      </c>
      <c r="AW138" s="21">
        <f>EXP(-LN(2)/2)*AW137+(1-EXP(-LN(2)/2))/(LN(2)/2)*AQ138*AT138*VLOOKUP('Données projet'!$B$10,Paramètres!$A$1:$I$89,3,0)*0.475*44/12</f>
        <v>9.5818362281455913E-16</v>
      </c>
      <c r="AX138" s="21">
        <f t="shared" si="114"/>
        <v>0.64487784869423004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-1.7053025658242404E-13</v>
      </c>
      <c r="BE138" s="13">
        <f>BD138*VLOOKUP('Données projet'!$B$11,Paramètres!$A$1:$I$89,3,0)*VLOOKUP('Données projet'!$B$11,Paramètres!$A$1:$I$89,5,0)</f>
        <v>-1.1173142411280423E-13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172.9177436650786</v>
      </c>
      <c r="BJ138" s="59">
        <f t="shared" si="146"/>
        <v>173.73622806725865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0.20773870783456189</v>
      </c>
      <c r="BQ138" s="21">
        <f>EXP(-LN(2)/25)*BQ137+(1-EXP(-LN(2)/25))/(LN(2)/25)*Calculateur!BL138*Calculateur!BN138*VLOOKUP('Données projet'!$B$11,Paramètres!$A$1:$I$89,3,0)*0.475*44/12</f>
        <v>0.6211136457415386</v>
      </c>
      <c r="BR138" s="21">
        <f>EXP(-LN(2)/2)*BR137+(1-EXP(-LN(2)/2))/(LN(2)/2)*BL138*BO138*VLOOKUP('Données projet'!$B$11,Paramètres!$A$1:$I$89,3,0)*0.475*44/12</f>
        <v>1.3217446827303519E-15</v>
      </c>
      <c r="BS138" s="22">
        <f t="shared" si="117"/>
        <v>0.82885235357610187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289.07218105343333</v>
      </c>
      <c r="CE138" s="59">
        <f t="shared" si="148"/>
        <v>217.57508587672368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0.15171586035748094</v>
      </c>
      <c r="CL138" s="21">
        <f>EXP(-LN(2)/25)*CL137+(1-EXP(-LN(2)/25))/(LN(2)/25)*Calculateur!CG138*Calculateur!CI138*VLOOKUP('Données projet'!$B$12,Paramètres!$A$1:$I$89,3,0)*0.475*44/12</f>
        <v>0.35761920771786093</v>
      </c>
      <c r="CM138" s="21">
        <f>EXP(-LN(2)/2)*CM137+(1-EXP(-LN(2)/2))/(LN(2)/2)*CG138*CJ138*VLOOKUP('Données projet'!$B$12,Paramètres!$A$1:$I$89,3,0)*0.475*44/12</f>
        <v>1.2120660073775618E-15</v>
      </c>
      <c r="CN138" s="22">
        <f t="shared" si="120"/>
        <v>0.50933506807534312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-1.1527845344971866E-13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272.93635583300755</v>
      </c>
      <c r="T139" s="59">
        <f t="shared" si="142"/>
        <v>179.56041631665812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0.45773822924301727</v>
      </c>
      <c r="AA139" s="21">
        <f>EXP(-LN(2)/25)*AA138+(1-EXP(-LN(2)/25))/(LN(2)/25)*Calculateur!V139*Calculateur!X139*VLOOKUP('Données projet'!$B$9,Paramètres!$A$1:$I$89,3,0)*0.475*44/12</f>
        <v>0.24881895051641306</v>
      </c>
      <c r="AB139" s="21">
        <f>EXP(-LN(2)/2)*AB138+(1-EXP(-LN(2)/2))/(LN(2)/2)*V139*Y139*VLOOKUP('Données projet'!$B$9,Paramètres!$A$1:$I$89,3,0)*0.475*44/12</f>
        <v>7.5930998147266251E-16</v>
      </c>
      <c r="AC139" s="22">
        <f t="shared" si="111"/>
        <v>0.70655717975943111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-1.0286385077051818E-13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237.64646718446005</v>
      </c>
      <c r="AO139" s="59">
        <f t="shared" si="144"/>
        <v>156.67965022779907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0.40844334301684621</v>
      </c>
      <c r="AV139" s="21">
        <f>EXP(-LN(2)/25)*AV138+(1-EXP(-LN(2)/25))/(LN(2)/25)*Calculateur!AQ139*Calculateur!AS139*VLOOKUP('Données projet'!$B$10,Paramètres!$A$1:$I$89,3,0)*0.475*44/12</f>
        <v>0.22202306353772261</v>
      </c>
      <c r="AW139" s="21">
        <f>EXP(-LN(2)/2)*AW138+(1-EXP(-LN(2)/2))/(LN(2)/2)*AQ139*AT139*VLOOKUP('Données projet'!$B$10,Paramètres!$A$1:$I$89,3,0)*0.475*44/12</f>
        <v>6.7753813731406785E-16</v>
      </c>
      <c r="AX139" s="21">
        <f t="shared" si="114"/>
        <v>0.63046640655456954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-1.7053025658242404E-13</v>
      </c>
      <c r="BE139" s="13">
        <f>BD139*VLOOKUP('Données projet'!$B$11,Paramètres!$A$1:$I$89,3,0)*VLOOKUP('Données projet'!$B$11,Paramètres!$A$1:$I$89,5,0)</f>
        <v>-1.1173142411280423E-13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172.9177436650786</v>
      </c>
      <c r="BJ139" s="59">
        <f t="shared" si="146"/>
        <v>173.73622806725865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0.20366507848202653</v>
      </c>
      <c r="BQ139" s="21">
        <f>EXP(-LN(2)/25)*BQ138+(1-EXP(-LN(2)/25))/(LN(2)/25)*Calculateur!BL139*Calculateur!BN139*VLOOKUP('Données projet'!$B$11,Paramètres!$A$1:$I$89,3,0)*0.475*44/12</f>
        <v>0.60412926043578918</v>
      </c>
      <c r="BR139" s="21">
        <f>EXP(-LN(2)/2)*BR138+(1-EXP(-LN(2)/2))/(LN(2)/2)*BL139*BO139*VLOOKUP('Données projet'!$B$11,Paramètres!$A$1:$I$89,3,0)*0.475*44/12</f>
        <v>9.3461462815589364E-16</v>
      </c>
      <c r="BS139" s="22">
        <f t="shared" si="117"/>
        <v>0.8077943389178166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289.07218105343333</v>
      </c>
      <c r="CE139" s="59">
        <f t="shared" si="148"/>
        <v>217.57508587672368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0.14874080487340824</v>
      </c>
      <c r="CL139" s="21">
        <f>EXP(-LN(2)/25)*CL138+(1-EXP(-LN(2)/25))/(LN(2)/25)*Calculateur!CG139*Calculateur!CI139*VLOOKUP('Données projet'!$B$12,Paramètres!$A$1:$I$89,3,0)*0.475*44/12</f>
        <v>0.34784009167643926</v>
      </c>
      <c r="CM139" s="21">
        <f>EXP(-LN(2)/2)*CM138+(1-EXP(-LN(2)/2))/(LN(2)/2)*CG139*CJ139*VLOOKUP('Données projet'!$B$12,Paramètres!$A$1:$I$89,3,0)*0.475*44/12</f>
        <v>8.570600930623779E-16</v>
      </c>
      <c r="CN139" s="22">
        <f t="shared" si="120"/>
        <v>0.49658089654984833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-1.1527845344971866E-13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272.93635583300755</v>
      </c>
      <c r="T140" s="59">
        <f t="shared" si="142"/>
        <v>179.56041631665812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0.44876226176031353</v>
      </c>
      <c r="AA140" s="21">
        <f>EXP(-LN(2)/25)*AA139+(1-EXP(-LN(2)/25))/(LN(2)/25)*Calculateur!V140*Calculateur!X140*VLOOKUP('Données projet'!$B$9,Paramètres!$A$1:$I$89,3,0)*0.475*44/12</f>
        <v>0.24201498322972181</v>
      </c>
      <c r="AB140" s="21">
        <f>EXP(-LN(2)/2)*AB139+(1-EXP(-LN(2)/2))/(LN(2)/2)*V140*Y140*VLOOKUP('Données projet'!$B$9,Paramètres!$A$1:$I$89,3,0)*0.475*44/12</f>
        <v>5.3691323692195141E-16</v>
      </c>
      <c r="AC140" s="22">
        <f t="shared" si="111"/>
        <v>0.6907772449900359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-1.0286385077051818E-13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237.64646718446005</v>
      </c>
      <c r="AO140" s="59">
        <f t="shared" si="144"/>
        <v>156.67965022779907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0.40043401818612595</v>
      </c>
      <c r="AV140" s="21">
        <f>EXP(-LN(2)/25)*AV139+(1-EXP(-LN(2)/25))/(LN(2)/25)*Calculateur!AQ140*Calculateur!AS140*VLOOKUP('Données projet'!$B$10,Paramètres!$A$1:$I$89,3,0)*0.475*44/12</f>
        <v>0.21595183118959813</v>
      </c>
      <c r="AW140" s="21">
        <f>EXP(-LN(2)/2)*AW139+(1-EXP(-LN(2)/2))/(LN(2)/2)*AQ140*AT140*VLOOKUP('Données projet'!$B$10,Paramètres!$A$1:$I$89,3,0)*0.475*44/12</f>
        <v>4.7909181140727957E-16</v>
      </c>
      <c r="AX140" s="21">
        <f t="shared" si="114"/>
        <v>0.61638584937572449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-1.7053025658242404E-13</v>
      </c>
      <c r="BE140" s="13">
        <f>BD140*VLOOKUP('Données projet'!$B$11,Paramètres!$A$1:$I$89,3,0)*VLOOKUP('Données projet'!$B$11,Paramètres!$A$1:$I$89,5,0)</f>
        <v>-1.1173142411280423E-13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172.9177436650786</v>
      </c>
      <c r="BJ140" s="59">
        <f t="shared" si="146"/>
        <v>173.73622806725865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0.19967133051642583</v>
      </c>
      <c r="BQ140" s="21">
        <f>EXP(-LN(2)/25)*BQ139+(1-EXP(-LN(2)/25))/(LN(2)/25)*Calculateur!BL140*Calculateur!BN140*VLOOKUP('Données projet'!$B$11,Paramètres!$A$1:$I$89,3,0)*0.475*44/12</f>
        <v>0.58760931403939543</v>
      </c>
      <c r="BR140" s="21">
        <f>EXP(-LN(2)/2)*BR139+(1-EXP(-LN(2)/2))/(LN(2)/2)*BL140*BO140*VLOOKUP('Données projet'!$B$11,Paramètres!$A$1:$I$89,3,0)*0.475*44/12</f>
        <v>6.6087234136517596E-16</v>
      </c>
      <c r="BS140" s="22">
        <f t="shared" si="117"/>
        <v>0.78728064455582192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289.07218105343333</v>
      </c>
      <c r="CE140" s="59">
        <f t="shared" si="148"/>
        <v>217.57508587672368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0.14582408841277353</v>
      </c>
      <c r="CL140" s="21">
        <f>EXP(-LN(2)/25)*CL139+(1-EXP(-LN(2)/25))/(LN(2)/25)*Calculateur!CG140*Calculateur!CI140*VLOOKUP('Données projet'!$B$12,Paramètres!$A$1:$I$89,3,0)*0.475*44/12</f>
        <v>0.3383283860774316</v>
      </c>
      <c r="CM140" s="21">
        <f>EXP(-LN(2)/2)*CM139+(1-EXP(-LN(2)/2))/(LN(2)/2)*CG140*CJ140*VLOOKUP('Données projet'!$B$12,Paramètres!$A$1:$I$89,3,0)*0.475*44/12</f>
        <v>6.060330036887809E-16</v>
      </c>
      <c r="CN140" s="22">
        <f t="shared" si="120"/>
        <v>0.48415247449020576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-1.1527845344971866E-13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272.93635583300755</v>
      </c>
      <c r="T141" s="59">
        <f t="shared" si="142"/>
        <v>179.56041631665812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0.43996230752514603</v>
      </c>
      <c r="AA141" s="21">
        <f>EXP(-LN(2)/25)*AA140+(1-EXP(-LN(2)/25))/(LN(2)/25)*Calculateur!V141*Calculateur!X141*VLOOKUP('Données projet'!$B$9,Paramètres!$A$1:$I$89,3,0)*0.475*44/12</f>
        <v>0.23539707078629024</v>
      </c>
      <c r="AB141" s="21">
        <f>EXP(-LN(2)/2)*AB140+(1-EXP(-LN(2)/2))/(LN(2)/2)*V141*Y141*VLOOKUP('Données projet'!$B$9,Paramètres!$A$1:$I$89,3,0)*0.475*44/12</f>
        <v>3.7965499073633125E-16</v>
      </c>
      <c r="AC141" s="22">
        <f t="shared" si="111"/>
        <v>0.67535937831143655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-1.0286385077051818E-13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237.64646718446005</v>
      </c>
      <c r="AO141" s="59">
        <f t="shared" si="144"/>
        <v>156.67965022779907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0.39258175133013035</v>
      </c>
      <c r="AV141" s="21">
        <f>EXP(-LN(2)/25)*AV140+(1-EXP(-LN(2)/25))/(LN(2)/25)*Calculateur!AQ141*Calculateur!AS141*VLOOKUP('Données projet'!$B$10,Paramètres!$A$1:$I$89,3,0)*0.475*44/12</f>
        <v>0.21004661700930533</v>
      </c>
      <c r="AW141" s="21">
        <f>EXP(-LN(2)/2)*AW140+(1-EXP(-LN(2)/2))/(LN(2)/2)*AQ141*AT141*VLOOKUP('Données projet'!$B$10,Paramètres!$A$1:$I$89,3,0)*0.475*44/12</f>
        <v>3.3876906865703393E-16</v>
      </c>
      <c r="AX141" s="21">
        <f t="shared" si="114"/>
        <v>0.602628368339436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-1.7053025658242404E-13</v>
      </c>
      <c r="BE141" s="13">
        <f>BD141*VLOOKUP('Données projet'!$B$11,Paramètres!$A$1:$I$89,3,0)*VLOOKUP('Données projet'!$B$11,Paramètres!$A$1:$I$89,5,0)</f>
        <v>-1.1173142411280423E-13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172.9177436650786</v>
      </c>
      <c r="BJ141" s="59">
        <f t="shared" si="146"/>
        <v>173.73622806725865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0.19575589751248482</v>
      </c>
      <c r="BQ141" s="21">
        <f>EXP(-LN(2)/25)*BQ140+(1-EXP(-LN(2)/25))/(LN(2)/25)*Calculateur!BL141*Calculateur!BN141*VLOOKUP('Données projet'!$B$11,Paramètres!$A$1:$I$89,3,0)*0.475*44/12</f>
        <v>0.57154110644595735</v>
      </c>
      <c r="BR141" s="21">
        <f>EXP(-LN(2)/2)*BR140+(1-EXP(-LN(2)/2))/(LN(2)/2)*BL141*BO141*VLOOKUP('Données projet'!$B$11,Paramètres!$A$1:$I$89,3,0)*0.475*44/12</f>
        <v>4.6730731407794682E-16</v>
      </c>
      <c r="BS141" s="22">
        <f t="shared" si="117"/>
        <v>0.76729700395844258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289.07218105343333</v>
      </c>
      <c r="CE141" s="59">
        <f t="shared" si="148"/>
        <v>217.57508587672368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0.14296456698291049</v>
      </c>
      <c r="CL141" s="21">
        <f>EXP(-LN(2)/25)*CL140+(1-EXP(-LN(2)/25))/(LN(2)/25)*Calculateur!CG141*Calculateur!CI141*VLOOKUP('Données projet'!$B$12,Paramètres!$A$1:$I$89,3,0)*0.475*44/12</f>
        <v>0.32907677856822765</v>
      </c>
      <c r="CM141" s="21">
        <f>EXP(-LN(2)/2)*CM140+(1-EXP(-LN(2)/2))/(LN(2)/2)*CG141*CJ141*VLOOKUP('Données projet'!$B$12,Paramètres!$A$1:$I$89,3,0)*0.475*44/12</f>
        <v>4.2853004653118895E-16</v>
      </c>
      <c r="CN141" s="22">
        <f t="shared" si="120"/>
        <v>0.47204134555113858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-1.1527845344971866E-13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272.93635583300755</v>
      </c>
      <c r="T142" s="59">
        <f t="shared" si="142"/>
        <v>179.56041631665812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0.43133491502508808</v>
      </c>
      <c r="AA142" s="21">
        <f>EXP(-LN(2)/25)*AA141+(1-EXP(-LN(2)/25))/(LN(2)/25)*Calculateur!V142*Calculateur!X142*VLOOKUP('Données projet'!$B$9,Paramètres!$A$1:$I$89,3,0)*0.475*44/12</f>
        <v>0.22896012550664518</v>
      </c>
      <c r="AB142" s="21">
        <f>EXP(-LN(2)/2)*AB141+(1-EXP(-LN(2)/2))/(LN(2)/2)*V142*Y142*VLOOKUP('Données projet'!$B$9,Paramètres!$A$1:$I$89,3,0)*0.475*44/12</f>
        <v>2.6845661846097571E-16</v>
      </c>
      <c r="AC142" s="22">
        <f t="shared" si="111"/>
        <v>0.66029504053173349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-1.0286385077051818E-13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237.64646718446005</v>
      </c>
      <c r="AO142" s="59">
        <f t="shared" si="144"/>
        <v>156.67965022779907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0.38488346263777096</v>
      </c>
      <c r="AV142" s="21">
        <f>EXP(-LN(2)/25)*AV141+(1-EXP(-LN(2)/25))/(LN(2)/25)*Calculateur!AQ142*Calculateur!AS142*VLOOKUP('Données projet'!$B$10,Paramètres!$A$1:$I$89,3,0)*0.475*44/12</f>
        <v>0.20430288122131435</v>
      </c>
      <c r="AW142" s="21">
        <f>EXP(-LN(2)/2)*AW141+(1-EXP(-LN(2)/2))/(LN(2)/2)*AQ142*AT142*VLOOKUP('Données projet'!$B$10,Paramètres!$A$1:$I$89,3,0)*0.475*44/12</f>
        <v>2.3954590570363978E-16</v>
      </c>
      <c r="AX142" s="21">
        <f t="shared" si="114"/>
        <v>0.58918634385908553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-1.7053025658242404E-13</v>
      </c>
      <c r="BE142" s="13">
        <f>BD142*VLOOKUP('Données projet'!$B$11,Paramètres!$A$1:$I$89,3,0)*VLOOKUP('Données projet'!$B$11,Paramètres!$A$1:$I$89,5,0)</f>
        <v>-1.1173142411280423E-13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172.9177436650786</v>
      </c>
      <c r="BJ142" s="59">
        <f t="shared" si="146"/>
        <v>173.73622806725865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0.19191724376157276</v>
      </c>
      <c r="BQ142" s="21">
        <f>EXP(-LN(2)/25)*BQ141+(1-EXP(-LN(2)/25))/(LN(2)/25)*Calculateur!BL142*Calculateur!BN142*VLOOKUP('Données projet'!$B$11,Paramètres!$A$1:$I$89,3,0)*0.475*44/12</f>
        <v>0.55591228483415212</v>
      </c>
      <c r="BR142" s="21">
        <f>EXP(-LN(2)/2)*BR141+(1-EXP(-LN(2)/2))/(LN(2)/2)*BL142*BO142*VLOOKUP('Données projet'!$B$11,Paramètres!$A$1:$I$89,3,0)*0.475*44/12</f>
        <v>3.3043617068258798E-16</v>
      </c>
      <c r="BS142" s="22">
        <f t="shared" si="117"/>
        <v>0.74782952859572516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289.07218105343333</v>
      </c>
      <c r="CE142" s="59">
        <f t="shared" si="148"/>
        <v>217.57508587672368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0.14016111902415121</v>
      </c>
      <c r="CL142" s="21">
        <f>EXP(-LN(2)/25)*CL141+(1-EXP(-LN(2)/25))/(LN(2)/25)*Calculateur!CG142*Calculateur!CI142*VLOOKUP('Données projet'!$B$12,Paramètres!$A$1:$I$89,3,0)*0.475*44/12</f>
        <v>0.32007815675288381</v>
      </c>
      <c r="CM142" s="21">
        <f>EXP(-LN(2)/2)*CM141+(1-EXP(-LN(2)/2))/(LN(2)/2)*CG142*CJ142*VLOOKUP('Données projet'!$B$12,Paramètres!$A$1:$I$89,3,0)*0.475*44/12</f>
        <v>3.0301650184439045E-16</v>
      </c>
      <c r="CN142" s="22">
        <f t="shared" si="120"/>
        <v>0.46023927577703533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-1.1527845344971866E-13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272.93635583300755</v>
      </c>
      <c r="T143" s="59">
        <f t="shared" si="142"/>
        <v>179.56041631665812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0.42287670042976644</v>
      </c>
      <c r="AA143" s="21">
        <f>EXP(-LN(2)/25)*AA142+(1-EXP(-LN(2)/25))/(LN(2)/25)*Calculateur!V143*Calculateur!X143*VLOOKUP('Données projet'!$B$9,Paramètres!$A$1:$I$89,3,0)*0.475*44/12</f>
        <v>0.22269919883417627</v>
      </c>
      <c r="AB143" s="21">
        <f>EXP(-LN(2)/2)*AB142+(1-EXP(-LN(2)/2))/(LN(2)/2)*V143*Y143*VLOOKUP('Données projet'!$B$9,Paramètres!$A$1:$I$89,3,0)*0.475*44/12</f>
        <v>1.8982749536816563E-16</v>
      </c>
      <c r="AC143" s="22">
        <f t="shared" si="111"/>
        <v>0.64557589926394288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-1.0286385077051818E-13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237.64646718446005</v>
      </c>
      <c r="AO143" s="59">
        <f t="shared" si="144"/>
        <v>156.67965022779907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0.37733613269117627</v>
      </c>
      <c r="AV143" s="21">
        <f>EXP(-LN(2)/25)*AV142+(1-EXP(-LN(2)/25))/(LN(2)/25)*Calculateur!AQ143*Calculateur!AS143*VLOOKUP('Données projet'!$B$10,Paramètres!$A$1:$I$89,3,0)*0.475*44/12</f>
        <v>0.19871620819049593</v>
      </c>
      <c r="AW143" s="21">
        <f>EXP(-LN(2)/2)*AW142+(1-EXP(-LN(2)/2))/(LN(2)/2)*AQ143*AT143*VLOOKUP('Données projet'!$B$10,Paramètres!$A$1:$I$89,3,0)*0.475*44/12</f>
        <v>1.6938453432851696E-16</v>
      </c>
      <c r="AX143" s="21">
        <f t="shared" si="114"/>
        <v>0.57605234088167245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-1.7053025658242404E-13</v>
      </c>
      <c r="BE143" s="13">
        <f>BD143*VLOOKUP('Données projet'!$B$11,Paramètres!$A$1:$I$89,3,0)*VLOOKUP('Données projet'!$B$11,Paramètres!$A$1:$I$89,5,0)</f>
        <v>-1.1173142411280423E-13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172.9177436650786</v>
      </c>
      <c r="BJ143" s="59">
        <f t="shared" si="146"/>
        <v>173.73622806725865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0.18815386366936851</v>
      </c>
      <c r="BQ143" s="21">
        <f>EXP(-LN(2)/25)*BQ142+(1-EXP(-LN(2)/25))/(LN(2)/25)*Calculateur!BL143*Calculateur!BN143*VLOOKUP('Données projet'!$B$11,Paramètres!$A$1:$I$89,3,0)*0.475*44/12</f>
        <v>0.54071083417120569</v>
      </c>
      <c r="BR143" s="21">
        <f>EXP(-LN(2)/2)*BR142+(1-EXP(-LN(2)/2))/(LN(2)/2)*BL143*BO143*VLOOKUP('Données projet'!$B$11,Paramètres!$A$1:$I$89,3,0)*0.475*44/12</f>
        <v>2.3365365703897341E-16</v>
      </c>
      <c r="BS143" s="22">
        <f t="shared" si="117"/>
        <v>0.72886469784057439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289.07218105343333</v>
      </c>
      <c r="CE143" s="59">
        <f t="shared" si="148"/>
        <v>217.57508587672368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0.13741264496992878</v>
      </c>
      <c r="CL143" s="21">
        <f>EXP(-LN(2)/25)*CL142+(1-EXP(-LN(2)/25))/(LN(2)/25)*Calculateur!CG143*Calculateur!CI143*VLOOKUP('Données projet'!$B$12,Paramètres!$A$1:$I$89,3,0)*0.475*44/12</f>
        <v>0.31132560272429749</v>
      </c>
      <c r="CM143" s="21">
        <f>EXP(-LN(2)/2)*CM142+(1-EXP(-LN(2)/2))/(LN(2)/2)*CG143*CJ143*VLOOKUP('Données projet'!$B$12,Paramètres!$A$1:$I$89,3,0)*0.475*44/12</f>
        <v>2.1426502326559448E-16</v>
      </c>
      <c r="CN143" s="22">
        <f t="shared" si="120"/>
        <v>0.44873824769422649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-1.1527845344971866E-13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272.93635583300755</v>
      </c>
      <c r="T144" s="59">
        <f t="shared" si="142"/>
        <v>179.56041631665812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0.41458434626365759</v>
      </c>
      <c r="AA144" s="21">
        <f>EXP(-LN(2)/25)*AA143+(1-EXP(-LN(2)/25))/(LN(2)/25)*Calculateur!V144*Calculateur!X144*VLOOKUP('Données projet'!$B$9,Paramètres!$A$1:$I$89,3,0)*0.475*44/12</f>
        <v>0.21660947753081383</v>
      </c>
      <c r="AB144" s="21">
        <f>EXP(-LN(2)/2)*AB143+(1-EXP(-LN(2)/2))/(LN(2)/2)*V144*Y144*VLOOKUP('Données projet'!$B$9,Paramètres!$A$1:$I$89,3,0)*0.475*44/12</f>
        <v>1.3422830923048785E-16</v>
      </c>
      <c r="AC144" s="22">
        <f t="shared" si="111"/>
        <v>0.63119382379447153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-1.0286385077051818E-13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237.64646718446005</v>
      </c>
      <c r="AO144" s="59">
        <f t="shared" si="144"/>
        <v>156.67965022779907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0.36993680128141759</v>
      </c>
      <c r="AV144" s="21">
        <f>EXP(-LN(2)/25)*AV143+(1-EXP(-LN(2)/25))/(LN(2)/25)*Calculateur!AQ144*Calculateur!AS144*VLOOKUP('Données projet'!$B$10,Paramètres!$A$1:$I$89,3,0)*0.475*44/12</f>
        <v>0.19328230302749561</v>
      </c>
      <c r="AW144" s="21">
        <f>EXP(-LN(2)/2)*AW143+(1-EXP(-LN(2)/2))/(LN(2)/2)*AQ144*AT144*VLOOKUP('Données projet'!$B$10,Paramètres!$A$1:$I$89,3,0)*0.475*44/12</f>
        <v>1.1977295285181989E-16</v>
      </c>
      <c r="AX144" s="21">
        <f t="shared" si="114"/>
        <v>0.56321910430891331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-1.7053025658242404E-13</v>
      </c>
      <c r="BE144" s="13">
        <f>BD144*VLOOKUP('Données projet'!$B$11,Paramètres!$A$1:$I$89,3,0)*VLOOKUP('Données projet'!$B$11,Paramètres!$A$1:$I$89,5,0)</f>
        <v>-1.1173142411280423E-13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172.9177436650786</v>
      </c>
      <c r="BJ144" s="59">
        <f t="shared" si="146"/>
        <v>173.73622806725865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0.18446428116533717</v>
      </c>
      <c r="BQ144" s="21">
        <f>EXP(-LN(2)/25)*BQ143+(1-EXP(-LN(2)/25))/(LN(2)/25)*Calculateur!BL144*Calculateur!BN144*VLOOKUP('Données projet'!$B$11,Paramètres!$A$1:$I$89,3,0)*0.475*44/12</f>
        <v>0.5259250679760471</v>
      </c>
      <c r="BR144" s="21">
        <f>EXP(-LN(2)/2)*BR143+(1-EXP(-LN(2)/2))/(LN(2)/2)*BL144*BO144*VLOOKUP('Données projet'!$B$11,Paramètres!$A$1:$I$89,3,0)*0.475*44/12</f>
        <v>1.6521808534129399E-16</v>
      </c>
      <c r="BS144" s="22">
        <f t="shared" si="117"/>
        <v>0.71038934914138441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289.07218105343333</v>
      </c>
      <c r="CE144" s="59">
        <f t="shared" si="148"/>
        <v>217.57508587672368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0.13471806681550602</v>
      </c>
      <c r="CL144" s="21">
        <f>EXP(-LN(2)/25)*CL143+(1-EXP(-LN(2)/25))/(LN(2)/25)*Calculateur!CG144*Calculateur!CI144*VLOOKUP('Données projet'!$B$12,Paramètres!$A$1:$I$89,3,0)*0.475*44/12</f>
        <v>0.30281238774589969</v>
      </c>
      <c r="CM144" s="21">
        <f>EXP(-LN(2)/2)*CM143+(1-EXP(-LN(2)/2))/(LN(2)/2)*CG144*CJ144*VLOOKUP('Données projet'!$B$12,Paramètres!$A$1:$I$89,3,0)*0.475*44/12</f>
        <v>1.5150825092219523E-16</v>
      </c>
      <c r="CN144" s="22">
        <f t="shared" si="120"/>
        <v>0.43753045456140588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-1.1527845344971866E-13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272.93635583300755</v>
      </c>
      <c r="T145" s="59">
        <f t="shared" si="142"/>
        <v>179.56041631665812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0.40645460010490952</v>
      </c>
      <c r="AA145" s="21">
        <f>EXP(-LN(2)/25)*AA144+(1-EXP(-LN(2)/25))/(LN(2)/25)*Calculateur!V145*Calculateur!X145*VLOOKUP('Données projet'!$B$9,Paramètres!$A$1:$I$89,3,0)*0.475*44/12</f>
        <v>0.21068627997673636</v>
      </c>
      <c r="AB145" s="21">
        <f>EXP(-LN(2)/2)*AB144+(1-EXP(-LN(2)/2))/(LN(2)/2)*V145*Y145*VLOOKUP('Données projet'!$B$9,Paramètres!$A$1:$I$89,3,0)*0.475*44/12</f>
        <v>9.4913747684082814E-17</v>
      </c>
      <c r="AC145" s="22">
        <f t="shared" si="111"/>
        <v>0.61714088008164603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-1.0286385077051818E-13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237.64646718446005</v>
      </c>
      <c r="AO145" s="59">
        <f t="shared" si="144"/>
        <v>156.67965022779907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0.36268256624745776</v>
      </c>
      <c r="AV145" s="21">
        <f>EXP(-LN(2)/25)*AV144+(1-EXP(-LN(2)/25))/(LN(2)/25)*Calculateur!AQ145*Calculateur!AS145*VLOOKUP('Données projet'!$B$10,Paramètres!$A$1:$I$89,3,0)*0.475*44/12</f>
        <v>0.18799698828693417</v>
      </c>
      <c r="AW145" s="21">
        <f>EXP(-LN(2)/2)*AW144+(1-EXP(-LN(2)/2))/(LN(2)/2)*AQ145*AT145*VLOOKUP('Données projet'!$B$10,Paramètres!$A$1:$I$89,3,0)*0.475*44/12</f>
        <v>8.4692267164258482E-17</v>
      </c>
      <c r="AX145" s="21">
        <f t="shared" si="114"/>
        <v>0.55067955453439199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-1.7053025658242404E-13</v>
      </c>
      <c r="BE145" s="13">
        <f>BD145*VLOOKUP('Données projet'!$B$11,Paramètres!$A$1:$I$89,3,0)*VLOOKUP('Données projet'!$B$11,Paramètres!$A$1:$I$89,5,0)</f>
        <v>-1.1173142411280423E-13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172.9177436650786</v>
      </c>
      <c r="BJ145" s="59">
        <f t="shared" si="146"/>
        <v>173.73622806725865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0.18084704912378677</v>
      </c>
      <c r="BQ145" s="21">
        <f>EXP(-LN(2)/25)*BQ144+(1-EXP(-LN(2)/25))/(LN(2)/25)*Calculateur!BL145*Calculateur!BN145*VLOOKUP('Données projet'!$B$11,Paramètres!$A$1:$I$89,3,0)*0.475*44/12</f>
        <v>0.51154361933504477</v>
      </c>
      <c r="BR145" s="21">
        <f>EXP(-LN(2)/2)*BR144+(1-EXP(-LN(2)/2))/(LN(2)/2)*BL145*BO145*VLOOKUP('Données projet'!$B$11,Paramètres!$A$1:$I$89,3,0)*0.475*44/12</f>
        <v>1.168268285194867E-16</v>
      </c>
      <c r="BS145" s="22">
        <f t="shared" si="117"/>
        <v>0.69239066845883168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289.07218105343333</v>
      </c>
      <c r="CE145" s="59">
        <f t="shared" si="148"/>
        <v>217.57508587672368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0.13207632769516109</v>
      </c>
      <c r="CL145" s="21">
        <f>EXP(-LN(2)/25)*CL144+(1-EXP(-LN(2)/25))/(LN(2)/25)*Calculateur!CG145*Calculateur!CI145*VLOOKUP('Données projet'!$B$12,Paramètres!$A$1:$I$89,3,0)*0.475*44/12</f>
        <v>0.29453196707877666</v>
      </c>
      <c r="CM145" s="21">
        <f>EXP(-LN(2)/2)*CM144+(1-EXP(-LN(2)/2))/(LN(2)/2)*CG145*CJ145*VLOOKUP('Données projet'!$B$12,Paramètres!$A$1:$I$89,3,0)*0.475*44/12</f>
        <v>1.0713251163279724E-16</v>
      </c>
      <c r="CN145" s="22">
        <f t="shared" si="120"/>
        <v>0.42660829477393786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-1.1527845344971866E-13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272.93635583300755</v>
      </c>
      <c r="T146" s="59">
        <f t="shared" si="142"/>
        <v>179.56041631665812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0.39848427330967895</v>
      </c>
      <c r="AA146" s="21">
        <f>EXP(-LN(2)/25)*AA145+(1-EXP(-LN(2)/25))/(LN(2)/25)*Calculateur!V146*Calculateur!X146*VLOOKUP('Données projet'!$B$9,Paramètres!$A$1:$I$89,3,0)*0.475*44/12</f>
        <v>0.20492505257126256</v>
      </c>
      <c r="AB146" s="21">
        <f>EXP(-LN(2)/2)*AB145+(1-EXP(-LN(2)/2))/(LN(2)/2)*V146*Y146*VLOOKUP('Données projet'!$B$9,Paramètres!$A$1:$I$89,3,0)*0.475*44/12</f>
        <v>6.7114154615243927E-17</v>
      </c>
      <c r="AC146" s="22">
        <f t="shared" si="111"/>
        <v>0.60340932588094165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-1.0286385077051818E-13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237.64646718446005</v>
      </c>
      <c r="AO146" s="59">
        <f t="shared" si="144"/>
        <v>156.67965022779907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0.35557058233786742</v>
      </c>
      <c r="AV146" s="21">
        <f>EXP(-LN(2)/25)*AV145+(1-EXP(-LN(2)/25))/(LN(2)/25)*Calculateur!AQ146*Calculateur!AS146*VLOOKUP('Données projet'!$B$10,Paramètres!$A$1:$I$89,3,0)*0.475*44/12</f>
        <v>0.18285620075589601</v>
      </c>
      <c r="AW146" s="21">
        <f>EXP(-LN(2)/2)*AW145+(1-EXP(-LN(2)/2))/(LN(2)/2)*AQ146*AT146*VLOOKUP('Données projet'!$B$10,Paramètres!$A$1:$I$89,3,0)*0.475*44/12</f>
        <v>5.9886476425909946E-17</v>
      </c>
      <c r="AX146" s="21">
        <f t="shared" si="114"/>
        <v>0.53842678309376357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-1.7053025658242404E-13</v>
      </c>
      <c r="BE146" s="13">
        <f>BD146*VLOOKUP('Données projet'!$B$11,Paramètres!$A$1:$I$89,3,0)*VLOOKUP('Données projet'!$B$11,Paramètres!$A$1:$I$89,5,0)</f>
        <v>-1.1173142411280423E-13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172.9177436650786</v>
      </c>
      <c r="BJ146" s="59">
        <f t="shared" si="146"/>
        <v>173.73622806725865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0.17730074879627747</v>
      </c>
      <c r="BQ146" s="21">
        <f>EXP(-LN(2)/25)*BQ145+(1-EXP(-LN(2)/25))/(LN(2)/25)*Calculateur!BL146*Calculateur!BN146*VLOOKUP('Données projet'!$B$11,Paramètres!$A$1:$I$89,3,0)*0.475*44/12</f>
        <v>0.49755543216341819</v>
      </c>
      <c r="BR146" s="21">
        <f>EXP(-LN(2)/2)*BR145+(1-EXP(-LN(2)/2))/(LN(2)/2)*BL146*BO146*VLOOKUP('Données projet'!$B$11,Paramètres!$A$1:$I$89,3,0)*0.475*44/12</f>
        <v>8.2609042670646995E-17</v>
      </c>
      <c r="BS146" s="22">
        <f t="shared" si="117"/>
        <v>0.67485618095969579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289.07218105343333</v>
      </c>
      <c r="CE146" s="59">
        <f t="shared" si="148"/>
        <v>217.57508587672368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0.12948639146766439</v>
      </c>
      <c r="CL146" s="21">
        <f>EXP(-LN(2)/25)*CL145+(1-EXP(-LN(2)/25))/(LN(2)/25)*Calculateur!CG146*Calculateur!CI146*VLOOKUP('Données projet'!$B$12,Paramètres!$A$1:$I$89,3,0)*0.475*44/12</f>
        <v>0.28647797495024452</v>
      </c>
      <c r="CM146" s="21">
        <f>EXP(-LN(2)/2)*CM145+(1-EXP(-LN(2)/2))/(LN(2)/2)*CG146*CJ146*VLOOKUP('Données projet'!$B$12,Paramètres!$A$1:$I$89,3,0)*0.475*44/12</f>
        <v>7.5754125461097613E-17</v>
      </c>
      <c r="CN146" s="22">
        <f t="shared" si="120"/>
        <v>0.41596436641790896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-1.1527845344971866E-13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272.93635583300755</v>
      </c>
      <c r="T147" s="59">
        <f t="shared" si="142"/>
        <v>179.56041631665812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0.39067023976148352</v>
      </c>
      <c r="AA147" s="21">
        <f>EXP(-LN(2)/25)*AA146+(1-EXP(-LN(2)/25))/(LN(2)/25)*Calculateur!V147*Calculateur!X147*VLOOKUP('Données projet'!$B$9,Paramètres!$A$1:$I$89,3,0)*0.475*44/12</f>
        <v>0.19932136623216123</v>
      </c>
      <c r="AB147" s="21">
        <f>EXP(-LN(2)/2)*AB146+(1-EXP(-LN(2)/2))/(LN(2)/2)*V147*Y147*VLOOKUP('Données projet'!$B$9,Paramètres!$A$1:$I$89,3,0)*0.475*44/12</f>
        <v>4.7456873842041407E-17</v>
      </c>
      <c r="AC147" s="22">
        <f t="shared" si="111"/>
        <v>0.58999160599364475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-1.0286385077051818E-13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237.64646718446005</v>
      </c>
      <c r="AO147" s="59">
        <f t="shared" si="144"/>
        <v>156.67965022779907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0.34859806009486227</v>
      </c>
      <c r="AV147" s="21">
        <f>EXP(-LN(2)/25)*AV146+(1-EXP(-LN(2)/25))/(LN(2)/25)*Calculateur!AQ147*Calculateur!AS147*VLOOKUP('Données projet'!$B$10,Paramètres!$A$1:$I$89,3,0)*0.475*44/12</f>
        <v>0.17785598833023636</v>
      </c>
      <c r="AW147" s="21">
        <f>EXP(-LN(2)/2)*AW146+(1-EXP(-LN(2)/2))/(LN(2)/2)*AQ147*AT147*VLOOKUP('Données projet'!$B$10,Paramètres!$A$1:$I$89,3,0)*0.475*44/12</f>
        <v>4.2346133582129241E-17</v>
      </c>
      <c r="AX147" s="21">
        <f t="shared" si="114"/>
        <v>0.52645404842509858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-1.7053025658242404E-13</v>
      </c>
      <c r="BE147" s="13">
        <f>BD147*VLOOKUP('Données projet'!$B$11,Paramètres!$A$1:$I$89,3,0)*VLOOKUP('Données projet'!$B$11,Paramètres!$A$1:$I$89,5,0)</f>
        <v>-1.1173142411280423E-13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172.9177436650786</v>
      </c>
      <c r="BJ147" s="59">
        <f t="shared" si="146"/>
        <v>173.73622806725865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0.17382398925516102</v>
      </c>
      <c r="BQ147" s="21">
        <f>EXP(-LN(2)/25)*BQ146+(1-EXP(-LN(2)/25))/(LN(2)/25)*Calculateur!BL147*Calculateur!BN147*VLOOKUP('Données projet'!$B$11,Paramètres!$A$1:$I$89,3,0)*0.475*44/12</f>
        <v>0.48394975270560653</v>
      </c>
      <c r="BR147" s="21">
        <f>EXP(-LN(2)/2)*BR146+(1-EXP(-LN(2)/2))/(LN(2)/2)*BL147*BO147*VLOOKUP('Données projet'!$B$11,Paramètres!$A$1:$I$89,3,0)*0.475*44/12</f>
        <v>5.8413414259743352E-17</v>
      </c>
      <c r="BS147" s="22">
        <f t="shared" si="117"/>
        <v>0.65777374196076766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289.07218105343333</v>
      </c>
      <c r="CE147" s="59">
        <f t="shared" si="148"/>
        <v>217.57508587672368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0.12694724230988377</v>
      </c>
      <c r="CL147" s="21">
        <f>EXP(-LN(2)/25)*CL146+(1-EXP(-LN(2)/25))/(LN(2)/25)*Calculateur!CG147*Calculateur!CI147*VLOOKUP('Données projet'!$B$12,Paramètres!$A$1:$I$89,3,0)*0.475*44/12</f>
        <v>0.27864421966000813</v>
      </c>
      <c r="CM147" s="21">
        <f>EXP(-LN(2)/2)*CM146+(1-EXP(-LN(2)/2))/(LN(2)/2)*CG147*CJ147*VLOOKUP('Données projet'!$B$12,Paramètres!$A$1:$I$89,3,0)*0.475*44/12</f>
        <v>5.3566255816398619E-17</v>
      </c>
      <c r="CN147" s="22">
        <f t="shared" si="120"/>
        <v>0.40559146196989199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-1.1527845344971866E-13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272.93635583300755</v>
      </c>
      <c r="T148" s="59">
        <f t="shared" si="142"/>
        <v>179.56041631665812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0.38300943464507836</v>
      </c>
      <c r="AA148" s="21">
        <f>EXP(-LN(2)/25)*AA147+(1-EXP(-LN(2)/25))/(LN(2)/25)*Calculateur!V148*Calculateur!X148*VLOOKUP('Données projet'!$B$9,Paramètres!$A$1:$I$89,3,0)*0.475*44/12</f>
        <v>0.19387091299068768</v>
      </c>
      <c r="AB148" s="21">
        <f>EXP(-LN(2)/2)*AB147+(1-EXP(-LN(2)/2))/(LN(2)/2)*V148*Y148*VLOOKUP('Données projet'!$B$9,Paramètres!$A$1:$I$89,3,0)*0.475*44/12</f>
        <v>3.3557077307621963E-17</v>
      </c>
      <c r="AC148" s="22">
        <f t="shared" si="111"/>
        <v>0.57688034763576601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-1.0286385077051818E-13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237.64646718446005</v>
      </c>
      <c r="AO148" s="59">
        <f t="shared" si="144"/>
        <v>156.67965022779907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0.34176226476022381</v>
      </c>
      <c r="AV148" s="21">
        <f>EXP(-LN(2)/25)*AV147+(1-EXP(-LN(2)/25))/(LN(2)/25)*Calculateur!AQ148*Calculateur!AS148*VLOOKUP('Données projet'!$B$10,Paramètres!$A$1:$I$89,3,0)*0.475*44/12</f>
        <v>0.17299250697630611</v>
      </c>
      <c r="AW148" s="21">
        <f>EXP(-LN(2)/2)*AW147+(1-EXP(-LN(2)/2))/(LN(2)/2)*AQ148*AT148*VLOOKUP('Données projet'!$B$10,Paramètres!$A$1:$I$89,3,0)*0.475*44/12</f>
        <v>2.9943238212954973E-17</v>
      </c>
      <c r="AX148" s="21">
        <f t="shared" si="114"/>
        <v>0.51475477173652995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-1.7053025658242404E-13</v>
      </c>
      <c r="BE148" s="13">
        <f>BD148*VLOOKUP('Données projet'!$B$11,Paramètres!$A$1:$I$89,3,0)*VLOOKUP('Données projet'!$B$11,Paramètres!$A$1:$I$89,5,0)</f>
        <v>-1.1173142411280423E-13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172.9177436650786</v>
      </c>
      <c r="BJ148" s="59">
        <f t="shared" si="146"/>
        <v>173.73622806725865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0.17041540684803194</v>
      </c>
      <c r="BQ148" s="21">
        <f>EXP(-LN(2)/25)*BQ147+(1-EXP(-LN(2)/25))/(LN(2)/25)*Calculateur!BL148*Calculateur!BN148*VLOOKUP('Données projet'!$B$11,Paramètres!$A$1:$I$89,3,0)*0.475*44/12</f>
        <v>0.47071612126806028</v>
      </c>
      <c r="BR148" s="21">
        <f>EXP(-LN(2)/2)*BR147+(1-EXP(-LN(2)/2))/(LN(2)/2)*BL148*BO148*VLOOKUP('Données projet'!$B$11,Paramètres!$A$1:$I$89,3,0)*0.475*44/12</f>
        <v>4.1304521335323498E-17</v>
      </c>
      <c r="BS148" s="22">
        <f t="shared" si="117"/>
        <v>0.6411315281160922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289.07218105343333</v>
      </c>
      <c r="CE148" s="59">
        <f t="shared" si="148"/>
        <v>217.57508587672368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0.12445788431835916</v>
      </c>
      <c r="CL148" s="21">
        <f>EXP(-LN(2)/25)*CL147+(1-EXP(-LN(2)/25))/(LN(2)/25)*Calculateur!CG148*Calculateur!CI148*VLOOKUP('Données projet'!$B$12,Paramètres!$A$1:$I$89,3,0)*0.475*44/12</f>
        <v>0.27102467882014253</v>
      </c>
      <c r="CM148" s="21">
        <f>EXP(-LN(2)/2)*CM147+(1-EXP(-LN(2)/2))/(LN(2)/2)*CG148*CJ148*VLOOKUP('Données projet'!$B$12,Paramètres!$A$1:$I$89,3,0)*0.475*44/12</f>
        <v>3.7877062730548806E-17</v>
      </c>
      <c r="CN148" s="22">
        <f t="shared" si="120"/>
        <v>0.39548256313850177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-1.1527845344971866E-13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272.93635583300755</v>
      </c>
      <c r="T149" s="59">
        <f t="shared" si="142"/>
        <v>179.56041631665812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0.37549885324437615</v>
      </c>
      <c r="AA149" s="21">
        <f>EXP(-LN(2)/25)*AA148+(1-EXP(-LN(2)/25))/(LN(2)/25)*Calculateur!V149*Calculateur!X149*VLOOKUP('Données projet'!$B$9,Paramètres!$A$1:$I$89,3,0)*0.475*44/12</f>
        <v>0.18856950267972911</v>
      </c>
      <c r="AB149" s="21">
        <f>EXP(-LN(2)/2)*AB148+(1-EXP(-LN(2)/2))/(LN(2)/2)*V149*Y149*VLOOKUP('Données projet'!$B$9,Paramètres!$A$1:$I$89,3,0)*0.475*44/12</f>
        <v>2.3728436921020703E-17</v>
      </c>
      <c r="AC149" s="22">
        <f t="shared" si="111"/>
        <v>0.56406835592410531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-1.0286385077051818E-13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237.64646718446005</v>
      </c>
      <c r="AO149" s="59">
        <f t="shared" si="144"/>
        <v>156.67965022779907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0.33506051520267416</v>
      </c>
      <c r="AV149" s="21">
        <f>EXP(-LN(2)/25)*AV148+(1-EXP(-LN(2)/25))/(LN(2)/25)*Calculateur!AQ149*Calculateur!AS149*VLOOKUP('Données projet'!$B$10,Paramètres!$A$1:$I$89,3,0)*0.475*44/12</f>
        <v>0.16826201777575844</v>
      </c>
      <c r="AW149" s="21">
        <f>EXP(-LN(2)/2)*AW148+(1-EXP(-LN(2)/2))/(LN(2)/2)*AQ149*AT149*VLOOKUP('Données projet'!$B$10,Paramètres!$A$1:$I$89,3,0)*0.475*44/12</f>
        <v>2.117306679106462E-17</v>
      </c>
      <c r="AX149" s="21">
        <f t="shared" si="114"/>
        <v>0.50332253297843255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-1.7053025658242404E-13</v>
      </c>
      <c r="BE149" s="13">
        <f>BD149*VLOOKUP('Données projet'!$B$11,Paramètres!$A$1:$I$89,3,0)*VLOOKUP('Données projet'!$B$11,Paramètres!$A$1:$I$89,5,0)</f>
        <v>-1.1173142411280423E-13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172.9177436650786</v>
      </c>
      <c r="BJ149" s="59">
        <f t="shared" si="146"/>
        <v>173.73622806725865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0.16707366466287668</v>
      </c>
      <c r="BQ149" s="21">
        <f>EXP(-LN(2)/25)*BQ148+(1-EXP(-LN(2)/25))/(LN(2)/25)*Calculateur!BL149*Calculateur!BN149*VLOOKUP('Données projet'!$B$11,Paramètres!$A$1:$I$89,3,0)*0.475*44/12</f>
        <v>0.4578443641781002</v>
      </c>
      <c r="BR149" s="21">
        <f>EXP(-LN(2)/2)*BR148+(1-EXP(-LN(2)/2))/(LN(2)/2)*BL149*BO149*VLOOKUP('Données projet'!$B$11,Paramètres!$A$1:$I$89,3,0)*0.475*44/12</f>
        <v>2.9206707129871676E-17</v>
      </c>
      <c r="BS149" s="22">
        <f t="shared" si="117"/>
        <v>0.62491802884097691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289.07218105343333</v>
      </c>
      <c r="CE149" s="59">
        <f t="shared" si="148"/>
        <v>217.57508587672368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0.12201734111868991</v>
      </c>
      <c r="CL149" s="21">
        <f>EXP(-LN(2)/25)*CL148+(1-EXP(-LN(2)/25))/(LN(2)/25)*Calculateur!CG149*Calculateur!CI149*VLOOKUP('Données projet'!$B$12,Paramètres!$A$1:$I$89,3,0)*0.475*44/12</f>
        <v>0.26361349472523732</v>
      </c>
      <c r="CM149" s="21">
        <f>EXP(-LN(2)/2)*CM148+(1-EXP(-LN(2)/2))/(LN(2)/2)*CG149*CJ149*VLOOKUP('Données projet'!$B$12,Paramètres!$A$1:$I$89,3,0)*0.475*44/12</f>
        <v>2.678312790819931E-17</v>
      </c>
      <c r="CN149" s="22">
        <f t="shared" si="120"/>
        <v>0.38563083584392721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-1.1527845344971866E-13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272.93635583300755</v>
      </c>
      <c r="T150" s="59">
        <f t="shared" si="142"/>
        <v>179.56041631665812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0.36813554976393942</v>
      </c>
      <c r="AA150" s="21">
        <f>EXP(-LN(2)/25)*AA149+(1-EXP(-LN(2)/25))/(LN(2)/25)*Calculateur!V150*Calculateur!X150*VLOOKUP('Données projet'!$B$9,Paramètres!$A$1:$I$89,3,0)*0.475*44/12</f>
        <v>0.18341305971251276</v>
      </c>
      <c r="AB150" s="21">
        <f>EXP(-LN(2)/2)*AB149+(1-EXP(-LN(2)/2))/(LN(2)/2)*V150*Y150*VLOOKUP('Données projet'!$B$9,Paramètres!$A$1:$I$89,3,0)*0.475*44/12</f>
        <v>1.6778538653810982E-17</v>
      </c>
      <c r="AC150" s="22">
        <f t="shared" si="111"/>
        <v>0.55154860947645212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-1.0286385077051818E-13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237.64646718446005</v>
      </c>
      <c r="AO150" s="59">
        <f t="shared" si="144"/>
        <v>156.67965022779907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0.32849018286628445</v>
      </c>
      <c r="AV150" s="21">
        <f>EXP(-LN(2)/25)*AV149+(1-EXP(-LN(2)/25))/(LN(2)/25)*Calculateur!AQ150*Calculateur!AS150*VLOOKUP('Données projet'!$B$10,Paramètres!$A$1:$I$89,3,0)*0.475*44/12</f>
        <v>0.16366088405116538</v>
      </c>
      <c r="AW150" s="21">
        <f>EXP(-LN(2)/2)*AW149+(1-EXP(-LN(2)/2))/(LN(2)/2)*AQ150*AT150*VLOOKUP('Données projet'!$B$10,Paramètres!$A$1:$I$89,3,0)*0.475*44/12</f>
        <v>1.4971619106477486E-17</v>
      </c>
      <c r="AX150" s="21">
        <f t="shared" si="114"/>
        <v>0.49215106691744981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-1.7053025658242404E-13</v>
      </c>
      <c r="BE150" s="13">
        <f>BD150*VLOOKUP('Données projet'!$B$11,Paramètres!$A$1:$I$89,3,0)*VLOOKUP('Données projet'!$B$11,Paramètres!$A$1:$I$89,5,0)</f>
        <v>-1.1173142411280423E-13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172.9177436650786</v>
      </c>
      <c r="BJ150" s="59">
        <f t="shared" si="146"/>
        <v>173.73622806725865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0.16379745200371085</v>
      </c>
      <c r="BQ150" s="21">
        <f>EXP(-LN(2)/25)*BQ149+(1-EXP(-LN(2)/25))/(LN(2)/25)*Calculateur!BL150*Calculateur!BN150*VLOOKUP('Données projet'!$B$11,Paramètres!$A$1:$I$89,3,0)*0.475*44/12</f>
        <v>0.44532458596266133</v>
      </c>
      <c r="BR150" s="21">
        <f>EXP(-LN(2)/2)*BR149+(1-EXP(-LN(2)/2))/(LN(2)/2)*BL150*BO150*VLOOKUP('Données projet'!$B$11,Paramètres!$A$1:$I$89,3,0)*0.475*44/12</f>
        <v>2.0652260667661749E-17</v>
      </c>
      <c r="BS150" s="22">
        <f t="shared" si="117"/>
        <v>0.60912203796637221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289.07218105343333</v>
      </c>
      <c r="CE150" s="59">
        <f t="shared" si="148"/>
        <v>217.57508587672368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0.11962465548258179</v>
      </c>
      <c r="CL150" s="21">
        <f>EXP(-LN(2)/25)*CL149+(1-EXP(-LN(2)/25))/(LN(2)/25)*Calculateur!CG150*Calculateur!CI150*VLOOKUP('Données projet'!$B$12,Paramètres!$A$1:$I$89,3,0)*0.475*44/12</f>
        <v>0.25640496984914452</v>
      </c>
      <c r="CM150" s="21">
        <f>EXP(-LN(2)/2)*CM149+(1-EXP(-LN(2)/2))/(LN(2)/2)*CG150*CJ150*VLOOKUP('Données projet'!$B$12,Paramètres!$A$1:$I$89,3,0)*0.475*44/12</f>
        <v>1.8938531365274403E-17</v>
      </c>
      <c r="CN150" s="22">
        <f t="shared" si="120"/>
        <v>0.37602962533172629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-1.1527845344971866E-13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272.93635583300755</v>
      </c>
      <c r="T151" s="59">
        <f t="shared" si="142"/>
        <v>179.56041631665812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0.36091663617358238</v>
      </c>
      <c r="AA151" s="21">
        <f>EXP(-LN(2)/25)*AA150+(1-EXP(-LN(2)/25))/(LN(2)/25)*Calculateur!V151*Calculateur!X151*VLOOKUP('Données projet'!$B$9,Paramètres!$A$1:$I$89,3,0)*0.475*44/12</f>
        <v>0.17839761994940048</v>
      </c>
      <c r="AB151" s="21">
        <f>EXP(-LN(2)/2)*AB150+(1-EXP(-LN(2)/2))/(LN(2)/2)*V151*Y151*VLOOKUP('Données projet'!$B$9,Paramètres!$A$1:$I$89,3,0)*0.475*44/12</f>
        <v>1.1864218460510352E-17</v>
      </c>
      <c r="AC151" s="22">
        <f t="shared" si="111"/>
        <v>0.53931425612298289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-1.0286385077051818E-13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237.64646718446005</v>
      </c>
      <c r="AO151" s="59">
        <f t="shared" si="144"/>
        <v>156.67965022779907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0.32204869073950432</v>
      </c>
      <c r="AV151" s="21">
        <f>EXP(-LN(2)/25)*AV150+(1-EXP(-LN(2)/25))/(LN(2)/25)*Calculateur!AQ151*Calculateur!AS151*VLOOKUP('Données projet'!$B$10,Paramètres!$A$1:$I$89,3,0)*0.475*44/12</f>
        <v>0.15918556857023441</v>
      </c>
      <c r="AW151" s="21">
        <f>EXP(-LN(2)/2)*AW150+(1-EXP(-LN(2)/2))/(LN(2)/2)*AQ151*AT151*VLOOKUP('Données projet'!$B$10,Paramètres!$A$1:$I$89,3,0)*0.475*44/12</f>
        <v>1.058653339553231E-17</v>
      </c>
      <c r="AX151" s="21">
        <f t="shared" si="114"/>
        <v>0.48123425930973873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-1.7053025658242404E-13</v>
      </c>
      <c r="BE151" s="13">
        <f>BD151*VLOOKUP('Données projet'!$B$11,Paramètres!$A$1:$I$89,3,0)*VLOOKUP('Données projet'!$B$11,Paramètres!$A$1:$I$89,5,0)</f>
        <v>-1.1173142411280423E-13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172.9177436650786</v>
      </c>
      <c r="BJ151" s="59">
        <f t="shared" si="146"/>
        <v>173.73622806725865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0.16058548387649885</v>
      </c>
      <c r="BQ151" s="21">
        <f>EXP(-LN(2)/25)*BQ150+(1-EXP(-LN(2)/25))/(LN(2)/25)*Calculateur!BL151*Calculateur!BN151*VLOOKUP('Données projet'!$B$11,Paramètres!$A$1:$I$89,3,0)*0.475*44/12</f>
        <v>0.43314716174091017</v>
      </c>
      <c r="BR151" s="21">
        <f>EXP(-LN(2)/2)*BR150+(1-EXP(-LN(2)/2))/(LN(2)/2)*BL151*BO151*VLOOKUP('Données projet'!$B$11,Paramètres!$A$1:$I$89,3,0)*0.475*44/12</f>
        <v>1.4603353564935838E-17</v>
      </c>
      <c r="BS151" s="22">
        <f t="shared" si="117"/>
        <v>0.59373264561740902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289.07218105343333</v>
      </c>
      <c r="CE151" s="59">
        <f t="shared" si="148"/>
        <v>217.57508587672368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0.11727888895240363</v>
      </c>
      <c r="CL151" s="21">
        <f>EXP(-LN(2)/25)*CL150+(1-EXP(-LN(2)/25))/(LN(2)/25)*Calculateur!CG151*Calculateur!CI151*VLOOKUP('Données projet'!$B$12,Paramètres!$A$1:$I$89,3,0)*0.475*44/12</f>
        <v>0.24939356246486832</v>
      </c>
      <c r="CM151" s="21">
        <f>EXP(-LN(2)/2)*CM150+(1-EXP(-LN(2)/2))/(LN(2)/2)*CG151*CJ151*VLOOKUP('Données projet'!$B$12,Paramètres!$A$1:$I$89,3,0)*0.475*44/12</f>
        <v>1.3391563954099655E-17</v>
      </c>
      <c r="CN151" s="22">
        <f t="shared" si="120"/>
        <v>0.36667245141727195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-1.1527845344971866E-13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272.93635583300755</v>
      </c>
      <c r="T152" s="59">
        <f t="shared" si="142"/>
        <v>179.56041631665812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0.35383928107562973</v>
      </c>
      <c r="AA152" s="21">
        <f>EXP(-LN(2)/25)*AA151+(1-EXP(-LN(2)/25))/(LN(2)/25)*Calculateur!V152*Calculateur!X152*VLOOKUP('Données projet'!$B$9,Paramètres!$A$1:$I$89,3,0)*0.475*44/12</f>
        <v>0.17351932765036102</v>
      </c>
      <c r="AB152" s="21">
        <f>EXP(-LN(2)/2)*AB151+(1-EXP(-LN(2)/2))/(LN(2)/2)*V152*Y152*VLOOKUP('Données projet'!$B$9,Paramètres!$A$1:$I$89,3,0)*0.475*44/12</f>
        <v>8.3892693269054908E-18</v>
      </c>
      <c r="AC152" s="22">
        <f t="shared" si="111"/>
        <v>0.52735860872599072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-1.0286385077051818E-13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237.64646718446005</v>
      </c>
      <c r="AO152" s="59">
        <f t="shared" si="144"/>
        <v>156.67965022779907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0.31573351234440811</v>
      </c>
      <c r="AV152" s="21">
        <f>EXP(-LN(2)/25)*AV151+(1-EXP(-LN(2)/25))/(LN(2)/25)*Calculateur!AQ152*Calculateur!AS152*VLOOKUP('Données projet'!$B$10,Paramètres!$A$1:$I$89,3,0)*0.475*44/12</f>
        <v>0.15483263082647614</v>
      </c>
      <c r="AW152" s="21">
        <f>EXP(-LN(2)/2)*AW151+(1-EXP(-LN(2)/2))/(LN(2)/2)*AQ152*AT152*VLOOKUP('Données projet'!$B$10,Paramètres!$A$1:$I$89,3,0)*0.475*44/12</f>
        <v>7.4858095532387432E-18</v>
      </c>
      <c r="AX152" s="21">
        <f t="shared" si="114"/>
        <v>0.47056614317088424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-1.7053025658242404E-13</v>
      </c>
      <c r="BE152" s="13">
        <f>BD152*VLOOKUP('Données projet'!$B$11,Paramètres!$A$1:$I$89,3,0)*VLOOKUP('Données projet'!$B$11,Paramètres!$A$1:$I$89,5,0)</f>
        <v>-1.1173142411280423E-13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172.9177436650786</v>
      </c>
      <c r="BJ152" s="59">
        <f t="shared" si="146"/>
        <v>173.73622806725865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0.15743650048515437</v>
      </c>
      <c r="BQ152" s="21">
        <f>EXP(-LN(2)/25)*BQ151+(1-EXP(-LN(2)/25))/(LN(2)/25)*Calculateur!BL152*Calculateur!BN152*VLOOKUP('Données projet'!$B$11,Paramètres!$A$1:$I$89,3,0)*0.475*44/12</f>
        <v>0.4213027298248857</v>
      </c>
      <c r="BR152" s="21">
        <f>EXP(-LN(2)/2)*BR151+(1-EXP(-LN(2)/2))/(LN(2)/2)*BL152*BO152*VLOOKUP('Données projet'!$B$11,Paramètres!$A$1:$I$89,3,0)*0.475*44/12</f>
        <v>1.0326130333830874E-17</v>
      </c>
      <c r="BS152" s="22">
        <f t="shared" si="117"/>
        <v>0.57873923031004004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289.07218105343333</v>
      </c>
      <c r="CE152" s="59">
        <f t="shared" si="148"/>
        <v>217.57508587672368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0.11497912147310595</v>
      </c>
      <c r="CL152" s="21">
        <f>EXP(-LN(2)/25)*CL151+(1-EXP(-LN(2)/25))/(LN(2)/25)*Calculateur!CG152*Calculateur!CI152*VLOOKUP('Données projet'!$B$12,Paramètres!$A$1:$I$89,3,0)*0.475*44/12</f>
        <v>0.24257388238422906</v>
      </c>
      <c r="CM152" s="21">
        <f>EXP(-LN(2)/2)*CM151+(1-EXP(-LN(2)/2))/(LN(2)/2)*CG152*CJ152*VLOOKUP('Données projet'!$B$12,Paramètres!$A$1:$I$89,3,0)*0.475*44/12</f>
        <v>9.4692656826372016E-18</v>
      </c>
      <c r="CN152" s="22">
        <f t="shared" si="120"/>
        <v>0.35755300385733502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-1.1527845344971866E-13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272.93635583300755</v>
      </c>
      <c r="T153" s="59">
        <f t="shared" si="142"/>
        <v>179.56041631665812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0.34690070859438754</v>
      </c>
      <c r="AA153" s="21">
        <f>EXP(-LN(2)/25)*AA152+(1-EXP(-LN(2)/25))/(LN(2)/25)*Calculateur!V153*Calculateur!X153*VLOOKUP('Données projet'!$B$9,Paramètres!$A$1:$I$89,3,0)*0.475*44/12</f>
        <v>0.16877443251077703</v>
      </c>
      <c r="AB153" s="21">
        <f>EXP(-LN(2)/2)*AB152+(1-EXP(-LN(2)/2))/(LN(2)/2)*V153*Y153*VLOOKUP('Données projet'!$B$9,Paramètres!$A$1:$I$89,3,0)*0.475*44/12</f>
        <v>5.9321092302551758E-18</v>
      </c>
      <c r="AC153" s="22">
        <f t="shared" si="111"/>
        <v>0.51567514110516455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-1.0286385077051818E-13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237.64646718446005</v>
      </c>
      <c r="AO153" s="59">
        <f t="shared" si="144"/>
        <v>156.67965022779907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0.30954217074576124</v>
      </c>
      <c r="AV153" s="21">
        <f>EXP(-LN(2)/25)*AV152+(1-EXP(-LN(2)/25))/(LN(2)/25)*Calculateur!AQ153*Calculateur!AS153*VLOOKUP('Données projet'!$B$10,Paramètres!$A$1:$I$89,3,0)*0.475*44/12</f>
        <v>0.15059872439423197</v>
      </c>
      <c r="AW153" s="21">
        <f>EXP(-LN(2)/2)*AW152+(1-EXP(-LN(2)/2))/(LN(2)/2)*AQ153*AT153*VLOOKUP('Données projet'!$B$10,Paramètres!$A$1:$I$89,3,0)*0.475*44/12</f>
        <v>5.2932666977661551E-18</v>
      </c>
      <c r="AX153" s="21">
        <f t="shared" si="114"/>
        <v>0.46014089513999323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-1.7053025658242404E-13</v>
      </c>
      <c r="BE153" s="13">
        <f>BD153*VLOOKUP('Données projet'!$B$11,Paramètres!$A$1:$I$89,3,0)*VLOOKUP('Données projet'!$B$11,Paramètres!$A$1:$I$89,5,0)</f>
        <v>-1.1173142411280423E-13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172.9177436650786</v>
      </c>
      <c r="BJ153" s="59">
        <f t="shared" si="146"/>
        <v>173.73622806725865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0.15434926673742394</v>
      </c>
      <c r="BQ153" s="21">
        <f>EXP(-LN(2)/25)*BQ152+(1-EXP(-LN(2)/25))/(LN(2)/25)*Calculateur!BL153*Calculateur!BN153*VLOOKUP('Données projet'!$B$11,Paramètres!$A$1:$I$89,3,0)*0.475*44/12</f>
        <v>0.40978218452247656</v>
      </c>
      <c r="BR153" s="21">
        <f>EXP(-LN(2)/2)*BR152+(1-EXP(-LN(2)/2))/(LN(2)/2)*BL153*BO153*VLOOKUP('Données projet'!$B$11,Paramètres!$A$1:$I$89,3,0)*0.475*44/12</f>
        <v>7.301676782467919E-18</v>
      </c>
      <c r="BS153" s="22">
        <f t="shared" si="117"/>
        <v>0.5641314512599005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289.07218105343333</v>
      </c>
      <c r="CE153" s="59">
        <f t="shared" si="148"/>
        <v>217.57508587672368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0.11272445103135764</v>
      </c>
      <c r="CL153" s="21">
        <f>EXP(-LN(2)/25)*CL152+(1-EXP(-LN(2)/25))/(LN(2)/25)*Calculateur!CG153*Calculateur!CI153*VLOOKUP('Données projet'!$B$12,Paramètres!$A$1:$I$89,3,0)*0.475*44/12</f>
        <v>0.23594068681402625</v>
      </c>
      <c r="CM153" s="21">
        <f>EXP(-LN(2)/2)*CM152+(1-EXP(-LN(2)/2))/(LN(2)/2)*CG153*CJ153*VLOOKUP('Données projet'!$B$12,Paramètres!$A$1:$I$89,3,0)*0.475*44/12</f>
        <v>6.6957819770498274E-18</v>
      </c>
      <c r="CN153" s="22">
        <f t="shared" si="120"/>
        <v>0.34866513784538389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-1.1527845344971866E-13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272.93635583300755</v>
      </c>
      <c r="T154" s="59">
        <f t="shared" si="142"/>
        <v>179.56041631665812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0.34009819728739121</v>
      </c>
      <c r="AA154" s="21">
        <f>EXP(-LN(2)/25)*AA153+(1-EXP(-LN(2)/25))/(LN(2)/25)*Calculateur!V154*Calculateur!X154*VLOOKUP('Données projet'!$B$9,Paramètres!$A$1:$I$89,3,0)*0.475*44/12</f>
        <v>0.16415928677830816</v>
      </c>
      <c r="AB154" s="21">
        <f>EXP(-LN(2)/2)*AB153+(1-EXP(-LN(2)/2))/(LN(2)/2)*V154*Y154*VLOOKUP('Données projet'!$B$9,Paramètres!$A$1:$I$89,3,0)*0.475*44/12</f>
        <v>4.1946346634527454E-18</v>
      </c>
      <c r="AC154" s="22">
        <f t="shared" ref="AC154:AC203" si="163">SUM(Z154:AB154)</f>
        <v>0.50425748406569937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-1.0286385077051818E-13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237.64646718446005</v>
      </c>
      <c r="AO154" s="59">
        <f t="shared" si="144"/>
        <v>156.67965022779907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0.30347223757951836</v>
      </c>
      <c r="AV154" s="21">
        <f>EXP(-LN(2)/25)*AV153+(1-EXP(-LN(2)/25))/(LN(2)/25)*Calculateur!AQ154*Calculateur!AS154*VLOOKUP('Données projet'!$B$10,Paramètres!$A$1:$I$89,3,0)*0.475*44/12</f>
        <v>0.14648059435602898</v>
      </c>
      <c r="AW154" s="21">
        <f>EXP(-LN(2)/2)*AW153+(1-EXP(-LN(2)/2))/(LN(2)/2)*AQ154*AT154*VLOOKUP('Données projet'!$B$10,Paramètres!$A$1:$I$89,3,0)*0.475*44/12</f>
        <v>3.7429047766193716E-18</v>
      </c>
      <c r="AX154" s="21">
        <f t="shared" ref="AX154:AX203" si="166">SUM(AU154:AW154)</f>
        <v>0.44995283193554736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-1.7053025658242404E-13</v>
      </c>
      <c r="BE154" s="13">
        <f>BD154*VLOOKUP('Données projet'!$B$11,Paramètres!$A$1:$I$89,3,0)*VLOOKUP('Données projet'!$B$11,Paramètres!$A$1:$I$89,5,0)</f>
        <v>-1.1173142411280423E-13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172.9177436650786</v>
      </c>
      <c r="BJ154" s="59">
        <f t="shared" si="146"/>
        <v>173.73622806725865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0.15132257176045985</v>
      </c>
      <c r="BQ154" s="21">
        <f>EXP(-LN(2)/25)*BQ153+(1-EXP(-LN(2)/25))/(LN(2)/25)*Calculateur!BL154*Calculateur!BN154*VLOOKUP('Données projet'!$B$11,Paramètres!$A$1:$I$89,3,0)*0.475*44/12</f>
        <v>0.39857666913720091</v>
      </c>
      <c r="BR154" s="21">
        <f>EXP(-LN(2)/2)*BR153+(1-EXP(-LN(2)/2))/(LN(2)/2)*BL154*BO154*VLOOKUP('Données projet'!$B$11,Paramètres!$A$1:$I$89,3,0)*0.475*44/12</f>
        <v>5.1630651669154372E-18</v>
      </c>
      <c r="BS154" s="22">
        <f t="shared" ref="BS154:BS203" si="169">SUM(BP154:BR154)</f>
        <v>0.54989924089766073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289.07218105343333</v>
      </c>
      <c r="CE154" s="59">
        <f t="shared" si="148"/>
        <v>217.57508587672368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0.11051399330175884</v>
      </c>
      <c r="CL154" s="21">
        <f>EXP(-LN(2)/25)*CL153+(1-EXP(-LN(2)/25))/(LN(2)/25)*Calculateur!CG154*Calculateur!CI154*VLOOKUP('Données projet'!$B$12,Paramètres!$A$1:$I$89,3,0)*0.475*44/12</f>
        <v>0.22948887632551523</v>
      </c>
      <c r="CM154" s="21">
        <f>EXP(-LN(2)/2)*CM153+(1-EXP(-LN(2)/2))/(LN(2)/2)*CG154*CJ154*VLOOKUP('Données projet'!$B$12,Paramètres!$A$1:$I$89,3,0)*0.475*44/12</f>
        <v>4.7346328413186008E-18</v>
      </c>
      <c r="CN154" s="22">
        <f t="shared" ref="CN154:CN203" si="172">SUM(CK154:CM154)</f>
        <v>0.34000286962727411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-1.1527845344971866E-13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272.93635583300755</v>
      </c>
      <c r="T155" s="59">
        <f t="shared" si="142"/>
        <v>179.56041631665812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0.3334290790780029</v>
      </c>
      <c r="AA155" s="21">
        <f>EXP(-LN(2)/25)*AA154+(1-EXP(-LN(2)/25))/(LN(2)/25)*Calculateur!V155*Calculateur!X155*VLOOKUP('Données projet'!$B$9,Paramètres!$A$1:$I$89,3,0)*0.475*44/12</f>
        <v>0.15967034244859363</v>
      </c>
      <c r="AB155" s="21">
        <f>EXP(-LN(2)/2)*AB154+(1-EXP(-LN(2)/2))/(LN(2)/2)*V155*Y155*VLOOKUP('Données projet'!$B$9,Paramètres!$A$1:$I$89,3,0)*0.475*44/12</f>
        <v>2.9660546151275879E-18</v>
      </c>
      <c r="AC155" s="22">
        <f t="shared" si="163"/>
        <v>0.49309942152659653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-1.0286385077051818E-13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237.64646718446005</v>
      </c>
      <c r="AO155" s="59">
        <f t="shared" si="144"/>
        <v>156.67965022779907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0.29752133210037185</v>
      </c>
      <c r="AV155" s="21">
        <f>EXP(-LN(2)/25)*AV154+(1-EXP(-LN(2)/25))/(LN(2)/25)*Calculateur!AQ155*Calculateur!AS155*VLOOKUP('Données projet'!$B$10,Paramètres!$A$1:$I$89,3,0)*0.475*44/12</f>
        <v>0.14247507480028368</v>
      </c>
      <c r="AW155" s="21">
        <f>EXP(-LN(2)/2)*AW154+(1-EXP(-LN(2)/2))/(LN(2)/2)*AQ155*AT155*VLOOKUP('Données projet'!$B$10,Paramètres!$A$1:$I$89,3,0)*0.475*44/12</f>
        <v>2.6466333488830775E-18</v>
      </c>
      <c r="AX155" s="21">
        <f t="shared" si="166"/>
        <v>0.43999640690065556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-1.7053025658242404E-13</v>
      </c>
      <c r="BE155" s="13">
        <f>BD155*VLOOKUP('Données projet'!$B$11,Paramètres!$A$1:$I$89,3,0)*VLOOKUP('Données projet'!$B$11,Paramètres!$A$1:$I$89,5,0)</f>
        <v>-1.1173142411280423E-13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172.9177436650786</v>
      </c>
      <c r="BJ155" s="59">
        <f t="shared" si="146"/>
        <v>173.73622806725865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0.14835522842589238</v>
      </c>
      <c r="BQ155" s="21">
        <f>EXP(-LN(2)/25)*BQ154+(1-EXP(-LN(2)/25))/(LN(2)/25)*Calculateur!BL155*Calculateur!BN155*VLOOKUP('Données projet'!$B$11,Paramètres!$A$1:$I$89,3,0)*0.475*44/12</f>
        <v>0.3876775691594081</v>
      </c>
      <c r="BR155" s="21">
        <f>EXP(-LN(2)/2)*BR154+(1-EXP(-LN(2)/2))/(LN(2)/2)*BL155*BO155*VLOOKUP('Données projet'!$B$11,Paramètres!$A$1:$I$89,3,0)*0.475*44/12</f>
        <v>3.6508383912339595E-18</v>
      </c>
      <c r="BS155" s="22">
        <f t="shared" si="169"/>
        <v>0.53603279758530054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289.07218105343333</v>
      </c>
      <c r="CE155" s="59">
        <f t="shared" si="148"/>
        <v>217.57508587672368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0.10834688129999138</v>
      </c>
      <c r="CL155" s="21">
        <f>EXP(-LN(2)/25)*CL154+(1-EXP(-LN(2)/25))/(LN(2)/25)*Calculateur!CG155*Calculateur!CI155*VLOOKUP('Données projet'!$B$12,Paramètres!$A$1:$I$89,3,0)*0.475*44/12</f>
        <v>0.22321349093409851</v>
      </c>
      <c r="CM155" s="21">
        <f>EXP(-LN(2)/2)*CM154+(1-EXP(-LN(2)/2))/(LN(2)/2)*CG155*CJ155*VLOOKUP('Données projet'!$B$12,Paramètres!$A$1:$I$89,3,0)*0.475*44/12</f>
        <v>3.3478909885249137E-18</v>
      </c>
      <c r="CN155" s="22">
        <f t="shared" si="172"/>
        <v>0.33156037223408991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-1.1527845344971866E-13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272.93635583300755</v>
      </c>
      <c r="T156" s="59">
        <f t="shared" si="142"/>
        <v>179.56041631665812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0.32689073820894021</v>
      </c>
      <c r="AA156" s="21">
        <f>EXP(-LN(2)/25)*AA155+(1-EXP(-LN(2)/25))/(LN(2)/25)*Calculateur!V156*Calculateur!X156*VLOOKUP('Données projet'!$B$9,Paramètres!$A$1:$I$89,3,0)*0.475*44/12</f>
        <v>0.15530414853763846</v>
      </c>
      <c r="AB156" s="21">
        <f>EXP(-LN(2)/2)*AB155+(1-EXP(-LN(2)/2))/(LN(2)/2)*V156*Y156*VLOOKUP('Données projet'!$B$9,Paramètres!$A$1:$I$89,3,0)*0.475*44/12</f>
        <v>2.0973173317263727E-18</v>
      </c>
      <c r="AC156" s="22">
        <f t="shared" si="163"/>
        <v>0.48219488674657868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-1.0286385077051818E-13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237.64646718446005</v>
      </c>
      <c r="AO156" s="59">
        <f t="shared" si="144"/>
        <v>156.67965022779907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0.29168712024797744</v>
      </c>
      <c r="AV156" s="21">
        <f>EXP(-LN(2)/25)*AV155+(1-EXP(-LN(2)/25))/(LN(2)/25)*Calculateur!AQ156*Calculateur!AS156*VLOOKUP('Données projet'!$B$10,Paramètres!$A$1:$I$89,3,0)*0.475*44/12</f>
        <v>0.13857908638743138</v>
      </c>
      <c r="AW156" s="21">
        <f>EXP(-LN(2)/2)*AW155+(1-EXP(-LN(2)/2))/(LN(2)/2)*AQ156*AT156*VLOOKUP('Données projet'!$B$10,Paramètres!$A$1:$I$89,3,0)*0.475*44/12</f>
        <v>1.8714523883096858E-18</v>
      </c>
      <c r="AX156" s="21">
        <f t="shared" si="166"/>
        <v>0.43026620663540882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-1.7053025658242404E-13</v>
      </c>
      <c r="BE156" s="13">
        <f>BD156*VLOOKUP('Données projet'!$B$11,Paramètres!$A$1:$I$89,3,0)*VLOOKUP('Données projet'!$B$11,Paramètres!$A$1:$I$89,5,0)</f>
        <v>-1.1173142411280423E-13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172.9177436650786</v>
      </c>
      <c r="BJ156" s="59">
        <f t="shared" si="146"/>
        <v>173.73622806725865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0.14544607288421504</v>
      </c>
      <c r="BQ156" s="21">
        <f>EXP(-LN(2)/25)*BQ155+(1-EXP(-LN(2)/25))/(LN(2)/25)*Calculateur!BL156*Calculateur!BN156*VLOOKUP('Données projet'!$B$11,Paramètres!$A$1:$I$89,3,0)*0.475*44/12</f>
        <v>0.37707650564366679</v>
      </c>
      <c r="BR156" s="21">
        <f>EXP(-LN(2)/2)*BR155+(1-EXP(-LN(2)/2))/(LN(2)/2)*BL156*BO156*VLOOKUP('Données projet'!$B$11,Paramètres!$A$1:$I$89,3,0)*0.475*44/12</f>
        <v>2.5815325834577186E-18</v>
      </c>
      <c r="BS156" s="22">
        <f t="shared" si="169"/>
        <v>0.52252257852788186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289.07218105343333</v>
      </c>
      <c r="CE156" s="59">
        <f t="shared" si="148"/>
        <v>217.57508587672368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0.10622226504277078</v>
      </c>
      <c r="CL156" s="21">
        <f>EXP(-LN(2)/25)*CL155+(1-EXP(-LN(2)/25))/(LN(2)/25)*Calculateur!CG156*Calculateur!CI156*VLOOKUP('Données projet'!$B$12,Paramètres!$A$1:$I$89,3,0)*0.475*44/12</f>
        <v>0.21710970628621826</v>
      </c>
      <c r="CM156" s="21">
        <f>EXP(-LN(2)/2)*CM155+(1-EXP(-LN(2)/2))/(LN(2)/2)*CG156*CJ156*VLOOKUP('Données projet'!$B$12,Paramètres!$A$1:$I$89,3,0)*0.475*44/12</f>
        <v>2.3673164206593004E-18</v>
      </c>
      <c r="CN156" s="22">
        <f t="shared" si="172"/>
        <v>0.32333197132898905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-1.1527845344971866E-13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272.93635583300755</v>
      </c>
      <c r="T157" s="59">
        <f t="shared" si="142"/>
        <v>179.56041631665812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0.32048061021632568</v>
      </c>
      <c r="AA157" s="21">
        <f>EXP(-LN(2)/25)*AA156+(1-EXP(-LN(2)/25))/(LN(2)/25)*Calculateur!V157*Calculateur!X157*VLOOKUP('Données projet'!$B$9,Paramètres!$A$1:$I$89,3,0)*0.475*44/12</f>
        <v>0.15105734842878651</v>
      </c>
      <c r="AB157" s="21">
        <f>EXP(-LN(2)/2)*AB156+(1-EXP(-LN(2)/2))/(LN(2)/2)*V157*Y157*VLOOKUP('Données projet'!$B$9,Paramètres!$A$1:$I$89,3,0)*0.475*44/12</f>
        <v>1.483027307563794E-18</v>
      </c>
      <c r="AC157" s="22">
        <f t="shared" si="163"/>
        <v>0.47153795864511217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-1.0286385077051818E-13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237.64646718446005</v>
      </c>
      <c r="AO157" s="59">
        <f t="shared" si="144"/>
        <v>156.67965022779907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0.28596731373149065</v>
      </c>
      <c r="AV157" s="21">
        <f>EXP(-LN(2)/25)*AV156+(1-EXP(-LN(2)/25))/(LN(2)/25)*Calculateur!AQ157*Calculateur!AS157*VLOOKUP('Données projet'!$B$10,Paramètres!$A$1:$I$89,3,0)*0.475*44/12</f>
        <v>0.13478963398260965</v>
      </c>
      <c r="AW157" s="21">
        <f>EXP(-LN(2)/2)*AW156+(1-EXP(-LN(2)/2))/(LN(2)/2)*AQ157*AT157*VLOOKUP('Données projet'!$B$10,Paramètres!$A$1:$I$89,3,0)*0.475*44/12</f>
        <v>1.3233166744415388E-18</v>
      </c>
      <c r="AX157" s="21">
        <f t="shared" si="166"/>
        <v>0.42075694771410033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-1.7053025658242404E-13</v>
      </c>
      <c r="BE157" s="13">
        <f>BD157*VLOOKUP('Données projet'!$B$11,Paramètres!$A$1:$I$89,3,0)*VLOOKUP('Données projet'!$B$11,Paramètres!$A$1:$I$89,5,0)</f>
        <v>-1.1173142411280423E-13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172.9177436650786</v>
      </c>
      <c r="BJ157" s="59">
        <f t="shared" si="146"/>
        <v>173.73622806725865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0.14259396410830033</v>
      </c>
      <c r="BQ157" s="21">
        <f>EXP(-LN(2)/25)*BQ156+(1-EXP(-LN(2)/25))/(LN(2)/25)*Calculateur!BL157*Calculateur!BN157*VLOOKUP('Données projet'!$B$11,Paramètres!$A$1:$I$89,3,0)*0.475*44/12</f>
        <v>0.3667653287672491</v>
      </c>
      <c r="BR157" s="21">
        <f>EXP(-LN(2)/2)*BR156+(1-EXP(-LN(2)/2))/(LN(2)/2)*BL157*BO157*VLOOKUP('Données projet'!$B$11,Paramètres!$A$1:$I$89,3,0)*0.475*44/12</f>
        <v>1.8254191956169798E-18</v>
      </c>
      <c r="BS157" s="22">
        <f t="shared" si="169"/>
        <v>0.50935929287554949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289.07218105343333</v>
      </c>
      <c r="CE157" s="59">
        <f t="shared" si="148"/>
        <v>217.57508587672368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0.10413931121446632</v>
      </c>
      <c r="CL157" s="21">
        <f>EXP(-LN(2)/25)*CL156+(1-EXP(-LN(2)/25))/(LN(2)/25)*Calculateur!CG157*Calculateur!CI157*VLOOKUP('Données projet'!$B$12,Paramètres!$A$1:$I$89,3,0)*0.475*44/12</f>
        <v>0.21117282995051836</v>
      </c>
      <c r="CM157" s="21">
        <f>EXP(-LN(2)/2)*CM156+(1-EXP(-LN(2)/2))/(LN(2)/2)*CG157*CJ157*VLOOKUP('Données projet'!$B$12,Paramètres!$A$1:$I$89,3,0)*0.475*44/12</f>
        <v>1.6739454942624568E-18</v>
      </c>
      <c r="CN157" s="22">
        <f t="shared" si="172"/>
        <v>0.31531214116498468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-1.1527845344971866E-13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272.93635583300755</v>
      </c>
      <c r="T158" s="59">
        <f t="shared" si="142"/>
        <v>179.56041631665812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0.31419618092385432</v>
      </c>
      <c r="AA158" s="21">
        <f>EXP(-LN(2)/25)*AA157+(1-EXP(-LN(2)/25))/(LN(2)/25)*Calculateur!V158*Calculateur!X158*VLOOKUP('Données projet'!$B$9,Paramètres!$A$1:$I$89,3,0)*0.475*44/12</f>
        <v>0.14692667729224063</v>
      </c>
      <c r="AB158" s="21">
        <f>EXP(-LN(2)/2)*AB157+(1-EXP(-LN(2)/2))/(LN(2)/2)*V158*Y158*VLOOKUP('Données projet'!$B$9,Paramètres!$A$1:$I$89,3,0)*0.475*44/12</f>
        <v>1.0486586658631864E-18</v>
      </c>
      <c r="AC158" s="22">
        <f t="shared" si="163"/>
        <v>0.46112285821609494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-1.0286385077051818E-13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237.64646718446005</v>
      </c>
      <c r="AO158" s="59">
        <f t="shared" si="144"/>
        <v>156.67965022779907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0.28035966913205468</v>
      </c>
      <c r="AV158" s="21">
        <f>EXP(-LN(2)/25)*AV157+(1-EXP(-LN(2)/25))/(LN(2)/25)*Calculateur!AQ158*Calculateur!AS158*VLOOKUP('Données projet'!$B$10,Paramètres!$A$1:$I$89,3,0)*0.475*44/12</f>
        <v>0.13110380435307642</v>
      </c>
      <c r="AW158" s="21">
        <f>EXP(-LN(2)/2)*AW157+(1-EXP(-LN(2)/2))/(LN(2)/2)*AQ158*AT158*VLOOKUP('Données projet'!$B$10,Paramètres!$A$1:$I$89,3,0)*0.475*44/12</f>
        <v>9.357261941548429E-19</v>
      </c>
      <c r="AX158" s="21">
        <f t="shared" si="166"/>
        <v>0.41146347348513113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-1.7053025658242404E-13</v>
      </c>
      <c r="BE158" s="13">
        <f>BD158*VLOOKUP('Données projet'!$B$11,Paramètres!$A$1:$I$89,3,0)*VLOOKUP('Données projet'!$B$11,Paramètres!$A$1:$I$89,5,0)</f>
        <v>-1.1173142411280423E-13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172.9177436650786</v>
      </c>
      <c r="BJ158" s="59">
        <f t="shared" si="146"/>
        <v>173.73622806725865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0.13979778344586671</v>
      </c>
      <c r="BQ158" s="21">
        <f>EXP(-LN(2)/25)*BQ157+(1-EXP(-LN(2)/25))/(LN(2)/25)*Calculateur!BL158*Calculateur!BN158*VLOOKUP('Données projet'!$B$11,Paramètres!$A$1:$I$89,3,0)*0.475*44/12</f>
        <v>0.35673611156475826</v>
      </c>
      <c r="BR158" s="21">
        <f>EXP(-LN(2)/2)*BR157+(1-EXP(-LN(2)/2))/(LN(2)/2)*BL158*BO158*VLOOKUP('Données projet'!$B$11,Paramètres!$A$1:$I$89,3,0)*0.475*44/12</f>
        <v>1.2907662917288593E-18</v>
      </c>
      <c r="BS158" s="22">
        <f t="shared" si="169"/>
        <v>0.49653389501062495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289.07218105343333</v>
      </c>
      <c r="CE158" s="59">
        <f t="shared" si="148"/>
        <v>217.57508587672368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0.10209720284025853</v>
      </c>
      <c r="CL158" s="21">
        <f>EXP(-LN(2)/25)*CL157+(1-EXP(-LN(2)/25))/(LN(2)/25)*Calculateur!CG158*Calculateur!CI158*VLOOKUP('Données projet'!$B$12,Paramètres!$A$1:$I$89,3,0)*0.475*44/12</f>
        <v>0.20539829781042496</v>
      </c>
      <c r="CM158" s="21">
        <f>EXP(-LN(2)/2)*CM157+(1-EXP(-LN(2)/2))/(LN(2)/2)*CG158*CJ158*VLOOKUP('Données projet'!$B$12,Paramètres!$A$1:$I$89,3,0)*0.475*44/12</f>
        <v>1.1836582103296502E-18</v>
      </c>
      <c r="CN158" s="22">
        <f t="shared" si="172"/>
        <v>0.30749550065068348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-1.1527845344971866E-13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272.93635583300755</v>
      </c>
      <c r="T159" s="59">
        <f t="shared" si="142"/>
        <v>179.56041631665812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0.30803498545668495</v>
      </c>
      <c r="AA159" s="21">
        <f>EXP(-LN(2)/25)*AA158+(1-EXP(-LN(2)/25))/(LN(2)/25)*Calculateur!V159*Calculateur!X159*VLOOKUP('Données projet'!$B$9,Paramètres!$A$1:$I$89,3,0)*0.475*44/12</f>
        <v>0.14290895957514615</v>
      </c>
      <c r="AB159" s="21">
        <f>EXP(-LN(2)/2)*AB158+(1-EXP(-LN(2)/2))/(LN(2)/2)*V159*Y159*VLOOKUP('Données projet'!$B$9,Paramètres!$A$1:$I$89,3,0)*0.475*44/12</f>
        <v>7.4151365378189698E-19</v>
      </c>
      <c r="AC159" s="22">
        <f t="shared" si="163"/>
        <v>0.45094394503183111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-1.0286385077051818E-13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237.64646718446005</v>
      </c>
      <c r="AO159" s="59">
        <f t="shared" si="144"/>
        <v>156.67965022779907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0.27486198702288817</v>
      </c>
      <c r="AV159" s="21">
        <f>EXP(-LN(2)/25)*AV158+(1-EXP(-LN(2)/25))/(LN(2)/25)*Calculateur!AQ159*Calculateur!AS159*VLOOKUP('Données projet'!$B$10,Paramètres!$A$1:$I$89,3,0)*0.475*44/12</f>
        <v>0.12751876392859213</v>
      </c>
      <c r="AW159" s="21">
        <f>EXP(-LN(2)/2)*AW158+(1-EXP(-LN(2)/2))/(LN(2)/2)*AQ159*AT159*VLOOKUP('Données projet'!$B$10,Paramètres!$A$1:$I$89,3,0)*0.475*44/12</f>
        <v>6.6165833722076939E-19</v>
      </c>
      <c r="AX159" s="21">
        <f t="shared" si="166"/>
        <v>0.40238075095148029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-1.7053025658242404E-13</v>
      </c>
      <c r="BE159" s="13">
        <f>BD159*VLOOKUP('Données projet'!$B$11,Paramètres!$A$1:$I$89,3,0)*VLOOKUP('Données projet'!$B$11,Paramètres!$A$1:$I$89,5,0)</f>
        <v>-1.1173142411280423E-13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172.9177436650786</v>
      </c>
      <c r="BJ159" s="59">
        <f t="shared" si="146"/>
        <v>173.73622806725865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0.13705643418072164</v>
      </c>
      <c r="BQ159" s="21">
        <f>EXP(-LN(2)/25)*BQ158+(1-EXP(-LN(2)/25))/(LN(2)/25)*Calculateur!BL159*Calculateur!BN159*VLOOKUP('Données projet'!$B$11,Paramètres!$A$1:$I$89,3,0)*0.475*44/12</f>
        <v>0.34698114383408318</v>
      </c>
      <c r="BR159" s="21">
        <f>EXP(-LN(2)/2)*BR158+(1-EXP(-LN(2)/2))/(LN(2)/2)*BL159*BO159*VLOOKUP('Données projet'!$B$11,Paramètres!$A$1:$I$89,3,0)*0.475*44/12</f>
        <v>9.1270959780848988E-19</v>
      </c>
      <c r="BS159" s="22">
        <f t="shared" si="169"/>
        <v>0.48403757801480485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289.07218105343333</v>
      </c>
      <c r="CE159" s="59">
        <f t="shared" si="148"/>
        <v>217.57508587672368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0.10009513896570582</v>
      </c>
      <c r="CL159" s="21">
        <f>EXP(-LN(2)/25)*CL158+(1-EXP(-LN(2)/25))/(LN(2)/25)*Calculateur!CG159*Calculateur!CI159*VLOOKUP('Données projet'!$B$12,Paramètres!$A$1:$I$89,3,0)*0.475*44/12</f>
        <v>0.19978167055537185</v>
      </c>
      <c r="CM159" s="21">
        <f>EXP(-LN(2)/2)*CM158+(1-EXP(-LN(2)/2))/(LN(2)/2)*CG159*CJ159*VLOOKUP('Données projet'!$B$12,Paramètres!$A$1:$I$89,3,0)*0.475*44/12</f>
        <v>8.3697274713122842E-19</v>
      </c>
      <c r="CN159" s="22">
        <f t="shared" si="172"/>
        <v>0.29987680952107765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-1.1527845344971866E-13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272.93635583300755</v>
      </c>
      <c r="T160" s="59">
        <f t="shared" si="142"/>
        <v>179.56041631665812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0.30199460727466859</v>
      </c>
      <c r="AA160" s="21">
        <f>EXP(-LN(2)/25)*AA159+(1-EXP(-LN(2)/25))/(LN(2)/25)*Calculateur!V160*Calculateur!X160*VLOOKUP('Données projet'!$B$9,Paramètres!$A$1:$I$89,3,0)*0.475*44/12</f>
        <v>0.13900110656030823</v>
      </c>
      <c r="AB160" s="21">
        <f>EXP(-LN(2)/2)*AB159+(1-EXP(-LN(2)/2))/(LN(2)/2)*V160*Y160*VLOOKUP('Données projet'!$B$9,Paramètres!$A$1:$I$89,3,0)*0.475*44/12</f>
        <v>5.2432933293159318E-19</v>
      </c>
      <c r="AC160" s="22">
        <f t="shared" si="163"/>
        <v>0.44099571383497682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-1.0286385077051818E-13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237.64646718446005</v>
      </c>
      <c r="AO160" s="59">
        <f t="shared" si="144"/>
        <v>156.67965022779907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0.26947211110662744</v>
      </c>
      <c r="AV160" s="21">
        <f>EXP(-LN(2)/25)*AV159+(1-EXP(-LN(2)/25))/(LN(2)/25)*Calculateur!AQ160*Calculateur!AS160*VLOOKUP('Données projet'!$B$10,Paramètres!$A$1:$I$89,3,0)*0.475*44/12</f>
        <v>0.12403175662304443</v>
      </c>
      <c r="AW160" s="21">
        <f>EXP(-LN(2)/2)*AW159+(1-EXP(-LN(2)/2))/(LN(2)/2)*AQ160*AT160*VLOOKUP('Données projet'!$B$10,Paramètres!$A$1:$I$89,3,0)*0.475*44/12</f>
        <v>4.6786309707742145E-19</v>
      </c>
      <c r="AX160" s="21">
        <f t="shared" si="166"/>
        <v>0.39350386772967189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-1.7053025658242404E-13</v>
      </c>
      <c r="BE160" s="13">
        <f>BD160*VLOOKUP('Données projet'!$B$11,Paramètres!$A$1:$I$89,3,0)*VLOOKUP('Données projet'!$B$11,Paramètres!$A$1:$I$89,5,0)</f>
        <v>-1.1173142411280423E-13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172.9177436650786</v>
      </c>
      <c r="BJ160" s="59">
        <f t="shared" si="146"/>
        <v>173.73622806725865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0.13436884110260811</v>
      </c>
      <c r="BQ160" s="21">
        <f>EXP(-LN(2)/25)*BQ159+(1-EXP(-LN(2)/25))/(LN(2)/25)*Calculateur!BL160*Calculateur!BN160*VLOOKUP('Données projet'!$B$11,Paramètres!$A$1:$I$89,3,0)*0.475*44/12</f>
        <v>0.33749292620899485</v>
      </c>
      <c r="BR160" s="21">
        <f>EXP(-LN(2)/2)*BR159+(1-EXP(-LN(2)/2))/(LN(2)/2)*BL160*BO160*VLOOKUP('Données projet'!$B$11,Paramètres!$A$1:$I$89,3,0)*0.475*44/12</f>
        <v>6.4538314586442965E-19</v>
      </c>
      <c r="BS160" s="22">
        <f t="shared" si="169"/>
        <v>0.47186176731160295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289.07218105343333</v>
      </c>
      <c r="CE160" s="59">
        <f t="shared" si="148"/>
        <v>217.57508587672368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9.8132334342594718E-2</v>
      </c>
      <c r="CL160" s="21">
        <f>EXP(-LN(2)/25)*CL159+(1-EXP(-LN(2)/25))/(LN(2)/25)*Calculateur!CG160*Calculateur!CI160*VLOOKUP('Données projet'!$B$12,Paramètres!$A$1:$I$89,3,0)*0.475*44/12</f>
        <v>0.19431863026797377</v>
      </c>
      <c r="CM160" s="21">
        <f>EXP(-LN(2)/2)*CM159+(1-EXP(-LN(2)/2))/(LN(2)/2)*CG160*CJ160*VLOOKUP('Données projet'!$B$12,Paramètres!$A$1:$I$89,3,0)*0.475*44/12</f>
        <v>5.918291051648251E-19</v>
      </c>
      <c r="CN160" s="22">
        <f t="shared" si="172"/>
        <v>0.29245096461056852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-1.1527845344971866E-13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272.93635583300755</v>
      </c>
      <c r="T161" s="59">
        <f t="shared" si="142"/>
        <v>179.56041631665812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0.29607267722453467</v>
      </c>
      <c r="AA161" s="21">
        <f>EXP(-LN(2)/25)*AA160+(1-EXP(-LN(2)/25))/(LN(2)/25)*Calculateur!V161*Calculateur!X161*VLOOKUP('Données projet'!$B$9,Paramètres!$A$1:$I$89,3,0)*0.475*44/12</f>
        <v>0.13520011399166609</v>
      </c>
      <c r="AB161" s="21">
        <f>EXP(-LN(2)/2)*AB160+(1-EXP(-LN(2)/2))/(LN(2)/2)*V161*Y161*VLOOKUP('Données projet'!$B$9,Paramètres!$A$1:$I$89,3,0)*0.475*44/12</f>
        <v>3.7075682689094849E-19</v>
      </c>
      <c r="AC161" s="22">
        <f t="shared" si="163"/>
        <v>0.43127279121620077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-1.0286385077051818E-13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237.64646718446005</v>
      </c>
      <c r="AO161" s="59">
        <f t="shared" si="144"/>
        <v>156.67965022779907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0.26418792736958485</v>
      </c>
      <c r="AV161" s="21">
        <f>EXP(-LN(2)/25)*AV160+(1-EXP(-LN(2)/25))/(LN(2)/25)*Calculateur!AQ161*Calculateur!AS161*VLOOKUP('Données projet'!$B$10,Paramètres!$A$1:$I$89,3,0)*0.475*44/12</f>
        <v>0.12064010171564067</v>
      </c>
      <c r="AW161" s="21">
        <f>EXP(-LN(2)/2)*AW160+(1-EXP(-LN(2)/2))/(LN(2)/2)*AQ161*AT161*VLOOKUP('Données projet'!$B$10,Paramètres!$A$1:$I$89,3,0)*0.475*44/12</f>
        <v>3.3082916861038469E-19</v>
      </c>
      <c r="AX161" s="21">
        <f t="shared" si="166"/>
        <v>0.38482802908522551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-1.7053025658242404E-13</v>
      </c>
      <c r="BE161" s="13">
        <f>BD161*VLOOKUP('Données projet'!$B$11,Paramètres!$A$1:$I$89,3,0)*VLOOKUP('Données projet'!$B$11,Paramètres!$A$1:$I$89,5,0)</f>
        <v>-1.1173142411280423E-13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172.9177436650786</v>
      </c>
      <c r="BJ161" s="59">
        <f t="shared" si="146"/>
        <v>173.73622806725865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0.13173395008548647</v>
      </c>
      <c r="BQ161" s="21">
        <f>EXP(-LN(2)/25)*BQ160+(1-EXP(-LN(2)/25))/(LN(2)/25)*Calculateur!BL161*Calculateur!BN161*VLOOKUP('Données projet'!$B$11,Paramètres!$A$1:$I$89,3,0)*0.475*44/12</f>
        <v>0.32826416439382822</v>
      </c>
      <c r="BR161" s="21">
        <f>EXP(-LN(2)/2)*BR160+(1-EXP(-LN(2)/2))/(LN(2)/2)*BL161*BO161*VLOOKUP('Données projet'!$B$11,Paramètres!$A$1:$I$89,3,0)*0.475*44/12</f>
        <v>4.5635479890424494E-19</v>
      </c>
      <c r="BS161" s="22">
        <f t="shared" si="169"/>
        <v>0.45999811447931471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289.07218105343333</v>
      </c>
      <c r="CE161" s="59">
        <f t="shared" si="148"/>
        <v>217.57508587672368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9.6208019120950214E-2</v>
      </c>
      <c r="CL161" s="21">
        <f>EXP(-LN(2)/25)*CL160+(1-EXP(-LN(2)/25))/(LN(2)/25)*Calculateur!CG161*Calculateur!CI161*VLOOKUP('Données projet'!$B$12,Paramètres!$A$1:$I$89,3,0)*0.475*44/12</f>
        <v>0.18900497710452338</v>
      </c>
      <c r="CM161" s="21">
        <f>EXP(-LN(2)/2)*CM160+(1-EXP(-LN(2)/2))/(LN(2)/2)*CG161*CJ161*VLOOKUP('Données projet'!$B$12,Paramètres!$A$1:$I$89,3,0)*0.475*44/12</f>
        <v>4.1848637356561421E-19</v>
      </c>
      <c r="CN161" s="22">
        <f t="shared" si="172"/>
        <v>0.28521299622547358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-1.1527845344971866E-13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272.93635583300755</v>
      </c>
      <c r="T162" s="59">
        <f t="shared" si="142"/>
        <v>179.56041631665812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0.2902668726106632</v>
      </c>
      <c r="AA162" s="21">
        <f>EXP(-LN(2)/25)*AA161+(1-EXP(-LN(2)/25))/(LN(2)/25)*Calculateur!V162*Calculateur!X162*VLOOKUP('Données projet'!$B$9,Paramètres!$A$1:$I$89,3,0)*0.475*44/12</f>
        <v>0.131503059764699</v>
      </c>
      <c r="AB162" s="21">
        <f>EXP(-LN(2)/2)*AB161+(1-EXP(-LN(2)/2))/(LN(2)/2)*V162*Y162*VLOOKUP('Données projet'!$B$9,Paramètres!$A$1:$I$89,3,0)*0.475*44/12</f>
        <v>2.6216466646579659E-19</v>
      </c>
      <c r="AC162" s="22">
        <f t="shared" si="163"/>
        <v>0.4217699323753622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-1.0286385077051818E-13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237.64646718446005</v>
      </c>
      <c r="AO162" s="59">
        <f t="shared" si="144"/>
        <v>156.67965022779907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0.25900736325259188</v>
      </c>
      <c r="AV162" s="21">
        <f>EXP(-LN(2)/25)*AV161+(1-EXP(-LN(2)/25))/(LN(2)/25)*Calculateur!AQ162*Calculateur!AS162*VLOOKUP('Données projet'!$B$10,Paramètres!$A$1:$I$89,3,0)*0.475*44/12</f>
        <v>0.11734119179003925</v>
      </c>
      <c r="AW162" s="21">
        <f>EXP(-LN(2)/2)*AW161+(1-EXP(-LN(2)/2))/(LN(2)/2)*AQ162*AT162*VLOOKUP('Données projet'!$B$10,Paramètres!$A$1:$I$89,3,0)*0.475*44/12</f>
        <v>2.3393154853871073E-19</v>
      </c>
      <c r="AX162" s="21">
        <f t="shared" si="166"/>
        <v>0.37634855504263115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-1.7053025658242404E-13</v>
      </c>
      <c r="BE162" s="13">
        <f>BD162*VLOOKUP('Données projet'!$B$11,Paramètres!$A$1:$I$89,3,0)*VLOOKUP('Données projet'!$B$11,Paramètres!$A$1:$I$89,5,0)</f>
        <v>-1.1173142411280423E-13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172.9177436650786</v>
      </c>
      <c r="BJ162" s="59">
        <f t="shared" si="146"/>
        <v>173.73622806725865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0.12915072767408575</v>
      </c>
      <c r="BQ162" s="21">
        <f>EXP(-LN(2)/25)*BQ161+(1-EXP(-LN(2)/25))/(LN(2)/25)*Calculateur!BL162*Calculateur!BN162*VLOOKUP('Données projet'!$B$11,Paramètres!$A$1:$I$89,3,0)*0.475*44/12</f>
        <v>0.31928776355581684</v>
      </c>
      <c r="BR162" s="21">
        <f>EXP(-LN(2)/2)*BR161+(1-EXP(-LN(2)/2))/(LN(2)/2)*BL162*BO162*VLOOKUP('Données projet'!$B$11,Paramètres!$A$1:$I$89,3,0)*0.475*44/12</f>
        <v>3.2269157293221482E-19</v>
      </c>
      <c r="BS162" s="22">
        <f t="shared" si="169"/>
        <v>0.44843849122990259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289.07218105343333</v>
      </c>
      <c r="CE162" s="59">
        <f t="shared" si="148"/>
        <v>217.57508587672368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9.4321438547085773E-2</v>
      </c>
      <c r="CL162" s="21">
        <f>EXP(-LN(2)/25)*CL161+(1-EXP(-LN(2)/25))/(LN(2)/25)*Calculateur!CG162*Calculateur!CI162*VLOOKUP('Données projet'!$B$12,Paramètres!$A$1:$I$89,3,0)*0.475*44/12</f>
        <v>0.18383662606626042</v>
      </c>
      <c r="CM162" s="21">
        <f>EXP(-LN(2)/2)*CM161+(1-EXP(-LN(2)/2))/(LN(2)/2)*CG162*CJ162*VLOOKUP('Données projet'!$B$12,Paramètres!$A$1:$I$89,3,0)*0.475*44/12</f>
        <v>2.9591455258241255E-19</v>
      </c>
      <c r="CN162" s="22">
        <f t="shared" si="172"/>
        <v>0.27815806461334619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-1.1527845344971866E-13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272.93635583300755</v>
      </c>
      <c r="T163" s="59">
        <f t="shared" si="142"/>
        <v>179.56041631665812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0.28457491628407861</v>
      </c>
      <c r="AA163" s="21">
        <f>EXP(-LN(2)/25)*AA162+(1-EXP(-LN(2)/25))/(LN(2)/25)*Calculateur!V163*Calculateur!X163*VLOOKUP('Données projet'!$B$9,Paramètres!$A$1:$I$89,3,0)*0.475*44/12</f>
        <v>0.12790710167998795</v>
      </c>
      <c r="AB163" s="21">
        <f>EXP(-LN(2)/2)*AB162+(1-EXP(-LN(2)/2))/(LN(2)/2)*V163*Y163*VLOOKUP('Données projet'!$B$9,Paramètres!$A$1:$I$89,3,0)*0.475*44/12</f>
        <v>1.8537841344547425E-19</v>
      </c>
      <c r="AC163" s="22">
        <f t="shared" si="163"/>
        <v>0.41248201796406658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-1.0286385077051818E-13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237.64646718446005</v>
      </c>
      <c r="AO163" s="59">
        <f t="shared" si="144"/>
        <v>156.67965022779907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0.25392838683810104</v>
      </c>
      <c r="AV163" s="21">
        <f>EXP(-LN(2)/25)*AV162+(1-EXP(-LN(2)/25))/(LN(2)/25)*Calculateur!AQ163*Calculateur!AS163*VLOOKUP('Données projet'!$B$10,Paramètres!$A$1:$I$89,3,0)*0.475*44/12</f>
        <v>0.11413249072983554</v>
      </c>
      <c r="AW163" s="21">
        <f>EXP(-LN(2)/2)*AW162+(1-EXP(-LN(2)/2))/(LN(2)/2)*AQ163*AT163*VLOOKUP('Données projet'!$B$10,Paramètres!$A$1:$I$89,3,0)*0.475*44/12</f>
        <v>1.6541458430519235E-19</v>
      </c>
      <c r="AX163" s="21">
        <f t="shared" si="166"/>
        <v>0.3680608775679366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-1.7053025658242404E-13</v>
      </c>
      <c r="BE163" s="13">
        <f>BD163*VLOOKUP('Données projet'!$B$11,Paramètres!$A$1:$I$89,3,0)*VLOOKUP('Données projet'!$B$11,Paramètres!$A$1:$I$89,5,0)</f>
        <v>-1.1173142411280423E-13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172.9177436650786</v>
      </c>
      <c r="BJ163" s="59">
        <f t="shared" si="146"/>
        <v>173.73622806725865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0.12661816067856252</v>
      </c>
      <c r="BQ163" s="21">
        <f>EXP(-LN(2)/25)*BQ162+(1-EXP(-LN(2)/25))/(LN(2)/25)*Calculateur!BL163*Calculateur!BN163*VLOOKUP('Données projet'!$B$11,Paramètres!$A$1:$I$89,3,0)*0.475*44/12</f>
        <v>0.3105568228707693</v>
      </c>
      <c r="BR163" s="21">
        <f>EXP(-LN(2)/2)*BR162+(1-EXP(-LN(2)/2))/(LN(2)/2)*BL163*BO163*VLOOKUP('Données projet'!$B$11,Paramètres!$A$1:$I$89,3,0)*0.475*44/12</f>
        <v>2.2817739945212247E-19</v>
      </c>
      <c r="BS163" s="22">
        <f t="shared" si="169"/>
        <v>0.43717498354933182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289.07218105343333</v>
      </c>
      <c r="CE163" s="59">
        <f t="shared" si="148"/>
        <v>217.57508587672368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9.2471852667574281E-2</v>
      </c>
      <c r="CL163" s="21">
        <f>EXP(-LN(2)/25)*CL162+(1-EXP(-LN(2)/25))/(LN(2)/25)*Calculateur!CG163*Calculateur!CI163*VLOOKUP('Données projet'!$B$12,Paramètres!$A$1:$I$89,3,0)*0.475*44/12</f>
        <v>0.17880960385893052</v>
      </c>
      <c r="CM163" s="21">
        <f>EXP(-LN(2)/2)*CM162+(1-EXP(-LN(2)/2))/(LN(2)/2)*CG163*CJ163*VLOOKUP('Données projet'!$B$12,Paramètres!$A$1:$I$89,3,0)*0.475*44/12</f>
        <v>2.0924318678280711E-19</v>
      </c>
      <c r="CN163" s="22">
        <f t="shared" si="172"/>
        <v>0.27128145652650482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-1.1527845344971866E-13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272.93635583300755</v>
      </c>
      <c r="T164" s="59">
        <f t="shared" si="142"/>
        <v>179.56041631665812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0.2789945757493078</v>
      </c>
      <c r="AA164" s="21">
        <f>EXP(-LN(2)/25)*AA163+(1-EXP(-LN(2)/25))/(LN(2)/25)*Calculateur!V164*Calculateur!X164*VLOOKUP('Données projet'!$B$9,Paramètres!$A$1:$I$89,3,0)*0.475*44/12</f>
        <v>0.12440947525820653</v>
      </c>
      <c r="AB164" s="21">
        <f>EXP(-LN(2)/2)*AB163+(1-EXP(-LN(2)/2))/(LN(2)/2)*V164*Y164*VLOOKUP('Données projet'!$B$9,Paramètres!$A$1:$I$89,3,0)*0.475*44/12</f>
        <v>1.3108233323289829E-19</v>
      </c>
      <c r="AC164" s="22">
        <f t="shared" si="163"/>
        <v>0.40340405100751431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-1.0286385077051818E-13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237.64646718446005</v>
      </c>
      <c r="AO164" s="59">
        <f t="shared" si="144"/>
        <v>156.67965022779907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0.24894900605322862</v>
      </c>
      <c r="AV164" s="21">
        <f>EXP(-LN(2)/25)*AV163+(1-EXP(-LN(2)/25))/(LN(2)/25)*Calculateur!AQ164*Calculateur!AS164*VLOOKUP('Données projet'!$B$10,Paramètres!$A$1:$I$89,3,0)*0.475*44/12</f>
        <v>0.11101153176886136</v>
      </c>
      <c r="AW164" s="21">
        <f>EXP(-LN(2)/2)*AW163+(1-EXP(-LN(2)/2))/(LN(2)/2)*AQ164*AT164*VLOOKUP('Données projet'!$B$10,Paramètres!$A$1:$I$89,3,0)*0.475*44/12</f>
        <v>1.1696577426935536E-19</v>
      </c>
      <c r="AX164" s="21">
        <f t="shared" si="166"/>
        <v>0.35996053782208998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-1.7053025658242404E-13</v>
      </c>
      <c r="BE164" s="13">
        <f>BD164*VLOOKUP('Données projet'!$B$11,Paramètres!$A$1:$I$89,3,0)*VLOOKUP('Données projet'!$B$11,Paramètres!$A$1:$I$89,5,0)</f>
        <v>-1.1173142411280423E-13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172.9177436650786</v>
      </c>
      <c r="BJ164" s="59">
        <f t="shared" si="146"/>
        <v>173.73622806725865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0.12413525577710814</v>
      </c>
      <c r="BQ164" s="21">
        <f>EXP(-LN(2)/25)*BQ163+(1-EXP(-LN(2)/25))/(LN(2)/25)*Calculateur!BL164*Calculateur!BN164*VLOOKUP('Données projet'!$B$11,Paramètres!$A$1:$I$89,3,0)*0.475*44/12</f>
        <v>0.30206463021789459</v>
      </c>
      <c r="BR164" s="21">
        <f>EXP(-LN(2)/2)*BR163+(1-EXP(-LN(2)/2))/(LN(2)/2)*BL164*BO164*VLOOKUP('Données projet'!$B$11,Paramètres!$A$1:$I$89,3,0)*0.475*44/12</f>
        <v>1.6134578646610741E-19</v>
      </c>
      <c r="BS164" s="22">
        <f t="shared" si="169"/>
        <v>0.42619988599500275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289.07218105343333</v>
      </c>
      <c r="CE164" s="59">
        <f t="shared" si="148"/>
        <v>217.57508587672368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9.0658536039024018E-2</v>
      </c>
      <c r="CL164" s="21">
        <f>EXP(-LN(2)/25)*CL163+(1-EXP(-LN(2)/25))/(LN(2)/25)*Calculateur!CG164*Calculateur!CI164*VLOOKUP('Données projet'!$B$12,Paramètres!$A$1:$I$89,3,0)*0.475*44/12</f>
        <v>0.17392004583821968</v>
      </c>
      <c r="CM164" s="21">
        <f>EXP(-LN(2)/2)*CM163+(1-EXP(-LN(2)/2))/(LN(2)/2)*CG164*CJ164*VLOOKUP('Données projet'!$B$12,Paramètres!$A$1:$I$89,3,0)*0.475*44/12</f>
        <v>1.4795727629120628E-19</v>
      </c>
      <c r="CN164" s="22">
        <f t="shared" si="172"/>
        <v>0.2645785818772437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-1.1527845344971866E-13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272.93635583300755</v>
      </c>
      <c r="T165" s="59">
        <f t="shared" si="142"/>
        <v>179.56041631665812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0.27352366228875219</v>
      </c>
      <c r="AA165" s="21">
        <f>EXP(-LN(2)/25)*AA164+(1-EXP(-LN(2)/25))/(LN(2)/25)*Calculateur!V165*Calculateur!X165*VLOOKUP('Données projet'!$B$9,Paramètres!$A$1:$I$89,3,0)*0.475*44/12</f>
        <v>0.12100749161486091</v>
      </c>
      <c r="AB165" s="21">
        <f>EXP(-LN(2)/2)*AB164+(1-EXP(-LN(2)/2))/(LN(2)/2)*V165*Y165*VLOOKUP('Données projet'!$B$9,Paramètres!$A$1:$I$89,3,0)*0.475*44/12</f>
        <v>9.2689206722737123E-20</v>
      </c>
      <c r="AC165" s="22">
        <f t="shared" si="163"/>
        <v>0.3945311539036131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-1.0286385077051818E-13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237.64646718446005</v>
      </c>
      <c r="AO165" s="59">
        <f t="shared" si="144"/>
        <v>156.67965022779907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0.24406726788842514</v>
      </c>
      <c r="AV165" s="21">
        <f>EXP(-LN(2)/25)*AV164+(1-EXP(-LN(2)/25))/(LN(2)/25)*Calculateur!AQ165*Calculateur!AS165*VLOOKUP('Données projet'!$B$10,Paramètres!$A$1:$I$89,3,0)*0.475*44/12</f>
        <v>0.1079759155947991</v>
      </c>
      <c r="AW165" s="21">
        <f>EXP(-LN(2)/2)*AW164+(1-EXP(-LN(2)/2))/(LN(2)/2)*AQ165*AT165*VLOOKUP('Données projet'!$B$10,Paramètres!$A$1:$I$89,3,0)*0.475*44/12</f>
        <v>8.2707292152596173E-20</v>
      </c>
      <c r="AX165" s="21">
        <f t="shared" si="166"/>
        <v>0.35204318348322428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-1.7053025658242404E-13</v>
      </c>
      <c r="BE165" s="13">
        <f>BD165*VLOOKUP('Données projet'!$B$11,Paramètres!$A$1:$I$89,3,0)*VLOOKUP('Données projet'!$B$11,Paramètres!$A$1:$I$89,5,0)</f>
        <v>-1.1173142411280423E-13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172.9177436650786</v>
      </c>
      <c r="BJ165" s="59">
        <f t="shared" si="146"/>
        <v>173.73622806725865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0.12170103912634883</v>
      </c>
      <c r="BQ165" s="21">
        <f>EXP(-LN(2)/25)*BQ164+(1-EXP(-LN(2)/25))/(LN(2)/25)*Calculateur!BL165*Calculateur!BN165*VLOOKUP('Données projet'!$B$11,Paramètres!$A$1:$I$89,3,0)*0.475*44/12</f>
        <v>0.29380465701969771</v>
      </c>
      <c r="BR165" s="21">
        <f>EXP(-LN(2)/2)*BR164+(1-EXP(-LN(2)/2))/(LN(2)/2)*BL165*BO165*VLOOKUP('Données projet'!$B$11,Paramètres!$A$1:$I$89,3,0)*0.475*44/12</f>
        <v>1.1408869972606124E-19</v>
      </c>
      <c r="BS165" s="22">
        <f t="shared" si="169"/>
        <v>0.41550569614604654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289.07218105343333</v>
      </c>
      <c r="CE165" s="59">
        <f t="shared" si="148"/>
        <v>217.57508587672368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8.8880777443545694E-2</v>
      </c>
      <c r="CL165" s="21">
        <f>EXP(-LN(2)/25)*CL164+(1-EXP(-LN(2)/25))/(LN(2)/25)*Calculateur!CG165*Calculateur!CI165*VLOOKUP('Données projet'!$B$12,Paramètres!$A$1:$I$89,3,0)*0.475*44/12</f>
        <v>0.16916419303871585</v>
      </c>
      <c r="CM165" s="21">
        <f>EXP(-LN(2)/2)*CM164+(1-EXP(-LN(2)/2))/(LN(2)/2)*CG165*CJ165*VLOOKUP('Données projet'!$B$12,Paramètres!$A$1:$I$89,3,0)*0.475*44/12</f>
        <v>1.0462159339140355E-19</v>
      </c>
      <c r="CN165" s="22">
        <f t="shared" si="172"/>
        <v>0.25804497048226155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-1.1527845344971866E-13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272.93635583300755</v>
      </c>
      <c r="T166" s="59">
        <f t="shared" si="142"/>
        <v>179.56041631665812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0.2681600301042304</v>
      </c>
      <c r="AA166" s="21">
        <f>EXP(-LN(2)/25)*AA165+(1-EXP(-LN(2)/25))/(LN(2)/25)*Calculateur!V166*Calculateur!X166*VLOOKUP('Données projet'!$B$9,Paramètres!$A$1:$I$89,3,0)*0.475*44/12</f>
        <v>0.11769853539314512</v>
      </c>
      <c r="AB166" s="21">
        <f>EXP(-LN(2)/2)*AB165+(1-EXP(-LN(2)/2))/(LN(2)/2)*V166*Y166*VLOOKUP('Données projet'!$B$9,Paramètres!$A$1:$I$89,3,0)*0.475*44/12</f>
        <v>6.5541166616449147E-20</v>
      </c>
      <c r="AC166" s="22">
        <f t="shared" si="163"/>
        <v>0.38585856549737552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-1.0286385077051818E-13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237.64646718446005</v>
      </c>
      <c r="AO166" s="59">
        <f t="shared" si="144"/>
        <v>156.67965022779907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0.23928125763146721</v>
      </c>
      <c r="AV166" s="21">
        <f>EXP(-LN(2)/25)*AV165+(1-EXP(-LN(2)/25))/(LN(2)/25)*Calculateur!AQ166*Calculateur!AS166*VLOOKUP('Données projet'!$B$10,Paramètres!$A$1:$I$89,3,0)*0.475*44/12</f>
        <v>0.1050233085046527</v>
      </c>
      <c r="AW166" s="21">
        <f>EXP(-LN(2)/2)*AW165+(1-EXP(-LN(2)/2))/(LN(2)/2)*AQ166*AT166*VLOOKUP('Données projet'!$B$10,Paramètres!$A$1:$I$89,3,0)*0.475*44/12</f>
        <v>5.8482887134677682E-20</v>
      </c>
      <c r="AX166" s="21">
        <f t="shared" si="166"/>
        <v>0.34430456613611993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-1.7053025658242404E-13</v>
      </c>
      <c r="BE166" s="13">
        <f>BD166*VLOOKUP('Données projet'!$B$11,Paramètres!$A$1:$I$89,3,0)*VLOOKUP('Données projet'!$B$11,Paramètres!$A$1:$I$89,5,0)</f>
        <v>-1.1173142411280423E-13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172.9177436650786</v>
      </c>
      <c r="BJ166" s="59">
        <f t="shared" si="146"/>
        <v>173.73622806725865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0.11931455597938537</v>
      </c>
      <c r="BQ166" s="21">
        <f>EXP(-LN(2)/25)*BQ165+(1-EXP(-LN(2)/25))/(LN(2)/25)*Calculateur!BL166*Calculateur!BN166*VLOOKUP('Données projet'!$B$11,Paramètres!$A$1:$I$89,3,0)*0.475*44/12</f>
        <v>0.28577055322297867</v>
      </c>
      <c r="BR166" s="21">
        <f>EXP(-LN(2)/2)*BR165+(1-EXP(-LN(2)/2))/(LN(2)/2)*BL166*BO166*VLOOKUP('Données projet'!$B$11,Paramètres!$A$1:$I$89,3,0)*0.475*44/12</f>
        <v>8.0672893233053706E-20</v>
      </c>
      <c r="BS166" s="22">
        <f t="shared" si="169"/>
        <v>0.40508510920236407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289.07218105343333</v>
      </c>
      <c r="CE166" s="59">
        <f t="shared" si="148"/>
        <v>217.57508587672368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8.7137879609799018E-2</v>
      </c>
      <c r="CL166" s="21">
        <f>EXP(-LN(2)/25)*CL165+(1-EXP(-LN(2)/25))/(LN(2)/25)*Calculateur!CG166*Calculateur!CI166*VLOOKUP('Données projet'!$B$12,Paramètres!$A$1:$I$89,3,0)*0.475*44/12</f>
        <v>0.16453838928411388</v>
      </c>
      <c r="CM166" s="21">
        <f>EXP(-LN(2)/2)*CM165+(1-EXP(-LN(2)/2))/(LN(2)/2)*CG166*CJ166*VLOOKUP('Données projet'!$B$12,Paramètres!$A$1:$I$89,3,0)*0.475*44/12</f>
        <v>7.3978638145603138E-20</v>
      </c>
      <c r="CN166" s="22">
        <f t="shared" si="172"/>
        <v>0.25167626889391292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-1.1527845344971866E-13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272.93635583300755</v>
      </c>
      <c r="T167" s="59">
        <f t="shared" si="142"/>
        <v>179.56041631665812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0.26290157547535442</v>
      </c>
      <c r="AA167" s="21">
        <f>EXP(-LN(2)/25)*AA166+(1-EXP(-LN(2)/25))/(LN(2)/25)*Calculateur!V167*Calculateur!X167*VLOOKUP('Données projet'!$B$9,Paramètres!$A$1:$I$89,3,0)*0.475*44/12</f>
        <v>0.11448006275332259</v>
      </c>
      <c r="AB167" s="21">
        <f>EXP(-LN(2)/2)*AB166+(1-EXP(-LN(2)/2))/(LN(2)/2)*V167*Y167*VLOOKUP('Données projet'!$B$9,Paramètres!$A$1:$I$89,3,0)*0.475*44/12</f>
        <v>4.6344603361368561E-20</v>
      </c>
      <c r="AC167" s="22">
        <f t="shared" si="163"/>
        <v>0.37738163822867699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-1.0286385077051818E-13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237.64646718446005</v>
      </c>
      <c r="AO167" s="59">
        <f t="shared" si="144"/>
        <v>156.67965022779907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0.23458909811647022</v>
      </c>
      <c r="AV167" s="21">
        <f>EXP(-LN(2)/25)*AV166+(1-EXP(-LN(2)/25))/(LN(2)/25)*Calculateur!AQ167*Calculateur!AS167*VLOOKUP('Données projet'!$B$10,Paramètres!$A$1:$I$89,3,0)*0.475*44/12</f>
        <v>0.10215144061065722</v>
      </c>
      <c r="AW167" s="21">
        <f>EXP(-LN(2)/2)*AW166+(1-EXP(-LN(2)/2))/(LN(2)/2)*AQ167*AT167*VLOOKUP('Données projet'!$B$10,Paramètres!$A$1:$I$89,3,0)*0.475*44/12</f>
        <v>4.1353646076298087E-20</v>
      </c>
      <c r="AX167" s="21">
        <f t="shared" si="166"/>
        <v>0.33674053872712745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-1.7053025658242404E-13</v>
      </c>
      <c r="BE167" s="13">
        <f>BD167*VLOOKUP('Données projet'!$B$11,Paramètres!$A$1:$I$89,3,0)*VLOOKUP('Données projet'!$B$11,Paramètres!$A$1:$I$89,5,0)</f>
        <v>-1.1173142411280423E-13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172.9177436650786</v>
      </c>
      <c r="BJ167" s="59">
        <f t="shared" si="146"/>
        <v>173.73622806725865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0.11697487031132286</v>
      </c>
      <c r="BQ167" s="21">
        <f>EXP(-LN(2)/25)*BQ166+(1-EXP(-LN(2)/25))/(LN(2)/25)*Calculateur!BL167*Calculateur!BN167*VLOOKUP('Données projet'!$B$11,Paramètres!$A$1:$I$89,3,0)*0.475*44/12</f>
        <v>0.27795614241707606</v>
      </c>
      <c r="BR167" s="21">
        <f>EXP(-LN(2)/2)*BR166+(1-EXP(-LN(2)/2))/(LN(2)/2)*BL167*BO167*VLOOKUP('Données projet'!$B$11,Paramètres!$A$1:$I$89,3,0)*0.475*44/12</f>
        <v>5.7044349863030618E-20</v>
      </c>
      <c r="BS167" s="22">
        <f t="shared" si="169"/>
        <v>0.39493101272839892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289.07218105343333</v>
      </c>
      <c r="CE167" s="59">
        <f t="shared" si="148"/>
        <v>217.57508587672368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8.5429158939509406E-2</v>
      </c>
      <c r="CL167" s="21">
        <f>EXP(-LN(2)/25)*CL166+(1-EXP(-LN(2)/25))/(LN(2)/25)*Calculateur!CG167*Calculateur!CI167*VLOOKUP('Données projet'!$B$12,Paramètres!$A$1:$I$89,3,0)*0.475*44/12</f>
        <v>0.16003907837644196</v>
      </c>
      <c r="CM167" s="21">
        <f>EXP(-LN(2)/2)*CM166+(1-EXP(-LN(2)/2))/(LN(2)/2)*CG167*CJ167*VLOOKUP('Données projet'!$B$12,Paramètres!$A$1:$I$89,3,0)*0.475*44/12</f>
        <v>5.2310796695701776E-20</v>
      </c>
      <c r="CN167" s="22">
        <f t="shared" si="172"/>
        <v>0.24546823731595135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-1.1527845344971866E-13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272.93635583300755</v>
      </c>
      <c r="T168" s="59">
        <f t="shared" si="142"/>
        <v>179.56041631665812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0.2577462359344101</v>
      </c>
      <c r="AA168" s="21">
        <f>EXP(-LN(2)/25)*AA167+(1-EXP(-LN(2)/25))/(LN(2)/25)*Calculateur!V168*Calculateur!X168*VLOOKUP('Données projet'!$B$9,Paramètres!$A$1:$I$89,3,0)*0.475*44/12</f>
        <v>0.11134959941708814</v>
      </c>
      <c r="AB168" s="21">
        <f>EXP(-LN(2)/2)*AB167+(1-EXP(-LN(2)/2))/(LN(2)/2)*V168*Y168*VLOOKUP('Données projet'!$B$9,Paramètres!$A$1:$I$89,3,0)*0.475*44/12</f>
        <v>3.2770583308224574E-20</v>
      </c>
      <c r="AC168" s="22">
        <f t="shared" si="163"/>
        <v>0.36909583535149826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-1.0286385077051818E-13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237.64646718446005</v>
      </c>
      <c r="AO168" s="59">
        <f t="shared" si="144"/>
        <v>156.67965022779907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0.22998894898762759</v>
      </c>
      <c r="AV168" s="21">
        <f>EXP(-LN(2)/25)*AV167+(1-EXP(-LN(2)/25))/(LN(2)/25)*Calculateur!AQ168*Calculateur!AS168*VLOOKUP('Données projet'!$B$10,Paramètres!$A$1:$I$89,3,0)*0.475*44/12</f>
        <v>9.9358104095248007E-2</v>
      </c>
      <c r="AW168" s="21">
        <f>EXP(-LN(2)/2)*AW167+(1-EXP(-LN(2)/2))/(LN(2)/2)*AQ168*AT168*VLOOKUP('Données projet'!$B$10,Paramètres!$A$1:$I$89,3,0)*0.475*44/12</f>
        <v>2.9241443567338841E-20</v>
      </c>
      <c r="AX168" s="21">
        <f t="shared" si="166"/>
        <v>0.3293470530828756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-1.7053025658242404E-13</v>
      </c>
      <c r="BE168" s="13">
        <f>BD168*VLOOKUP('Données projet'!$B$11,Paramètres!$A$1:$I$89,3,0)*VLOOKUP('Données projet'!$B$11,Paramètres!$A$1:$I$89,5,0)</f>
        <v>-1.1173142411280423E-13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172.9177436650786</v>
      </c>
      <c r="BJ168" s="59">
        <f t="shared" si="146"/>
        <v>173.73622806725865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0.11468106445214372</v>
      </c>
      <c r="BQ168" s="21">
        <f>EXP(-LN(2)/25)*BQ167+(1-EXP(-LN(2)/25))/(LN(2)/25)*Calculateur!BL168*Calculateur!BN168*VLOOKUP('Données projet'!$B$11,Paramètres!$A$1:$I$89,3,0)*0.475*44/12</f>
        <v>0.27035541708560284</v>
      </c>
      <c r="BR168" s="21">
        <f>EXP(-LN(2)/2)*BR167+(1-EXP(-LN(2)/2))/(LN(2)/2)*BL168*BO168*VLOOKUP('Données projet'!$B$11,Paramètres!$A$1:$I$89,3,0)*0.475*44/12</f>
        <v>4.0336446616526853E-20</v>
      </c>
      <c r="BS168" s="22">
        <f t="shared" si="169"/>
        <v>0.38503648153774656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289.07218105343333</v>
      </c>
      <c r="CE168" s="59">
        <f t="shared" si="148"/>
        <v>217.57508587672368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8.3753945239347483E-2</v>
      </c>
      <c r="CL168" s="21">
        <f>EXP(-LN(2)/25)*CL167+(1-EXP(-LN(2)/25))/(LN(2)/25)*Calculateur!CG168*Calculateur!CI168*VLOOKUP('Données projet'!$B$12,Paramètres!$A$1:$I$89,3,0)*0.475*44/12</f>
        <v>0.1556628013621488</v>
      </c>
      <c r="CM168" s="21">
        <f>EXP(-LN(2)/2)*CM167+(1-EXP(-LN(2)/2))/(LN(2)/2)*CG168*CJ168*VLOOKUP('Données projet'!$B$12,Paramètres!$A$1:$I$89,3,0)*0.475*44/12</f>
        <v>3.6989319072801569E-20</v>
      </c>
      <c r="CN168" s="22">
        <f t="shared" si="172"/>
        <v>0.23941674660149628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-1.1527845344971866E-13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272.93635583300755</v>
      </c>
      <c r="T169" s="59">
        <f t="shared" si="142"/>
        <v>179.56041631665812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0.25269198945741705</v>
      </c>
      <c r="AA169" s="21">
        <f>EXP(-LN(2)/25)*AA168+(1-EXP(-LN(2)/25))/(LN(2)/25)*Calculateur!V169*Calculateur!X169*VLOOKUP('Données projet'!$B$9,Paramètres!$A$1:$I$89,3,0)*0.475*44/12</f>
        <v>0.10830473876540692</v>
      </c>
      <c r="AB169" s="21">
        <f>EXP(-LN(2)/2)*AB168+(1-EXP(-LN(2)/2))/(LN(2)/2)*V169*Y169*VLOOKUP('Données projet'!$B$9,Paramètres!$A$1:$I$89,3,0)*0.475*44/12</f>
        <v>2.3172301680684281E-20</v>
      </c>
      <c r="AC169" s="22">
        <f t="shared" si="163"/>
        <v>0.36099672822282397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-1.0286385077051818E-13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237.64646718446005</v>
      </c>
      <c r="AO169" s="59">
        <f t="shared" si="144"/>
        <v>156.67965022779907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0.22547900597738765</v>
      </c>
      <c r="AV169" s="21">
        <f>EXP(-LN(2)/25)*AV168+(1-EXP(-LN(2)/25))/(LN(2)/25)*Calculateur!AQ169*Calculateur!AS169*VLOOKUP('Données projet'!$B$10,Paramètres!$A$1:$I$89,3,0)*0.475*44/12</f>
        <v>9.6641151513747844E-2</v>
      </c>
      <c r="AW169" s="21">
        <f>EXP(-LN(2)/2)*AW168+(1-EXP(-LN(2)/2))/(LN(2)/2)*AQ169*AT169*VLOOKUP('Données projet'!$B$10,Paramètres!$A$1:$I$89,3,0)*0.475*44/12</f>
        <v>2.0676823038149043E-20</v>
      </c>
      <c r="AX169" s="21">
        <f t="shared" si="166"/>
        <v>0.32212015749113548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-1.7053025658242404E-13</v>
      </c>
      <c r="BE169" s="13">
        <f>BD169*VLOOKUP('Données projet'!$B$11,Paramètres!$A$1:$I$89,3,0)*VLOOKUP('Données projet'!$B$11,Paramètres!$A$1:$I$89,5,0)</f>
        <v>-1.1173142411280423E-13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172.9177436650786</v>
      </c>
      <c r="BJ169" s="59">
        <f t="shared" si="146"/>
        <v>173.73622806725865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0.11243223872677965</v>
      </c>
      <c r="BQ169" s="21">
        <f>EXP(-LN(2)/25)*BQ168+(1-EXP(-LN(2)/25))/(LN(2)/25)*Calculateur!BL169*Calculateur!BN169*VLOOKUP('Données projet'!$B$11,Paramètres!$A$1:$I$89,3,0)*0.475*44/12</f>
        <v>0.26296253398802355</v>
      </c>
      <c r="BR169" s="21">
        <f>EXP(-LN(2)/2)*BR168+(1-EXP(-LN(2)/2))/(LN(2)/2)*BL169*BO169*VLOOKUP('Données projet'!$B$11,Paramètres!$A$1:$I$89,3,0)*0.475*44/12</f>
        <v>2.8522174931515309E-20</v>
      </c>
      <c r="BS169" s="22">
        <f t="shared" si="169"/>
        <v>0.3753947727148032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289.07218105343333</v>
      </c>
      <c r="CE169" s="59">
        <f t="shared" si="148"/>
        <v>217.57508587672368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8.2111581458066268E-2</v>
      </c>
      <c r="CL169" s="21">
        <f>EXP(-LN(2)/25)*CL168+(1-EXP(-LN(2)/25))/(LN(2)/25)*Calculateur!CG169*Calculateur!CI169*VLOOKUP('Données projet'!$B$12,Paramètres!$A$1:$I$89,3,0)*0.475*44/12</f>
        <v>0.1514061938729499</v>
      </c>
      <c r="CM169" s="21">
        <f>EXP(-LN(2)/2)*CM168+(1-EXP(-LN(2)/2))/(LN(2)/2)*CG169*CJ169*VLOOKUP('Données projet'!$B$12,Paramètres!$A$1:$I$89,3,0)*0.475*44/12</f>
        <v>2.6155398347850888E-20</v>
      </c>
      <c r="CN169" s="22">
        <f t="shared" si="172"/>
        <v>0.23351777533101617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-1.1527845344971866E-13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272.93635583300755</v>
      </c>
      <c r="T170" s="59">
        <f t="shared" si="142"/>
        <v>179.56041631665812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0.24773685367105192</v>
      </c>
      <c r="AA170" s="21">
        <f>EXP(-LN(2)/25)*AA169+(1-EXP(-LN(2)/25))/(LN(2)/25)*Calculateur!V170*Calculateur!X170*VLOOKUP('Données projet'!$B$9,Paramètres!$A$1:$I$89,3,0)*0.475*44/12</f>
        <v>0.10534313998836818</v>
      </c>
      <c r="AB170" s="21">
        <f>EXP(-LN(2)/2)*AB169+(1-EXP(-LN(2)/2))/(LN(2)/2)*V170*Y170*VLOOKUP('Données projet'!$B$9,Paramètres!$A$1:$I$89,3,0)*0.475*44/12</f>
        <v>1.6385291654112287E-20</v>
      </c>
      <c r="AC170" s="22">
        <f t="shared" si="163"/>
        <v>0.35307999365942011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-1.0286385077051818E-13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237.64646718446005</v>
      </c>
      <c r="AO170" s="59">
        <f t="shared" si="144"/>
        <v>156.67965022779907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0.2210575001987849</v>
      </c>
      <c r="AV170" s="21">
        <f>EXP(-LN(2)/25)*AV169+(1-EXP(-LN(2)/25))/(LN(2)/25)*Calculateur!AQ170*Calculateur!AS170*VLOOKUP('Données projet'!$B$10,Paramètres!$A$1:$I$89,3,0)*0.475*44/12</f>
        <v>9.3998494143467129E-2</v>
      </c>
      <c r="AW170" s="21">
        <f>EXP(-LN(2)/2)*AW169+(1-EXP(-LN(2)/2))/(LN(2)/2)*AQ170*AT170*VLOOKUP('Données projet'!$B$10,Paramètres!$A$1:$I$89,3,0)*0.475*44/12</f>
        <v>1.462072178366942E-20</v>
      </c>
      <c r="AX170" s="21">
        <f t="shared" si="166"/>
        <v>0.31505599434225201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-1.7053025658242404E-13</v>
      </c>
      <c r="BE170" s="13">
        <f>BD170*VLOOKUP('Données projet'!$B$11,Paramètres!$A$1:$I$89,3,0)*VLOOKUP('Données projet'!$B$11,Paramètres!$A$1:$I$89,5,0)</f>
        <v>-1.1173142411280423E-13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172.9177436650786</v>
      </c>
      <c r="BJ170" s="59">
        <f t="shared" si="146"/>
        <v>173.73622806725865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0.11022751110224173</v>
      </c>
      <c r="BQ170" s="21">
        <f>EXP(-LN(2)/25)*BQ169+(1-EXP(-LN(2)/25))/(LN(2)/25)*Calculateur!BL170*Calculateur!BN170*VLOOKUP('Données projet'!$B$11,Paramètres!$A$1:$I$89,3,0)*0.475*44/12</f>
        <v>0.25577180966752239</v>
      </c>
      <c r="BR170" s="21">
        <f>EXP(-LN(2)/2)*BR169+(1-EXP(-LN(2)/2))/(LN(2)/2)*BL170*BO170*VLOOKUP('Données projet'!$B$11,Paramètres!$A$1:$I$89,3,0)*0.475*44/12</f>
        <v>2.0168223308263427E-20</v>
      </c>
      <c r="BS170" s="22">
        <f t="shared" si="169"/>
        <v>0.3659993207697641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289.07218105343333</v>
      </c>
      <c r="CE170" s="59">
        <f t="shared" si="148"/>
        <v>217.57508587672368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8.0501423428792976E-2</v>
      </c>
      <c r="CL170" s="21">
        <f>EXP(-LN(2)/25)*CL169+(1-EXP(-LN(2)/25))/(LN(2)/25)*Calculateur!CG170*Calculateur!CI170*VLOOKUP('Données projet'!$B$12,Paramètres!$A$1:$I$89,3,0)*0.475*44/12</f>
        <v>0.14726598353938838</v>
      </c>
      <c r="CM170" s="21">
        <f>EXP(-LN(2)/2)*CM169+(1-EXP(-LN(2)/2))/(LN(2)/2)*CG170*CJ170*VLOOKUP('Données projet'!$B$12,Paramètres!$A$1:$I$89,3,0)*0.475*44/12</f>
        <v>1.8494659536400784E-20</v>
      </c>
      <c r="CN170" s="22">
        <f t="shared" si="172"/>
        <v>0.22776740696818137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-1.1527845344971866E-13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272.93635583300755</v>
      </c>
      <c r="T171" s="59">
        <f t="shared" si="142"/>
        <v>179.56041631665812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0.24287888507512298</v>
      </c>
      <c r="AA171" s="21">
        <f>EXP(-LN(2)/25)*AA170+(1-EXP(-LN(2)/25))/(LN(2)/25)*Calculateur!V171*Calculateur!X171*VLOOKUP('Données projet'!$B$9,Paramètres!$A$1:$I$89,3,0)*0.475*44/12</f>
        <v>0.10246252628563128</v>
      </c>
      <c r="AB171" s="21">
        <f>EXP(-LN(2)/2)*AB170+(1-EXP(-LN(2)/2))/(LN(2)/2)*V171*Y171*VLOOKUP('Données projet'!$B$9,Paramètres!$A$1:$I$89,3,0)*0.475*44/12</f>
        <v>1.158615084034214E-20</v>
      </c>
      <c r="AC171" s="22">
        <f t="shared" si="163"/>
        <v>0.34534141136075425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-1.0286385077051818E-13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237.64646718446005</v>
      </c>
      <c r="AO171" s="59">
        <f t="shared" si="144"/>
        <v>156.67965022779907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0.21672269745164832</v>
      </c>
      <c r="AV171" s="21">
        <f>EXP(-LN(2)/25)*AV170+(1-EXP(-LN(2)/25))/(LN(2)/25)*Calculateur!AQ171*Calculateur!AS171*VLOOKUP('Données projet'!$B$10,Paramètres!$A$1:$I$89,3,0)*0.475*44/12</f>
        <v>9.1428100377948046E-2</v>
      </c>
      <c r="AW171" s="21">
        <f>EXP(-LN(2)/2)*AW170+(1-EXP(-LN(2)/2))/(LN(2)/2)*AQ171*AT171*VLOOKUP('Données projet'!$B$10,Paramètres!$A$1:$I$89,3,0)*0.475*44/12</f>
        <v>1.0338411519074522E-20</v>
      </c>
      <c r="AX171" s="21">
        <f t="shared" si="166"/>
        <v>0.30815079782959637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-1.7053025658242404E-13</v>
      </c>
      <c r="BE171" s="13">
        <f>BD171*VLOOKUP('Données projet'!$B$11,Paramètres!$A$1:$I$89,3,0)*VLOOKUP('Données projet'!$B$11,Paramètres!$A$1:$I$89,5,0)</f>
        <v>-1.1173142411280423E-13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172.9177436650786</v>
      </c>
      <c r="BJ171" s="59">
        <f t="shared" si="146"/>
        <v>173.73622806725865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0.10806601684166992</v>
      </c>
      <c r="BQ171" s="21">
        <f>EXP(-LN(2)/25)*BQ170+(1-EXP(-LN(2)/25))/(LN(2)/25)*Calculateur!BL171*Calculateur!BN171*VLOOKUP('Données projet'!$B$11,Paramètres!$A$1:$I$89,3,0)*0.475*44/12</f>
        <v>0.24877771608170909</v>
      </c>
      <c r="BR171" s="21">
        <f>EXP(-LN(2)/2)*BR170+(1-EXP(-LN(2)/2))/(LN(2)/2)*BL171*BO171*VLOOKUP('Données projet'!$B$11,Paramètres!$A$1:$I$89,3,0)*0.475*44/12</f>
        <v>1.4261087465757654E-20</v>
      </c>
      <c r="BS171" s="22">
        <f t="shared" si="169"/>
        <v>0.35684373292337901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289.07218105343333</v>
      </c>
      <c r="CE171" s="59">
        <f t="shared" si="148"/>
        <v>217.57508587672368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7.8922839616374307E-2</v>
      </c>
      <c r="CL171" s="21">
        <f>EXP(-LN(2)/25)*CL170+(1-EXP(-LN(2)/25))/(LN(2)/25)*Calculateur!CG171*Calculateur!CI171*VLOOKUP('Données projet'!$B$12,Paramètres!$A$1:$I$89,3,0)*0.475*44/12</f>
        <v>0.14323898747512231</v>
      </c>
      <c r="CM171" s="21">
        <f>EXP(-LN(2)/2)*CM170+(1-EXP(-LN(2)/2))/(LN(2)/2)*CG171*CJ171*VLOOKUP('Données projet'!$B$12,Paramètres!$A$1:$I$89,3,0)*0.475*44/12</f>
        <v>1.3077699173925444E-20</v>
      </c>
      <c r="CN171" s="22">
        <f t="shared" si="172"/>
        <v>0.22216182709149662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-1.1527845344971866E-13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272.93635583300755</v>
      </c>
      <c r="T172" s="59">
        <f t="shared" si="142"/>
        <v>179.56041631665812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0.23811617828029197</v>
      </c>
      <c r="AA172" s="21">
        <f>EXP(-LN(2)/25)*AA171+(1-EXP(-LN(2)/25))/(LN(2)/25)*Calculateur!V172*Calculateur!X172*VLOOKUP('Données projet'!$B$9,Paramètres!$A$1:$I$89,3,0)*0.475*44/12</f>
        <v>9.9660683116080617E-2</v>
      </c>
      <c r="AB172" s="21">
        <f>EXP(-LN(2)/2)*AB171+(1-EXP(-LN(2)/2))/(LN(2)/2)*V172*Y172*VLOOKUP('Données projet'!$B$9,Paramètres!$A$1:$I$89,3,0)*0.475*44/12</f>
        <v>8.1926458270561434E-21</v>
      </c>
      <c r="AC172" s="22">
        <f t="shared" si="163"/>
        <v>0.33777686139637259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-1.0286385077051818E-13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237.64646718446005</v>
      </c>
      <c r="AO172" s="59">
        <f t="shared" si="144"/>
        <v>156.67965022779907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0.2124728975424145</v>
      </c>
      <c r="AV172" s="21">
        <f>EXP(-LN(2)/25)*AV171+(1-EXP(-LN(2)/25))/(LN(2)/25)*Calculateur!AQ172*Calculateur!AS172*VLOOKUP('Données projet'!$B$10,Paramètres!$A$1:$I$89,3,0)*0.475*44/12</f>
        <v>8.8927994165118221E-2</v>
      </c>
      <c r="AW172" s="21">
        <f>EXP(-LN(2)/2)*AW171+(1-EXP(-LN(2)/2))/(LN(2)/2)*AQ172*AT172*VLOOKUP('Données projet'!$B$10,Paramètres!$A$1:$I$89,3,0)*0.475*44/12</f>
        <v>7.3103608918347102E-21</v>
      </c>
      <c r="AX172" s="21">
        <f t="shared" si="166"/>
        <v>0.3014008917075327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-1.7053025658242404E-13</v>
      </c>
      <c r="BE172" s="13">
        <f>BD172*VLOOKUP('Données projet'!$B$11,Paramètres!$A$1:$I$89,3,0)*VLOOKUP('Données projet'!$B$11,Paramètres!$A$1:$I$89,5,0)</f>
        <v>-1.1173142411280423E-13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172.9177436650786</v>
      </c>
      <c r="BJ172" s="59">
        <f t="shared" si="146"/>
        <v>173.73622806725865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0.1059469081651666</v>
      </c>
      <c r="BQ172" s="21">
        <f>EXP(-LN(2)/25)*BQ171+(1-EXP(-LN(2)/25))/(LN(2)/25)*Calculateur!BL172*Calculateur!BN172*VLOOKUP('Données projet'!$B$11,Paramètres!$A$1:$I$89,3,0)*0.475*44/12</f>
        <v>0.24197487635280326</v>
      </c>
      <c r="BR172" s="21">
        <f>EXP(-LN(2)/2)*BR171+(1-EXP(-LN(2)/2))/(LN(2)/2)*BL172*BO172*VLOOKUP('Données projet'!$B$11,Paramètres!$A$1:$I$89,3,0)*0.475*44/12</f>
        <v>1.0084111654131713E-20</v>
      </c>
      <c r="BS172" s="22">
        <f t="shared" si="169"/>
        <v>0.34792178451796985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289.07218105343333</v>
      </c>
      <c r="CE172" s="59">
        <f t="shared" si="148"/>
        <v>217.57508587672368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7.7375210869676123E-2</v>
      </c>
      <c r="CL172" s="21">
        <f>EXP(-LN(2)/25)*CL171+(1-EXP(-LN(2)/25))/(LN(2)/25)*Calculateur!CG172*Calculateur!CI172*VLOOKUP('Données projet'!$B$12,Paramètres!$A$1:$I$89,3,0)*0.475*44/12</f>
        <v>0.13932210983000412</v>
      </c>
      <c r="CM172" s="21">
        <f>EXP(-LN(2)/2)*CM171+(1-EXP(-LN(2)/2))/(LN(2)/2)*CG172*CJ172*VLOOKUP('Données projet'!$B$12,Paramètres!$A$1:$I$89,3,0)*0.475*44/12</f>
        <v>9.2473297682003922E-21</v>
      </c>
      <c r="CN172" s="22">
        <f t="shared" si="172"/>
        <v>0.21669732069968023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-1.1527845344971866E-13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272.93635583300755</v>
      </c>
      <c r="T173" s="59">
        <f t="shared" si="142"/>
        <v>179.56041631665812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0.23344686526074326</v>
      </c>
      <c r="AA173" s="21">
        <f>EXP(-LN(2)/25)*AA172+(1-EXP(-LN(2)/25))/(LN(2)/25)*Calculateur!V173*Calculateur!X173*VLOOKUP('Données projet'!$B$9,Paramètres!$A$1:$I$89,3,0)*0.475*44/12</f>
        <v>9.6935456495343839E-2</v>
      </c>
      <c r="AB173" s="21">
        <f>EXP(-LN(2)/2)*AB172+(1-EXP(-LN(2)/2))/(LN(2)/2)*V173*Y173*VLOOKUP('Données projet'!$B$9,Paramètres!$A$1:$I$89,3,0)*0.475*44/12</f>
        <v>5.7930754201710702E-21</v>
      </c>
      <c r="AC173" s="22">
        <f t="shared" si="163"/>
        <v>0.33038232175608712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-1.0286385077051818E-13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237.64646718446005</v>
      </c>
      <c r="AO173" s="59">
        <f t="shared" si="144"/>
        <v>156.67965022779907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0.20830643361727874</v>
      </c>
      <c r="AV173" s="21">
        <f>EXP(-LN(2)/25)*AV172+(1-EXP(-LN(2)/25))/(LN(2)/25)*Calculateur!AQ173*Calculateur!AS173*VLOOKUP('Données projet'!$B$10,Paramètres!$A$1:$I$89,3,0)*0.475*44/12</f>
        <v>8.6496253488153096E-2</v>
      </c>
      <c r="AW173" s="21">
        <f>EXP(-LN(2)/2)*AW172+(1-EXP(-LN(2)/2))/(LN(2)/2)*AQ173*AT173*VLOOKUP('Données projet'!$B$10,Paramètres!$A$1:$I$89,3,0)*0.475*44/12</f>
        <v>5.1692057595372608E-21</v>
      </c>
      <c r="AX173" s="21">
        <f t="shared" si="166"/>
        <v>0.29480268710543184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-1.7053025658242404E-13</v>
      </c>
      <c r="BE173" s="13">
        <f>BD173*VLOOKUP('Données projet'!$B$11,Paramètres!$A$1:$I$89,3,0)*VLOOKUP('Données projet'!$B$11,Paramètres!$A$1:$I$89,5,0)</f>
        <v>-1.1173142411280423E-13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172.9177436650786</v>
      </c>
      <c r="BJ173" s="59">
        <f t="shared" si="146"/>
        <v>173.73622806725865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0.10386935391728085</v>
      </c>
      <c r="BQ173" s="21">
        <f>EXP(-LN(2)/25)*BQ172+(1-EXP(-LN(2)/25))/(LN(2)/25)*Calculateur!BL173*Calculateur!BN173*VLOOKUP('Données projet'!$B$11,Paramètres!$A$1:$I$89,3,0)*0.475*44/12</f>
        <v>0.23535806063403014</v>
      </c>
      <c r="BR173" s="21">
        <f>EXP(-LN(2)/2)*BR172+(1-EXP(-LN(2)/2))/(LN(2)/2)*BL173*BO173*VLOOKUP('Données projet'!$B$11,Paramètres!$A$1:$I$89,3,0)*0.475*44/12</f>
        <v>7.1305437328788272E-21</v>
      </c>
      <c r="BS173" s="22">
        <f t="shared" si="169"/>
        <v>0.339227414551311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289.07218105343333</v>
      </c>
      <c r="CE173" s="59">
        <f t="shared" si="148"/>
        <v>217.57508587672368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7.585793017874036E-2</v>
      </c>
      <c r="CL173" s="21">
        <f>EXP(-LN(2)/25)*CL172+(1-EXP(-LN(2)/25))/(LN(2)/25)*Calculateur!CG173*Calculateur!CI173*VLOOKUP('Données projet'!$B$12,Paramètres!$A$1:$I$89,3,0)*0.475*44/12</f>
        <v>0.13551233941007132</v>
      </c>
      <c r="CM173" s="21">
        <f>EXP(-LN(2)/2)*CM172+(1-EXP(-LN(2)/2))/(LN(2)/2)*CG173*CJ173*VLOOKUP('Données projet'!$B$12,Paramètres!$A$1:$I$89,3,0)*0.475*44/12</f>
        <v>6.538849586962722E-21</v>
      </c>
      <c r="CN173" s="22">
        <f t="shared" si="172"/>
        <v>0.21137026958881167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-1.1527845344971866E-13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272.93635583300755</v>
      </c>
      <c r="T174" s="59">
        <f t="shared" si="142"/>
        <v>179.56041631665812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0.22886911462150819</v>
      </c>
      <c r="AA174" s="21">
        <f>EXP(-LN(2)/25)*AA173+(1-EXP(-LN(2)/25))/(LN(2)/25)*Calculateur!V174*Calculateur!X174*VLOOKUP('Données projet'!$B$9,Paramètres!$A$1:$I$89,3,0)*0.475*44/12</f>
        <v>9.4284751339864553E-2</v>
      </c>
      <c r="AB174" s="21">
        <f>EXP(-LN(2)/2)*AB173+(1-EXP(-LN(2)/2))/(LN(2)/2)*V174*Y174*VLOOKUP('Données projet'!$B$9,Paramètres!$A$1:$I$89,3,0)*0.475*44/12</f>
        <v>4.0963229135280717E-21</v>
      </c>
      <c r="AC174" s="22">
        <f t="shared" si="163"/>
        <v>0.32315386596137274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-1.0286385077051818E-13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237.64646718446005</v>
      </c>
      <c r="AO174" s="59">
        <f t="shared" si="144"/>
        <v>156.67965022779907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0.20422167150842283</v>
      </c>
      <c r="AV174" s="21">
        <f>EXP(-LN(2)/25)*AV173+(1-EXP(-LN(2)/25))/(LN(2)/25)*Calculateur!AQ174*Calculateur!AS174*VLOOKUP('Données projet'!$B$10,Paramètres!$A$1:$I$89,3,0)*0.475*44/12</f>
        <v>8.4131008887879263E-2</v>
      </c>
      <c r="AW174" s="21">
        <f>EXP(-LN(2)/2)*AW173+(1-EXP(-LN(2)/2))/(LN(2)/2)*AQ174*AT174*VLOOKUP('Données projet'!$B$10,Paramètres!$A$1:$I$89,3,0)*0.475*44/12</f>
        <v>3.6551804459173551E-21</v>
      </c>
      <c r="AX174" s="21">
        <f t="shared" si="166"/>
        <v>0.28835268039630207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-1.7053025658242404E-13</v>
      </c>
      <c r="BE174" s="13">
        <f>BD174*VLOOKUP('Données projet'!$B$11,Paramètres!$A$1:$I$89,3,0)*VLOOKUP('Données projet'!$B$11,Paramètres!$A$1:$I$89,5,0)</f>
        <v>-1.1173142411280423E-13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172.9177436650786</v>
      </c>
      <c r="BJ174" s="59">
        <f t="shared" si="146"/>
        <v>173.73622806725865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0.10183253924101317</v>
      </c>
      <c r="BQ174" s="21">
        <f>EXP(-LN(2)/25)*BQ173+(1-EXP(-LN(2)/25))/(LN(2)/25)*Calculateur!BL174*Calculateur!BN174*VLOOKUP('Données projet'!$B$11,Paramètres!$A$1:$I$89,3,0)*0.475*44/12</f>
        <v>0.2289221820890501</v>
      </c>
      <c r="BR174" s="21">
        <f>EXP(-LN(2)/2)*BR173+(1-EXP(-LN(2)/2))/(LN(2)/2)*BL174*BO174*VLOOKUP('Données projet'!$B$11,Paramètres!$A$1:$I$89,3,0)*0.475*44/12</f>
        <v>5.0420558270658566E-21</v>
      </c>
      <c r="BS174" s="22">
        <f t="shared" si="169"/>
        <v>0.33075472133006328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289.07218105343333</v>
      </c>
      <c r="CE174" s="59">
        <f t="shared" si="148"/>
        <v>217.57508587672368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7.4370402436704008E-2</v>
      </c>
      <c r="CL174" s="21">
        <f>EXP(-LN(2)/25)*CL173+(1-EXP(-LN(2)/25))/(LN(2)/25)*Calculateur!CG174*Calculateur!CI174*VLOOKUP('Données projet'!$B$12,Paramètres!$A$1:$I$89,3,0)*0.475*44/12</f>
        <v>0.13180674736261871</v>
      </c>
      <c r="CM174" s="21">
        <f>EXP(-LN(2)/2)*CM173+(1-EXP(-LN(2)/2))/(LN(2)/2)*CG174*CJ174*VLOOKUP('Données projet'!$B$12,Paramètres!$A$1:$I$89,3,0)*0.475*44/12</f>
        <v>4.6236648841001961E-21</v>
      </c>
      <c r="CN174" s="22">
        <f t="shared" si="172"/>
        <v>0.20617714979932272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-1.1527845344971866E-13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272.93635583300755</v>
      </c>
      <c r="T175" s="59">
        <f t="shared" si="142"/>
        <v>179.56041631665812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0.22438113088015635</v>
      </c>
      <c r="AA175" s="21">
        <f>EXP(-LN(2)/25)*AA174+(1-EXP(-LN(2)/25))/(LN(2)/25)*Calculateur!V175*Calculateur!X175*VLOOKUP('Données projet'!$B$9,Paramètres!$A$1:$I$89,3,0)*0.475*44/12</f>
        <v>9.170652985625638E-2</v>
      </c>
      <c r="AB175" s="21">
        <f>EXP(-LN(2)/2)*AB174+(1-EXP(-LN(2)/2))/(LN(2)/2)*V175*Y175*VLOOKUP('Données projet'!$B$9,Paramètres!$A$1:$I$89,3,0)*0.475*44/12</f>
        <v>2.8965377100855351E-21</v>
      </c>
      <c r="AC175" s="22">
        <f t="shared" si="163"/>
        <v>0.3160876607364127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-1.0286385077051818E-13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237.64646718446005</v>
      </c>
      <c r="AO175" s="59">
        <f t="shared" si="144"/>
        <v>156.67965022779907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0.2002170090930627</v>
      </c>
      <c r="AV175" s="21">
        <f>EXP(-LN(2)/25)*AV174+(1-EXP(-LN(2)/25))/(LN(2)/25)*Calculateur!AQ175*Calculateur!AS175*VLOOKUP('Données projet'!$B$10,Paramètres!$A$1:$I$89,3,0)*0.475*44/12</f>
        <v>8.1830442025582734E-2</v>
      </c>
      <c r="AW175" s="21">
        <f>EXP(-LN(2)/2)*AW174+(1-EXP(-LN(2)/2))/(LN(2)/2)*AQ175*AT175*VLOOKUP('Données projet'!$B$10,Paramètres!$A$1:$I$89,3,0)*0.475*44/12</f>
        <v>2.5846028797686304E-21</v>
      </c>
      <c r="AX175" s="21">
        <f t="shared" si="166"/>
        <v>0.28204745111864543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-1.7053025658242404E-13</v>
      </c>
      <c r="BE175" s="13">
        <f>BD175*VLOOKUP('Données projet'!$B$11,Paramètres!$A$1:$I$89,3,0)*VLOOKUP('Données projet'!$B$11,Paramètres!$A$1:$I$89,5,0)</f>
        <v>-1.1173142411280423E-13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172.9177436650786</v>
      </c>
      <c r="BJ175" s="59">
        <f t="shared" si="146"/>
        <v>173.73622806725865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9.9835665258212816E-2</v>
      </c>
      <c r="BQ175" s="21">
        <f>EXP(-LN(2)/25)*BQ174+(1-EXP(-LN(2)/25))/(LN(2)/25)*Calculateur!BL175*Calculateur!BN175*VLOOKUP('Données projet'!$B$11,Paramètres!$A$1:$I$89,3,0)*0.475*44/12</f>
        <v>0.22266229298133067</v>
      </c>
      <c r="BR175" s="21">
        <f>EXP(-LN(2)/2)*BR174+(1-EXP(-LN(2)/2))/(LN(2)/2)*BL175*BO175*VLOOKUP('Données projet'!$B$11,Paramètres!$A$1:$I$89,3,0)*0.475*44/12</f>
        <v>3.5652718664394136E-21</v>
      </c>
      <c r="BS175" s="22">
        <f t="shared" si="169"/>
        <v>0.32249795823954347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289.07218105343333</v>
      </c>
      <c r="CE175" s="59">
        <f t="shared" si="148"/>
        <v>217.57508587672368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7.2912044206386653E-2</v>
      </c>
      <c r="CL175" s="21">
        <f>EXP(-LN(2)/25)*CL174+(1-EXP(-LN(2)/25))/(LN(2)/25)*Calculateur!CG175*Calculateur!CI175*VLOOKUP('Données projet'!$B$12,Paramètres!$A$1:$I$89,3,0)*0.475*44/12</f>
        <v>0.12820248492457231</v>
      </c>
      <c r="CM175" s="21">
        <f>EXP(-LN(2)/2)*CM174+(1-EXP(-LN(2)/2))/(LN(2)/2)*CG175*CJ175*VLOOKUP('Données projet'!$B$12,Paramètres!$A$1:$I$89,3,0)*0.475*44/12</f>
        <v>3.269424793481361E-21</v>
      </c>
      <c r="CN175" s="22">
        <f t="shared" si="172"/>
        <v>0.20111452913095895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-1.1527845344971866E-13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272.93635583300755</v>
      </c>
      <c r="T176" s="59">
        <f t="shared" si="142"/>
        <v>179.56041631665812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0.21998115376257263</v>
      </c>
      <c r="AA176" s="21">
        <f>EXP(-LN(2)/25)*AA175+(1-EXP(-LN(2)/25))/(LN(2)/25)*Calculateur!V176*Calculateur!X176*VLOOKUP('Données projet'!$B$9,Paramètres!$A$1:$I$89,3,0)*0.475*44/12</f>
        <v>8.9198809974700241E-2</v>
      </c>
      <c r="AB176" s="21">
        <f>EXP(-LN(2)/2)*AB175+(1-EXP(-LN(2)/2))/(LN(2)/2)*V176*Y176*VLOOKUP('Données projet'!$B$9,Paramètres!$A$1:$I$89,3,0)*0.475*44/12</f>
        <v>2.0481614567640359E-21</v>
      </c>
      <c r="AC176" s="22">
        <f t="shared" si="163"/>
        <v>0.30917996373727286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-1.0286385077051818E-13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237.64646718446005</v>
      </c>
      <c r="AO176" s="59">
        <f t="shared" si="144"/>
        <v>156.67965022779907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0.1962908756650649</v>
      </c>
      <c r="AV176" s="21">
        <f>EXP(-LN(2)/25)*AV175+(1-EXP(-LN(2)/25))/(LN(2)/25)*Calculateur!AQ176*Calculateur!AS176*VLOOKUP('Données projet'!$B$10,Paramètres!$A$1:$I$89,3,0)*0.475*44/12</f>
        <v>7.9592784285117249E-2</v>
      </c>
      <c r="AW176" s="21">
        <f>EXP(-LN(2)/2)*AW175+(1-EXP(-LN(2)/2))/(LN(2)/2)*AQ176*AT176*VLOOKUP('Données projet'!$B$10,Paramètres!$A$1:$I$89,3,0)*0.475*44/12</f>
        <v>1.8275902229586775E-21</v>
      </c>
      <c r="AX176" s="21">
        <f t="shared" si="166"/>
        <v>0.27588365995018216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-1.7053025658242404E-13</v>
      </c>
      <c r="BE176" s="13">
        <f>BD176*VLOOKUP('Données projet'!$B$11,Paramètres!$A$1:$I$89,3,0)*VLOOKUP('Données projet'!$B$11,Paramètres!$A$1:$I$89,5,0)</f>
        <v>-1.1173142411280423E-13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172.9177436650786</v>
      </c>
      <c r="BJ176" s="59">
        <f t="shared" si="146"/>
        <v>173.73622806725865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9.7877948756242311E-2</v>
      </c>
      <c r="BQ176" s="21">
        <f>EXP(-LN(2)/25)*BQ175+(1-EXP(-LN(2)/25))/(LN(2)/25)*Calculateur!BL176*Calculateur!BN176*VLOOKUP('Données projet'!$B$11,Paramètres!$A$1:$I$89,3,0)*0.475*44/12</f>
        <v>0.21657358087045508</v>
      </c>
      <c r="BR176" s="21">
        <f>EXP(-LN(2)/2)*BR175+(1-EXP(-LN(2)/2))/(LN(2)/2)*BL176*BO176*VLOOKUP('Données projet'!$B$11,Paramètres!$A$1:$I$89,3,0)*0.475*44/12</f>
        <v>2.5210279135329283E-21</v>
      </c>
      <c r="BS176" s="22">
        <f t="shared" si="169"/>
        <v>0.31445152962669742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289.07218105343333</v>
      </c>
      <c r="CE176" s="59">
        <f t="shared" si="148"/>
        <v>217.57508587672368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7.1482283491455134E-2</v>
      </c>
      <c r="CL176" s="21">
        <f>EXP(-LN(2)/25)*CL175+(1-EXP(-LN(2)/25))/(LN(2)/25)*Calculateur!CG176*Calculateur!CI176*VLOOKUP('Données projet'!$B$12,Paramètres!$A$1:$I$89,3,0)*0.475*44/12</f>
        <v>0.12469678123243422</v>
      </c>
      <c r="CM176" s="21">
        <f>EXP(-LN(2)/2)*CM175+(1-EXP(-LN(2)/2))/(LN(2)/2)*CG176*CJ176*VLOOKUP('Données projet'!$B$12,Paramètres!$A$1:$I$89,3,0)*0.475*44/12</f>
        <v>2.3118324420500981E-21</v>
      </c>
      <c r="CN176" s="22">
        <f t="shared" si="172"/>
        <v>0.19617906472388935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-1.1527845344971866E-13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272.93635583300755</v>
      </c>
      <c r="T177" s="59">
        <f t="shared" si="142"/>
        <v>179.56041631665812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0.21566745751254368</v>
      </c>
      <c r="AA177" s="21">
        <f>EXP(-LN(2)/25)*AA176+(1-EXP(-LN(2)/25))/(LN(2)/25)*Calculateur!V177*Calculateur!X177*VLOOKUP('Données projet'!$B$9,Paramètres!$A$1:$I$89,3,0)*0.475*44/12</f>
        <v>8.6759663825180508E-2</v>
      </c>
      <c r="AB177" s="21">
        <f>EXP(-LN(2)/2)*AB176+(1-EXP(-LN(2)/2))/(LN(2)/2)*V177*Y177*VLOOKUP('Données projet'!$B$9,Paramètres!$A$1:$I$89,3,0)*0.475*44/12</f>
        <v>1.4482688550427675E-21</v>
      </c>
      <c r="AC177" s="22">
        <f t="shared" si="163"/>
        <v>0.3024271213377242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-1.0286385077051818E-13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237.64646718446005</v>
      </c>
      <c r="AO177" s="59">
        <f t="shared" si="144"/>
        <v>156.67965022779907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0.1924417313188852</v>
      </c>
      <c r="AV177" s="21">
        <f>EXP(-LN(2)/25)*AV176+(1-EXP(-LN(2)/25))/(LN(2)/25)*Calculateur!AQ177*Calculateur!AS177*VLOOKUP('Données projet'!$B$10,Paramètres!$A$1:$I$89,3,0)*0.475*44/12</f>
        <v>7.741631541323811E-2</v>
      </c>
      <c r="AW177" s="21">
        <f>EXP(-LN(2)/2)*AW176+(1-EXP(-LN(2)/2))/(LN(2)/2)*AQ177*AT177*VLOOKUP('Données projet'!$B$10,Paramètres!$A$1:$I$89,3,0)*0.475*44/12</f>
        <v>1.2923014398843152E-21</v>
      </c>
      <c r="AX177" s="21">
        <f t="shared" si="166"/>
        <v>0.26985804673212332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-1.7053025658242404E-13</v>
      </c>
      <c r="BE177" s="13">
        <f>BD177*VLOOKUP('Données projet'!$B$11,Paramètres!$A$1:$I$89,3,0)*VLOOKUP('Données projet'!$B$11,Paramètres!$A$1:$I$89,5,0)</f>
        <v>-1.1173142411280423E-13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172.9177436650786</v>
      </c>
      <c r="BJ177" s="59">
        <f t="shared" si="146"/>
        <v>173.73622806725865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9.5958621880786285E-2</v>
      </c>
      <c r="BQ177" s="21">
        <f>EXP(-LN(2)/25)*BQ176+(1-EXP(-LN(2)/25))/(LN(2)/25)*Calculateur!BL177*Calculateur!BN177*VLOOKUP('Données projet'!$B$11,Paramètres!$A$1:$I$89,3,0)*0.475*44/12</f>
        <v>0.21065136491244285</v>
      </c>
      <c r="BR177" s="21">
        <f>EXP(-LN(2)/2)*BR176+(1-EXP(-LN(2)/2))/(LN(2)/2)*BL177*BO177*VLOOKUP('Données projet'!$B$11,Paramètres!$A$1:$I$89,3,0)*0.475*44/12</f>
        <v>1.7826359332197068E-21</v>
      </c>
      <c r="BS177" s="22">
        <f t="shared" si="169"/>
        <v>0.30660998679322915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289.07218105343333</v>
      </c>
      <c r="CE177" s="59">
        <f t="shared" si="148"/>
        <v>217.57508587672368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7.0080559512075494E-2</v>
      </c>
      <c r="CL177" s="21">
        <f>EXP(-LN(2)/25)*CL176+(1-EXP(-LN(2)/25))/(LN(2)/25)*Calculateur!CG177*Calculateur!CI177*VLOOKUP('Données projet'!$B$12,Paramètres!$A$1:$I$89,3,0)*0.475*44/12</f>
        <v>0.12128694119211458</v>
      </c>
      <c r="CM177" s="21">
        <f>EXP(-LN(2)/2)*CM176+(1-EXP(-LN(2)/2))/(LN(2)/2)*CG177*CJ177*VLOOKUP('Données projet'!$B$12,Paramètres!$A$1:$I$89,3,0)*0.475*44/12</f>
        <v>1.6347123967406805E-21</v>
      </c>
      <c r="CN177" s="22">
        <f t="shared" si="172"/>
        <v>0.19136750070419006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-1.1527845344971866E-13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272.93635583300755</v>
      </c>
      <c r="T178" s="59">
        <f t="shared" si="142"/>
        <v>179.56041631665812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0.21143835021488289</v>
      </c>
      <c r="AA178" s="21">
        <f>EXP(-LN(2)/25)*AA177+(1-EXP(-LN(2)/25))/(LN(2)/25)*Calculateur!V178*Calculateur!X178*VLOOKUP('Données projet'!$B$9,Paramètres!$A$1:$I$89,3,0)*0.475*44/12</f>
        <v>8.4387216255388517E-2</v>
      </c>
      <c r="AB178" s="21">
        <f>EXP(-LN(2)/2)*AB177+(1-EXP(-LN(2)/2))/(LN(2)/2)*V178*Y178*VLOOKUP('Données projet'!$B$9,Paramètres!$A$1:$I$89,3,0)*0.475*44/12</f>
        <v>1.0240807283820179E-21</v>
      </c>
      <c r="AC178" s="22">
        <f t="shared" si="163"/>
        <v>0.29582556647027142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-1.0286385077051818E-13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237.64646718446005</v>
      </c>
      <c r="AO178" s="59">
        <f t="shared" si="144"/>
        <v>156.67965022779907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0.18866806634558786</v>
      </c>
      <c r="AV178" s="21">
        <f>EXP(-LN(2)/25)*AV177+(1-EXP(-LN(2)/25))/(LN(2)/25)*Calculateur!AQ178*Calculateur!AS178*VLOOKUP('Données projet'!$B$10,Paramètres!$A$1:$I$89,3,0)*0.475*44/12</f>
        <v>7.5299362197116027E-2</v>
      </c>
      <c r="AW178" s="21">
        <f>EXP(-LN(2)/2)*AW177+(1-EXP(-LN(2)/2))/(LN(2)/2)*AQ178*AT178*VLOOKUP('Données projet'!$B$10,Paramètres!$A$1:$I$89,3,0)*0.475*44/12</f>
        <v>9.1379511147933877E-22</v>
      </c>
      <c r="AX178" s="21">
        <f t="shared" si="166"/>
        <v>0.26396742854270389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-1.7053025658242404E-13</v>
      </c>
      <c r="BE178" s="13">
        <f>BD178*VLOOKUP('Données projet'!$B$11,Paramètres!$A$1:$I$89,3,0)*VLOOKUP('Données projet'!$B$11,Paramètres!$A$1:$I$89,5,0)</f>
        <v>-1.1173142411280423E-13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172.9177436650786</v>
      </c>
      <c r="BJ178" s="59">
        <f t="shared" si="146"/>
        <v>173.73622806725865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9.4076931834684158E-2</v>
      </c>
      <c r="BQ178" s="21">
        <f>EXP(-LN(2)/25)*BQ177+(1-EXP(-LN(2)/25))/(LN(2)/25)*Calculateur!BL178*Calculateur!BN178*VLOOKUP('Données projet'!$B$11,Paramètres!$A$1:$I$89,3,0)*0.475*44/12</f>
        <v>0.20489109226123828</v>
      </c>
      <c r="BR178" s="21">
        <f>EXP(-LN(2)/2)*BR177+(1-EXP(-LN(2)/2))/(LN(2)/2)*BL178*BO178*VLOOKUP('Données projet'!$B$11,Paramètres!$A$1:$I$89,3,0)*0.475*44/12</f>
        <v>1.2605139567664642E-21</v>
      </c>
      <c r="BS178" s="22">
        <f t="shared" si="169"/>
        <v>0.29896802409592244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289.07218105343333</v>
      </c>
      <c r="CE178" s="59">
        <f t="shared" si="148"/>
        <v>217.57508587672368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6.8706322484964291E-2</v>
      </c>
      <c r="CL178" s="21">
        <f>EXP(-LN(2)/25)*CL177+(1-EXP(-LN(2)/25))/(LN(2)/25)*Calculateur!CG178*Calculateur!CI178*VLOOKUP('Données projet'!$B$12,Paramètres!$A$1:$I$89,3,0)*0.475*44/12</f>
        <v>0.11797034340701318</v>
      </c>
      <c r="CM178" s="21">
        <f>EXP(-LN(2)/2)*CM177+(1-EXP(-LN(2)/2))/(LN(2)/2)*CG178*CJ178*VLOOKUP('Données projet'!$B$12,Paramètres!$A$1:$I$89,3,0)*0.475*44/12</f>
        <v>1.155916221025049E-21</v>
      </c>
      <c r="CN178" s="22">
        <f t="shared" si="172"/>
        <v>0.18667666589197746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-1.1527845344971866E-13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272.93635583300755</v>
      </c>
      <c r="T179" s="59">
        <f t="shared" si="142"/>
        <v>179.56041631665812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0.20729217313182846</v>
      </c>
      <c r="AA179" s="21">
        <f>EXP(-LN(2)/25)*AA178+(1-EXP(-LN(2)/25))/(LN(2)/25)*Calculateur!V179*Calculateur!X179*VLOOKUP('Données projet'!$B$9,Paramètres!$A$1:$I$89,3,0)*0.475*44/12</f>
        <v>8.2079643389154078E-2</v>
      </c>
      <c r="AB179" s="21">
        <f>EXP(-LN(2)/2)*AB178+(1-EXP(-LN(2)/2))/(LN(2)/2)*V179*Y179*VLOOKUP('Données projet'!$B$9,Paramètres!$A$1:$I$89,3,0)*0.475*44/12</f>
        <v>7.2413442752138377E-22</v>
      </c>
      <c r="AC179" s="22">
        <f t="shared" si="163"/>
        <v>0.28937181652098254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-1.0286385077051818E-13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237.64646718446005</v>
      </c>
      <c r="AO179" s="59">
        <f t="shared" si="144"/>
        <v>156.67965022779907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0.18496840064070852</v>
      </c>
      <c r="AV179" s="21">
        <f>EXP(-LN(2)/25)*AV178+(1-EXP(-LN(2)/25))/(LN(2)/25)*Calculateur!AQ179*Calculateur!AS179*VLOOKUP('Données projet'!$B$10,Paramètres!$A$1:$I$89,3,0)*0.475*44/12</f>
        <v>7.324029717801453E-2</v>
      </c>
      <c r="AW179" s="21">
        <f>EXP(-LN(2)/2)*AW178+(1-EXP(-LN(2)/2))/(LN(2)/2)*AQ179*AT179*VLOOKUP('Données projet'!$B$10,Paramètres!$A$1:$I$89,3,0)*0.475*44/12</f>
        <v>6.461507199421576E-22</v>
      </c>
      <c r="AX179" s="21">
        <f t="shared" si="166"/>
        <v>0.25820869781872302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-1.7053025658242404E-13</v>
      </c>
      <c r="BE179" s="13">
        <f>BD179*VLOOKUP('Données projet'!$B$11,Paramètres!$A$1:$I$89,3,0)*VLOOKUP('Données projet'!$B$11,Paramètres!$A$1:$I$89,5,0)</f>
        <v>-1.1173142411280423E-13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172.9177436650786</v>
      </c>
      <c r="BJ179" s="59">
        <f t="shared" si="146"/>
        <v>173.73622806725865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9.2232140582668487E-2</v>
      </c>
      <c r="BQ179" s="21">
        <f>EXP(-LN(2)/25)*BQ178+(1-EXP(-LN(2)/25))/(LN(2)/25)*Calculateur!BL179*Calculateur!BN179*VLOOKUP('Données projet'!$B$11,Paramètres!$A$1:$I$89,3,0)*0.475*44/12</f>
        <v>0.19928833456860046</v>
      </c>
      <c r="BR179" s="21">
        <f>EXP(-LN(2)/2)*BR178+(1-EXP(-LN(2)/2))/(LN(2)/2)*BL179*BO179*VLOOKUP('Données projet'!$B$11,Paramètres!$A$1:$I$89,3,0)*0.475*44/12</f>
        <v>8.913179666098534E-22</v>
      </c>
      <c r="BS179" s="22">
        <f t="shared" si="169"/>
        <v>0.29152047515126894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289.07218105343333</v>
      </c>
      <c r="CE179" s="59">
        <f t="shared" si="148"/>
        <v>217.57508587672368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6.7359033407752913E-2</v>
      </c>
      <c r="CL179" s="21">
        <f>EXP(-LN(2)/25)*CL178+(1-EXP(-LN(2)/25))/(LN(2)/25)*Calculateur!CG179*Calculateur!CI179*VLOOKUP('Données projet'!$B$12,Paramètres!$A$1:$I$89,3,0)*0.475*44/12</f>
        <v>0.11474443816275767</v>
      </c>
      <c r="CM179" s="21">
        <f>EXP(-LN(2)/2)*CM178+(1-EXP(-LN(2)/2))/(LN(2)/2)*CG179*CJ179*VLOOKUP('Données projet'!$B$12,Paramètres!$A$1:$I$89,3,0)*0.475*44/12</f>
        <v>8.1735619837034026E-22</v>
      </c>
      <c r="CN179" s="22">
        <f t="shared" si="172"/>
        <v>0.1821034715705106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-1.1527845344971866E-13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272.93635583300755</v>
      </c>
      <c r="T180" s="59">
        <f t="shared" si="142"/>
        <v>179.56041631665812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0.20322730005245443</v>
      </c>
      <c r="AA180" s="21">
        <f>EXP(-LN(2)/25)*AA179+(1-EXP(-LN(2)/25))/(LN(2)/25)*Calculateur!V180*Calculateur!X180*VLOOKUP('Données projet'!$B$9,Paramètres!$A$1:$I$89,3,0)*0.475*44/12</f>
        <v>7.9835171224296814E-2</v>
      </c>
      <c r="AB180" s="21">
        <f>EXP(-LN(2)/2)*AB179+(1-EXP(-LN(2)/2))/(LN(2)/2)*V180*Y180*VLOOKUP('Données projet'!$B$9,Paramètres!$A$1:$I$89,3,0)*0.475*44/12</f>
        <v>5.1204036419100896E-22</v>
      </c>
      <c r="AC180" s="22">
        <f t="shared" si="163"/>
        <v>0.28306247127675122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-1.0286385077051818E-13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237.64646718446005</v>
      </c>
      <c r="AO180" s="59">
        <f t="shared" si="144"/>
        <v>156.67965022779907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0.1813412831237286</v>
      </c>
      <c r="AV180" s="21">
        <f>EXP(-LN(2)/25)*AV179+(1-EXP(-LN(2)/25))/(LN(2)/25)*Calculateur!AQ180*Calculateur!AS180*VLOOKUP('Données projet'!$B$10,Paramètres!$A$1:$I$89,3,0)*0.475*44/12</f>
        <v>7.1237537400141882E-2</v>
      </c>
      <c r="AW180" s="21">
        <f>EXP(-LN(2)/2)*AW179+(1-EXP(-LN(2)/2))/(LN(2)/2)*AQ180*AT180*VLOOKUP('Données projet'!$B$10,Paramètres!$A$1:$I$89,3,0)*0.475*44/12</f>
        <v>4.5689755573966939E-22</v>
      </c>
      <c r="AX180" s="21">
        <f t="shared" si="166"/>
        <v>0.25257882052387048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-1.7053025658242404E-13</v>
      </c>
      <c r="BE180" s="13">
        <f>BD180*VLOOKUP('Données projet'!$B$11,Paramètres!$A$1:$I$89,3,0)*VLOOKUP('Données projet'!$B$11,Paramètres!$A$1:$I$89,5,0)</f>
        <v>-1.1173142411280423E-13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172.9177436650786</v>
      </c>
      <c r="BJ180" s="59">
        <f t="shared" si="146"/>
        <v>173.73622806725865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9.0423524561893287E-2</v>
      </c>
      <c r="BQ180" s="21">
        <f>EXP(-LN(2)/25)*BQ179+(1-EXP(-LN(2)/25))/(LN(2)/25)*Calculateur!BL180*Calculateur!BN180*VLOOKUP('Données projet'!$B$11,Paramètres!$A$1:$I$89,3,0)*0.475*44/12</f>
        <v>0.19383878457970405</v>
      </c>
      <c r="BR180" s="21">
        <f>EXP(-LN(2)/2)*BR179+(1-EXP(-LN(2)/2))/(LN(2)/2)*BL180*BO180*VLOOKUP('Données projet'!$B$11,Paramètres!$A$1:$I$89,3,0)*0.475*44/12</f>
        <v>6.3025697838323208E-22</v>
      </c>
      <c r="BS180" s="22">
        <f t="shared" si="169"/>
        <v>0.28426230914159734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289.07218105343333</v>
      </c>
      <c r="CE180" s="59">
        <f t="shared" si="148"/>
        <v>217.57508587672368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6.6038163847580461E-2</v>
      </c>
      <c r="CL180" s="21">
        <f>EXP(-LN(2)/25)*CL179+(1-EXP(-LN(2)/25))/(LN(2)/25)*Calculateur!CG180*Calculateur!CI180*VLOOKUP('Données projet'!$B$12,Paramètres!$A$1:$I$89,3,0)*0.475*44/12</f>
        <v>0.11160674546704931</v>
      </c>
      <c r="CM180" s="21">
        <f>EXP(-LN(2)/2)*CM179+(1-EXP(-LN(2)/2))/(LN(2)/2)*CG180*CJ180*VLOOKUP('Données projet'!$B$12,Paramètres!$A$1:$I$89,3,0)*0.475*44/12</f>
        <v>5.7795811051252451E-22</v>
      </c>
      <c r="CN180" s="22">
        <f t="shared" si="172"/>
        <v>0.17764490931462978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-1.1527845344971866E-13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272.93635583300755</v>
      </c>
      <c r="T181" s="59">
        <f t="shared" si="142"/>
        <v>179.56041631665812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0.19924213665483914</v>
      </c>
      <c r="AA181" s="21">
        <f>EXP(-LN(2)/25)*AA180+(1-EXP(-LN(2)/25))/(LN(2)/25)*Calculateur!V181*Calculateur!X181*VLOOKUP('Données projet'!$B$9,Paramètres!$A$1:$I$89,3,0)*0.475*44/12</f>
        <v>7.7652074268819232E-2</v>
      </c>
      <c r="AB181" s="21">
        <f>EXP(-LN(2)/2)*AB180+(1-EXP(-LN(2)/2))/(LN(2)/2)*V181*Y181*VLOOKUP('Données projet'!$B$9,Paramètres!$A$1:$I$89,3,0)*0.475*44/12</f>
        <v>3.6206721376069189E-22</v>
      </c>
      <c r="AC181" s="22">
        <f t="shared" si="163"/>
        <v>0.2768942109236584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-1.0286385077051818E-13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237.64646718446005</v>
      </c>
      <c r="AO181" s="59">
        <f t="shared" si="144"/>
        <v>156.67965022779907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0.17778529116893343</v>
      </c>
      <c r="AV181" s="21">
        <f>EXP(-LN(2)/25)*AV180+(1-EXP(-LN(2)/25))/(LN(2)/25)*Calculateur!AQ181*Calculateur!AS181*VLOOKUP('Données projet'!$B$10,Paramètres!$A$1:$I$89,3,0)*0.475*44/12</f>
        <v>6.9289543193715719E-2</v>
      </c>
      <c r="AW181" s="21">
        <f>EXP(-LN(2)/2)*AW180+(1-EXP(-LN(2)/2))/(LN(2)/2)*AQ181*AT181*VLOOKUP('Données projet'!$B$10,Paramètres!$A$1:$I$89,3,0)*0.475*44/12</f>
        <v>3.230753599710788E-22</v>
      </c>
      <c r="AX181" s="21">
        <f t="shared" si="166"/>
        <v>0.24707483436264915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-1.7053025658242404E-13</v>
      </c>
      <c r="BE181" s="13">
        <f>BD181*VLOOKUP('Données projet'!$B$11,Paramètres!$A$1:$I$89,3,0)*VLOOKUP('Données projet'!$B$11,Paramètres!$A$1:$I$89,5,0)</f>
        <v>-1.1173142411280423E-13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172.9177436650786</v>
      </c>
      <c r="BJ181" s="59">
        <f t="shared" si="146"/>
        <v>173.73622806725865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8.8650374398138651E-2</v>
      </c>
      <c r="BQ181" s="21">
        <f>EXP(-LN(2)/25)*BQ180+(1-EXP(-LN(2)/25))/(LN(2)/25)*Calculateur!BL181*Calculateur!BN181*VLOOKUP('Données projet'!$B$11,Paramètres!$A$1:$I$89,3,0)*0.475*44/12</f>
        <v>0.1885382528218334</v>
      </c>
      <c r="BR181" s="21">
        <f>EXP(-LN(2)/2)*BR180+(1-EXP(-LN(2)/2))/(LN(2)/2)*BL181*BO181*VLOOKUP('Données projet'!$B$11,Paramètres!$A$1:$I$89,3,0)*0.475*44/12</f>
        <v>4.456589833049267E-22</v>
      </c>
      <c r="BS181" s="22">
        <f t="shared" si="169"/>
        <v>0.27718862721997206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289.07218105343333</v>
      </c>
      <c r="CE181" s="59">
        <f t="shared" si="148"/>
        <v>217.57508587672368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6.474319573383211E-2</v>
      </c>
      <c r="CL181" s="21">
        <f>EXP(-LN(2)/25)*CL180+(1-EXP(-LN(2)/25))/(LN(2)/25)*Calculateur!CG181*Calculateur!CI181*VLOOKUP('Données projet'!$B$12,Paramètres!$A$1:$I$89,3,0)*0.475*44/12</f>
        <v>0.10855485314310918</v>
      </c>
      <c r="CM181" s="21">
        <f>EXP(-LN(2)/2)*CM180+(1-EXP(-LN(2)/2))/(LN(2)/2)*CG181*CJ181*VLOOKUP('Données projet'!$B$12,Paramètres!$A$1:$I$89,3,0)*0.475*44/12</f>
        <v>4.0867809918517013E-22</v>
      </c>
      <c r="CN181" s="22">
        <f t="shared" si="172"/>
        <v>0.17329804887694128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-1.1527845344971866E-13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272.93635583300755</v>
      </c>
      <c r="T182" s="59">
        <f t="shared" si="142"/>
        <v>179.56041631665812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0.19533511988074143</v>
      </c>
      <c r="AA182" s="21">
        <f>EXP(-LN(2)/25)*AA181+(1-EXP(-LN(2)/25))/(LN(2)/25)*Calculateur!V182*Calculateur!X182*VLOOKUP('Données projet'!$B$9,Paramètres!$A$1:$I$89,3,0)*0.475*44/12</f>
        <v>7.5528674214393257E-2</v>
      </c>
      <c r="AB182" s="21">
        <f>EXP(-LN(2)/2)*AB181+(1-EXP(-LN(2)/2))/(LN(2)/2)*V182*Y182*VLOOKUP('Données projet'!$B$9,Paramètres!$A$1:$I$89,3,0)*0.475*44/12</f>
        <v>2.5602018209550448E-22</v>
      </c>
      <c r="AC182" s="22">
        <f t="shared" si="163"/>
        <v>0.27086379409513467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-1.0286385077051818E-13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237.64646718446005</v>
      </c>
      <c r="AO182" s="59">
        <f t="shared" si="144"/>
        <v>156.67965022779907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0.17429903004743086</v>
      </c>
      <c r="AV182" s="21">
        <f>EXP(-LN(2)/25)*AV181+(1-EXP(-LN(2)/25))/(LN(2)/25)*Calculateur!AQ182*Calculateur!AS182*VLOOKUP('Données projet'!$B$10,Paramètres!$A$1:$I$89,3,0)*0.475*44/12</f>
        <v>6.7394816991304854E-2</v>
      </c>
      <c r="AW182" s="21">
        <f>EXP(-LN(2)/2)*AW181+(1-EXP(-LN(2)/2))/(LN(2)/2)*AQ182*AT182*VLOOKUP('Données projet'!$B$10,Paramètres!$A$1:$I$89,3,0)*0.475*44/12</f>
        <v>2.2844877786983469E-22</v>
      </c>
      <c r="AX182" s="21">
        <f t="shared" si="166"/>
        <v>0.2416938470387357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-1.7053025658242404E-13</v>
      </c>
      <c r="BE182" s="13">
        <f>BD182*VLOOKUP('Données projet'!$B$11,Paramètres!$A$1:$I$89,3,0)*VLOOKUP('Données projet'!$B$11,Paramètres!$A$1:$I$89,5,0)</f>
        <v>-1.1173142411280423E-13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172.9177436650786</v>
      </c>
      <c r="BJ182" s="59">
        <f t="shared" si="146"/>
        <v>173.73622806725865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8.6911994627580424E-2</v>
      </c>
      <c r="BQ182" s="21">
        <f>EXP(-LN(2)/25)*BQ181+(1-EXP(-LN(2)/25))/(LN(2)/25)*Calculateur!BL182*Calculateur!BN182*VLOOKUP('Données projet'!$B$11,Paramètres!$A$1:$I$89,3,0)*0.475*44/12</f>
        <v>0.18338266438362455</v>
      </c>
      <c r="BR182" s="21">
        <f>EXP(-LN(2)/2)*BR181+(1-EXP(-LN(2)/2))/(LN(2)/2)*BL182*BO182*VLOOKUP('Données projet'!$B$11,Paramètres!$A$1:$I$89,3,0)*0.475*44/12</f>
        <v>3.1512848919161604E-22</v>
      </c>
      <c r="BS182" s="22">
        <f t="shared" si="169"/>
        <v>0.27029465901120497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289.07218105343333</v>
      </c>
      <c r="CE182" s="59">
        <f t="shared" si="148"/>
        <v>217.57508587672368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6.3473621154941803E-2</v>
      </c>
      <c r="CL182" s="21">
        <f>EXP(-LN(2)/25)*CL181+(1-EXP(-LN(2)/25))/(LN(2)/25)*Calculateur!CG182*Calculateur!CI182*VLOOKUP('Données projet'!$B$12,Paramètres!$A$1:$I$89,3,0)*0.475*44/12</f>
        <v>0.10558641497525924</v>
      </c>
      <c r="CM182" s="21">
        <f>EXP(-LN(2)/2)*CM181+(1-EXP(-LN(2)/2))/(LN(2)/2)*CG182*CJ182*VLOOKUP('Données projet'!$B$12,Paramètres!$A$1:$I$89,3,0)*0.475*44/12</f>
        <v>2.8897905525626226E-22</v>
      </c>
      <c r="CN182" s="22">
        <f t="shared" si="172"/>
        <v>0.16906003613020104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-1.1527845344971866E-13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272.93635583300755</v>
      </c>
      <c r="T183" s="59">
        <f t="shared" si="142"/>
        <v>179.56041631665812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0.19150471732253885</v>
      </c>
      <c r="AA183" s="21">
        <f>EXP(-LN(2)/25)*AA182+(1-EXP(-LN(2)/25))/(LN(2)/25)*Calculateur!V183*Calculateur!X183*VLOOKUP('Données projet'!$B$9,Paramètres!$A$1:$I$89,3,0)*0.475*44/12</f>
        <v>7.3463338646120313E-2</v>
      </c>
      <c r="AB183" s="21">
        <f>EXP(-LN(2)/2)*AB182+(1-EXP(-LN(2)/2))/(LN(2)/2)*V183*Y183*VLOOKUP('Données projet'!$B$9,Paramètres!$A$1:$I$89,3,0)*0.475*44/12</f>
        <v>1.8103360688034594E-22</v>
      </c>
      <c r="AC183" s="22">
        <f t="shared" si="163"/>
        <v>0.26496805596865913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-1.0286385077051818E-13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237.64646718446005</v>
      </c>
      <c r="AO183" s="59">
        <f t="shared" si="144"/>
        <v>156.67965022779907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0.17088113238011163</v>
      </c>
      <c r="AV183" s="21">
        <f>EXP(-LN(2)/25)*AV182+(1-EXP(-LN(2)/25))/(LN(2)/25)*Calculateur!AQ183*Calculateur!AS183*VLOOKUP('Données projet'!$B$10,Paramètres!$A$1:$I$89,3,0)*0.475*44/12</f>
        <v>6.5551902176538224E-2</v>
      </c>
      <c r="AW183" s="21">
        <f>EXP(-LN(2)/2)*AW182+(1-EXP(-LN(2)/2))/(LN(2)/2)*AQ183*AT183*VLOOKUP('Données projet'!$B$10,Paramètres!$A$1:$I$89,3,0)*0.475*44/12</f>
        <v>1.615376799855394E-22</v>
      </c>
      <c r="AX183" s="21">
        <f t="shared" si="166"/>
        <v>0.23643303455664985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-1.7053025658242404E-13</v>
      </c>
      <c r="BE183" s="13">
        <f>BD183*VLOOKUP('Données projet'!$B$11,Paramètres!$A$1:$I$89,3,0)*VLOOKUP('Données projet'!$B$11,Paramètres!$A$1:$I$89,5,0)</f>
        <v>-1.1173142411280423E-13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172.9177436650786</v>
      </c>
      <c r="BJ183" s="59">
        <f t="shared" si="146"/>
        <v>173.73622806725865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8.5207703424015888E-2</v>
      </c>
      <c r="BQ183" s="21">
        <f>EXP(-LN(2)/25)*BQ182+(1-EXP(-LN(2)/25))/(LN(2)/25)*Calculateur!BL183*Calculateur!BN183*VLOOKUP('Données projet'!$B$11,Paramètres!$A$1:$I$89,3,0)*0.475*44/12</f>
        <v>0.17836805578237913</v>
      </c>
      <c r="BR183" s="21">
        <f>EXP(-LN(2)/2)*BR182+(1-EXP(-LN(2)/2))/(LN(2)/2)*BL183*BO183*VLOOKUP('Données projet'!$B$11,Paramètres!$A$1:$I$89,3,0)*0.475*44/12</f>
        <v>2.2282949165246335E-22</v>
      </c>
      <c r="BS183" s="22">
        <f t="shared" si="169"/>
        <v>0.26357575920639503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289.07218105343333</v>
      </c>
      <c r="CE183" s="59">
        <f t="shared" si="148"/>
        <v>217.57508587672368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6.2228942159179505E-2</v>
      </c>
      <c r="CL183" s="21">
        <f>EXP(-LN(2)/25)*CL182+(1-EXP(-LN(2)/25))/(LN(2)/25)*Calculateur!CG183*Calculateur!CI183*VLOOKUP('Données projet'!$B$12,Paramètres!$A$1:$I$89,3,0)*0.475*44/12</f>
        <v>0.10269914890521253</v>
      </c>
      <c r="CM183" s="21">
        <f>EXP(-LN(2)/2)*CM182+(1-EXP(-LN(2)/2))/(LN(2)/2)*CG183*CJ183*VLOOKUP('Données projet'!$B$12,Paramètres!$A$1:$I$89,3,0)*0.475*44/12</f>
        <v>2.0433904959258506E-22</v>
      </c>
      <c r="CN183" s="22">
        <f t="shared" si="172"/>
        <v>0.16492809106439205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-1.1527845344971866E-13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272.93635583300755</v>
      </c>
      <c r="T184" s="59">
        <f t="shared" si="142"/>
        <v>179.56041631665812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0.18774942662218777</v>
      </c>
      <c r="AA184" s="21">
        <f>EXP(-LN(2)/25)*AA183+(1-EXP(-LN(2)/25))/(LN(2)/25)*Calculateur!V184*Calculateur!X184*VLOOKUP('Données projet'!$B$9,Paramètres!$A$1:$I$89,3,0)*0.475*44/12</f>
        <v>7.1454479787573077E-2</v>
      </c>
      <c r="AB184" s="21">
        <f>EXP(-LN(2)/2)*AB183+(1-EXP(-LN(2)/2))/(LN(2)/2)*V184*Y184*VLOOKUP('Données projet'!$B$9,Paramètres!$A$1:$I$89,3,0)*0.475*44/12</f>
        <v>1.2801009104775224E-22</v>
      </c>
      <c r="AC184" s="22">
        <f t="shared" si="163"/>
        <v>0.25920390640976088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-1.0286385077051818E-13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237.64646718446005</v>
      </c>
      <c r="AO184" s="59">
        <f t="shared" si="144"/>
        <v>156.67965022779907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0.1675302576013368</v>
      </c>
      <c r="AV184" s="21">
        <f>EXP(-LN(2)/25)*AV183+(1-EXP(-LN(2)/25))/(LN(2)/25)*Calculateur!AQ184*Calculateur!AS184*VLOOKUP('Données projet'!$B$10,Paramètres!$A$1:$I$89,3,0)*0.475*44/12</f>
        <v>6.3759381964296077E-2</v>
      </c>
      <c r="AW184" s="21">
        <f>EXP(-LN(2)/2)*AW183+(1-EXP(-LN(2)/2))/(LN(2)/2)*AQ184*AT184*VLOOKUP('Données projet'!$B$10,Paramètres!$A$1:$I$89,3,0)*0.475*44/12</f>
        <v>1.1422438893491735E-22</v>
      </c>
      <c r="AX184" s="21">
        <f t="shared" si="166"/>
        <v>0.23128963956563287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-1.7053025658242404E-13</v>
      </c>
      <c r="BE184" s="13">
        <f>BD184*VLOOKUP('Données projet'!$B$11,Paramètres!$A$1:$I$89,3,0)*VLOOKUP('Données projet'!$B$11,Paramètres!$A$1:$I$89,5,0)</f>
        <v>-1.1173142411280423E-13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172.9177436650786</v>
      </c>
      <c r="BJ184" s="59">
        <f t="shared" si="146"/>
        <v>173.73622806725865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8.3536832331438257E-2</v>
      </c>
      <c r="BQ184" s="21">
        <f>EXP(-LN(2)/25)*BQ183+(1-EXP(-LN(2)/25))/(LN(2)/25)*Calculateur!BL184*Calculateur!BN184*VLOOKUP('Données projet'!$B$11,Paramètres!$A$1:$I$89,3,0)*0.475*44/12</f>
        <v>0.17349057191704159</v>
      </c>
      <c r="BR184" s="21">
        <f>EXP(-LN(2)/2)*BR183+(1-EXP(-LN(2)/2))/(LN(2)/2)*BL184*BO184*VLOOKUP('Données projet'!$B$11,Paramètres!$A$1:$I$89,3,0)*0.475*44/12</f>
        <v>1.5756424459580802E-22</v>
      </c>
      <c r="BS184" s="22">
        <f t="shared" si="169"/>
        <v>0.25702740424847986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289.07218105343333</v>
      </c>
      <c r="CE184" s="59">
        <f t="shared" si="148"/>
        <v>217.57508587672368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6.1008670559344877E-2</v>
      </c>
      <c r="CL184" s="21">
        <f>EXP(-LN(2)/25)*CL183+(1-EXP(-LN(2)/25))/(LN(2)/25)*Calculateur!CG184*Calculateur!CI184*VLOOKUP('Données projet'!$B$12,Paramètres!$A$1:$I$89,3,0)*0.475*44/12</f>
        <v>9.9890835277685983E-2</v>
      </c>
      <c r="CM184" s="21">
        <f>EXP(-LN(2)/2)*CM183+(1-EXP(-LN(2)/2))/(LN(2)/2)*CG184*CJ184*VLOOKUP('Données projet'!$B$12,Paramètres!$A$1:$I$89,3,0)*0.475*44/12</f>
        <v>1.4448952762813113E-22</v>
      </c>
      <c r="CN184" s="22">
        <f t="shared" si="172"/>
        <v>0.16089950583703086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-1.1527845344971866E-13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272.93635583300755</v>
      </c>
      <c r="T185" s="59">
        <f t="shared" si="142"/>
        <v>179.56041631665812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0.1840677748819694</v>
      </c>
      <c r="AA185" s="21">
        <f>EXP(-LN(2)/25)*AA184+(1-EXP(-LN(2)/25))/(LN(2)/25)*Calculateur!V185*Calculateur!X185*VLOOKUP('Données projet'!$B$9,Paramètres!$A$1:$I$89,3,0)*0.475*44/12</f>
        <v>6.9500553280154115E-2</v>
      </c>
      <c r="AB185" s="21">
        <f>EXP(-LN(2)/2)*AB184+(1-EXP(-LN(2)/2))/(LN(2)/2)*V185*Y185*VLOOKUP('Données projet'!$B$9,Paramètres!$A$1:$I$89,3,0)*0.475*44/12</f>
        <v>9.0516803440172971E-23</v>
      </c>
      <c r="AC185" s="22">
        <f t="shared" si="163"/>
        <v>0.25356832816212349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-1.0286385077051818E-13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237.64646718446005</v>
      </c>
      <c r="AO185" s="59">
        <f t="shared" si="144"/>
        <v>156.67965022779907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0.16424509143314195</v>
      </c>
      <c r="AV185" s="21">
        <f>EXP(-LN(2)/25)*AV184+(1-EXP(-LN(2)/25))/(LN(2)/25)*Calculateur!AQ185*Calculateur!AS185*VLOOKUP('Données projet'!$B$10,Paramètres!$A$1:$I$89,3,0)*0.475*44/12</f>
        <v>6.2015878311522228E-2</v>
      </c>
      <c r="AW185" s="21">
        <f>EXP(-LN(2)/2)*AW184+(1-EXP(-LN(2)/2))/(LN(2)/2)*AQ185*AT185*VLOOKUP('Données projet'!$B$10,Paramètres!$A$1:$I$89,3,0)*0.475*44/12</f>
        <v>8.0768839992769701E-23</v>
      </c>
      <c r="AX185" s="21">
        <f t="shared" si="166"/>
        <v>0.22626096974466417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-1.7053025658242404E-13</v>
      </c>
      <c r="BE185" s="13">
        <f>BD185*VLOOKUP('Données projet'!$B$11,Paramètres!$A$1:$I$89,3,0)*VLOOKUP('Données projet'!$B$11,Paramètres!$A$1:$I$89,5,0)</f>
        <v>-1.1173142411280423E-13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172.9177436650786</v>
      </c>
      <c r="BJ185" s="59">
        <f t="shared" si="146"/>
        <v>173.73622806725865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8.189872600185534E-2</v>
      </c>
      <c r="BQ185" s="21">
        <f>EXP(-LN(2)/25)*BQ184+(1-EXP(-LN(2)/25))/(LN(2)/25)*Calculateur!BL185*Calculateur!BN185*VLOOKUP('Données projet'!$B$11,Paramètres!$A$1:$I$89,3,0)*0.475*44/12</f>
        <v>0.16874646310449742</v>
      </c>
      <c r="BR185" s="21">
        <f>EXP(-LN(2)/2)*BR184+(1-EXP(-LN(2)/2))/(LN(2)/2)*BL185*BO185*VLOOKUP('Données projet'!$B$11,Paramètres!$A$1:$I$89,3,0)*0.475*44/12</f>
        <v>1.1141474582623167E-22</v>
      </c>
      <c r="BS185" s="22">
        <f t="shared" si="169"/>
        <v>0.25064518910635275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289.07218105343333</v>
      </c>
      <c r="CE185" s="59">
        <f t="shared" si="148"/>
        <v>217.57508587672368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5.9812327741290826E-2</v>
      </c>
      <c r="CL185" s="21">
        <f>EXP(-LN(2)/25)*CL184+(1-EXP(-LN(2)/25))/(LN(2)/25)*Calculateur!CG185*Calculateur!CI185*VLOOKUP('Données projet'!$B$12,Paramètres!$A$1:$I$89,3,0)*0.475*44/12</f>
        <v>9.7159315133986943E-2</v>
      </c>
      <c r="CM185" s="21">
        <f>EXP(-LN(2)/2)*CM184+(1-EXP(-LN(2)/2))/(LN(2)/2)*CG185*CJ185*VLOOKUP('Données projet'!$B$12,Paramètres!$A$1:$I$89,3,0)*0.475*44/12</f>
        <v>1.0216952479629253E-22</v>
      </c>
      <c r="CN185" s="22">
        <f t="shared" si="172"/>
        <v>0.15697164287527776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-1.1527845344971866E-13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272.93635583300755</v>
      </c>
      <c r="T186" s="59">
        <f t="shared" si="142"/>
        <v>179.56041631665812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0.18045831808679089</v>
      </c>
      <c r="AA186" s="21">
        <f>EXP(-LN(2)/25)*AA185+(1-EXP(-LN(2)/25))/(LN(2)/25)*Calculateur!V186*Calculateur!X186*VLOOKUP('Données projet'!$B$9,Paramètres!$A$1:$I$89,3,0)*0.475*44/12</f>
        <v>6.7600056995833047E-2</v>
      </c>
      <c r="AB186" s="21">
        <f>EXP(-LN(2)/2)*AB185+(1-EXP(-LN(2)/2))/(LN(2)/2)*V186*Y186*VLOOKUP('Données projet'!$B$9,Paramètres!$A$1:$I$89,3,0)*0.475*44/12</f>
        <v>6.400504552387612E-23</v>
      </c>
      <c r="AC186" s="22">
        <f t="shared" si="163"/>
        <v>0.24805837508262393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-1.0286385077051818E-13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237.64646718446005</v>
      </c>
      <c r="AO186" s="59">
        <f t="shared" si="144"/>
        <v>156.67965022779907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0.16102434536975188</v>
      </c>
      <c r="AV186" s="21">
        <f>EXP(-LN(2)/25)*AV185+(1-EXP(-LN(2)/25))/(LN(2)/25)*Calculateur!AQ186*Calculateur!AS186*VLOOKUP('Données projet'!$B$10,Paramètres!$A$1:$I$89,3,0)*0.475*44/12</f>
        <v>6.032005085782035E-2</v>
      </c>
      <c r="AW186" s="21">
        <f>EXP(-LN(2)/2)*AW185+(1-EXP(-LN(2)/2))/(LN(2)/2)*AQ186*AT186*VLOOKUP('Données projet'!$B$10,Paramètres!$A$1:$I$89,3,0)*0.475*44/12</f>
        <v>5.7112194467458673E-23</v>
      </c>
      <c r="AX186" s="21">
        <f t="shared" si="166"/>
        <v>0.22134439622757224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-1.7053025658242404E-13</v>
      </c>
      <c r="BE186" s="13">
        <f>BD186*VLOOKUP('Données projet'!$B$11,Paramètres!$A$1:$I$89,3,0)*VLOOKUP('Données projet'!$B$11,Paramètres!$A$1:$I$89,5,0)</f>
        <v>-1.1173142411280423E-13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172.9177436650786</v>
      </c>
      <c r="BJ186" s="59">
        <f t="shared" si="146"/>
        <v>173.73622806725865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8.029274193824934E-2</v>
      </c>
      <c r="BQ186" s="21">
        <f>EXP(-LN(2)/25)*BQ185+(1-EXP(-LN(2)/25))/(LN(2)/25)*Calculateur!BL186*Calculateur!BN186*VLOOKUP('Données projet'!$B$11,Paramètres!$A$1:$I$89,3,0)*0.475*44/12</f>
        <v>0.16413208219691411</v>
      </c>
      <c r="BR186" s="21">
        <f>EXP(-LN(2)/2)*BR185+(1-EXP(-LN(2)/2))/(LN(2)/2)*BL186*BO186*VLOOKUP('Données projet'!$B$11,Paramètres!$A$1:$I$89,3,0)*0.475*44/12</f>
        <v>7.878212229790401E-23</v>
      </c>
      <c r="BS186" s="22">
        <f t="shared" si="169"/>
        <v>0.24442482413516345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289.07218105343333</v>
      </c>
      <c r="CE186" s="59">
        <f t="shared" si="148"/>
        <v>217.57508587672368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5.8639444476201744E-2</v>
      </c>
      <c r="CL186" s="21">
        <f>EXP(-LN(2)/25)*CL185+(1-EXP(-LN(2)/25))/(LN(2)/25)*Calculateur!CG186*Calculateur!CI186*VLOOKUP('Données projet'!$B$12,Paramètres!$A$1:$I$89,3,0)*0.475*44/12</f>
        <v>9.4502488552261746E-2</v>
      </c>
      <c r="CM186" s="21">
        <f>EXP(-LN(2)/2)*CM185+(1-EXP(-LN(2)/2))/(LN(2)/2)*CG186*CJ186*VLOOKUP('Données projet'!$B$12,Paramètres!$A$1:$I$89,3,0)*0.475*44/12</f>
        <v>7.2244763814065564E-23</v>
      </c>
      <c r="CN186" s="22">
        <f t="shared" si="172"/>
        <v>0.15314193302846349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-1.1527845344971866E-13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272.93635583300755</v>
      </c>
      <c r="T187" s="59">
        <f t="shared" si="142"/>
        <v>179.56041631665812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0.17691964053781456</v>
      </c>
      <c r="AA187" s="21">
        <f>EXP(-LN(2)/25)*AA186+(1-EXP(-LN(2)/25))/(LN(2)/25)*Calculateur!V187*Calculateur!X187*VLOOKUP('Données projet'!$B$9,Paramètres!$A$1:$I$89,3,0)*0.475*44/12</f>
        <v>6.5751529882349502E-2</v>
      </c>
      <c r="AB187" s="21">
        <f>EXP(-LN(2)/2)*AB186+(1-EXP(-LN(2)/2))/(LN(2)/2)*V187*Y187*VLOOKUP('Données projet'!$B$9,Paramètres!$A$1:$I$89,3,0)*0.475*44/12</f>
        <v>4.5258401720086486E-23</v>
      </c>
      <c r="AC187" s="22">
        <f t="shared" si="163"/>
        <v>0.24267117042016406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-1.0286385077051818E-13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237.64646718446005</v>
      </c>
      <c r="AO187" s="59">
        <f t="shared" si="144"/>
        <v>156.67965022779907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0.15786675617220378</v>
      </c>
      <c r="AV187" s="21">
        <f>EXP(-LN(2)/25)*AV186+(1-EXP(-LN(2)/25))/(LN(2)/25)*Calculateur!AQ187*Calculateur!AS187*VLOOKUP('Données projet'!$B$10,Paramètres!$A$1:$I$89,3,0)*0.475*44/12</f>
        <v>5.8670595895019641E-2</v>
      </c>
      <c r="AW187" s="21">
        <f>EXP(-LN(2)/2)*AW186+(1-EXP(-LN(2)/2))/(LN(2)/2)*AQ187*AT187*VLOOKUP('Données projet'!$B$10,Paramètres!$A$1:$I$89,3,0)*0.475*44/12</f>
        <v>4.038441999638485E-23</v>
      </c>
      <c r="AX187" s="21">
        <f t="shared" si="166"/>
        <v>0.21653735206722341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-1.7053025658242404E-13</v>
      </c>
      <c r="BE187" s="13">
        <f>BD187*VLOOKUP('Données projet'!$B$11,Paramètres!$A$1:$I$89,3,0)*VLOOKUP('Données projet'!$B$11,Paramètres!$A$1:$I$89,5,0)</f>
        <v>-1.1173142411280423E-13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172.9177436650786</v>
      </c>
      <c r="BJ187" s="59">
        <f t="shared" si="146"/>
        <v>173.73622806725865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7.8718250242577101E-2</v>
      </c>
      <c r="BQ187" s="21">
        <f>EXP(-LN(2)/25)*BQ186+(1-EXP(-LN(2)/25))/(LN(2)/25)*Calculateur!BL187*Calculateur!BN187*VLOOKUP('Données projet'!$B$11,Paramètres!$A$1:$I$89,3,0)*0.475*44/12</f>
        <v>0.15964388177790842</v>
      </c>
      <c r="BR187" s="21">
        <f>EXP(-LN(2)/2)*BR186+(1-EXP(-LN(2)/2))/(LN(2)/2)*BL187*BO187*VLOOKUP('Données projet'!$B$11,Paramètres!$A$1:$I$89,3,0)*0.475*44/12</f>
        <v>5.5707372913115837E-23</v>
      </c>
      <c r="BS187" s="22">
        <f t="shared" si="169"/>
        <v>0.23836213202048551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289.07218105343333</v>
      </c>
      <c r="CE187" s="59">
        <f t="shared" si="148"/>
        <v>217.57508587672368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5.7489560736552904E-2</v>
      </c>
      <c r="CL187" s="21">
        <f>EXP(-LN(2)/25)*CL186+(1-EXP(-LN(2)/25))/(LN(2)/25)*Calculateur!CG187*Calculateur!CI187*VLOOKUP('Données projet'!$B$12,Paramètres!$A$1:$I$89,3,0)*0.475*44/12</f>
        <v>9.1918313033130264E-2</v>
      </c>
      <c r="CM187" s="21">
        <f>EXP(-LN(2)/2)*CM186+(1-EXP(-LN(2)/2))/(LN(2)/2)*CG187*CJ187*VLOOKUP('Données projet'!$B$12,Paramètres!$A$1:$I$89,3,0)*0.475*44/12</f>
        <v>5.1084762398146266E-23</v>
      </c>
      <c r="CN187" s="22">
        <f t="shared" si="172"/>
        <v>0.14940787376968317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-1.1527845344971866E-13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272.93635583300755</v>
      </c>
      <c r="T188" s="59">
        <f t="shared" si="142"/>
        <v>179.56041631665812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0.17345035429719349</v>
      </c>
      <c r="AA188" s="21">
        <f>EXP(-LN(2)/25)*AA187+(1-EXP(-LN(2)/25))/(LN(2)/25)*Calculateur!V188*Calculateur!X188*VLOOKUP('Données projet'!$B$9,Paramètres!$A$1:$I$89,3,0)*0.475*44/12</f>
        <v>6.3953550839993975E-2</v>
      </c>
      <c r="AB188" s="21">
        <f>EXP(-LN(2)/2)*AB187+(1-EXP(-LN(2)/2))/(LN(2)/2)*V188*Y188*VLOOKUP('Données projet'!$B$9,Paramètres!$A$1:$I$89,3,0)*0.475*44/12</f>
        <v>3.200252276193806E-23</v>
      </c>
      <c r="AC188" s="22">
        <f t="shared" si="163"/>
        <v>0.23740390513718745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-1.0286385077051818E-13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237.64646718446005</v>
      </c>
      <c r="AO188" s="59">
        <f t="shared" si="144"/>
        <v>156.67965022779907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0.15477108537288037</v>
      </c>
      <c r="AV188" s="21">
        <f>EXP(-LN(2)/25)*AV187+(1-EXP(-LN(2)/25))/(LN(2)/25)*Calculateur!AQ188*Calculateur!AS188*VLOOKUP('Données projet'!$B$10,Paramètres!$A$1:$I$89,3,0)*0.475*44/12</f>
        <v>5.7066245364917785E-2</v>
      </c>
      <c r="AW188" s="21">
        <f>EXP(-LN(2)/2)*AW187+(1-EXP(-LN(2)/2))/(LN(2)/2)*AQ188*AT188*VLOOKUP('Données projet'!$B$10,Paramètres!$A$1:$I$89,3,0)*0.475*44/12</f>
        <v>2.8556097233729337E-23</v>
      </c>
      <c r="AX188" s="21">
        <f t="shared" si="166"/>
        <v>0.21183733073779815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-1.7053025658242404E-13</v>
      </c>
      <c r="BE188" s="13">
        <f>BD188*VLOOKUP('Données projet'!$B$11,Paramètres!$A$1:$I$89,3,0)*VLOOKUP('Données projet'!$B$11,Paramètres!$A$1:$I$89,5,0)</f>
        <v>-1.1173142411280423E-13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172.9177436650786</v>
      </c>
      <c r="BJ188" s="59">
        <f t="shared" si="146"/>
        <v>173.73622806725865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7.7174633368711887E-2</v>
      </c>
      <c r="BQ188" s="21">
        <f>EXP(-LN(2)/25)*BQ187+(1-EXP(-LN(2)/25))/(LN(2)/25)*Calculateur!BL188*Calculateur!BN188*VLOOKUP('Données projet'!$B$11,Paramètres!$A$1:$I$89,3,0)*0.475*44/12</f>
        <v>0.15527841143538465</v>
      </c>
      <c r="BR188" s="21">
        <f>EXP(-LN(2)/2)*BR187+(1-EXP(-LN(2)/2))/(LN(2)/2)*BL188*BO188*VLOOKUP('Données projet'!$B$11,Paramètres!$A$1:$I$89,3,0)*0.475*44/12</f>
        <v>3.9391061148952005E-23</v>
      </c>
      <c r="BS188" s="22">
        <f t="shared" si="169"/>
        <v>0.23245304480409654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289.07218105343333</v>
      </c>
      <c r="CE188" s="59">
        <f t="shared" si="148"/>
        <v>217.57508587672368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5.6362225515678752E-2</v>
      </c>
      <c r="CL188" s="21">
        <f>EXP(-LN(2)/25)*CL187+(1-EXP(-LN(2)/25))/(LN(2)/25)*Calculateur!CG188*Calculateur!CI188*VLOOKUP('Données projet'!$B$12,Paramètres!$A$1:$I$89,3,0)*0.475*44/12</f>
        <v>8.9404801929465316E-2</v>
      </c>
      <c r="CM188" s="21">
        <f>EXP(-LN(2)/2)*CM187+(1-EXP(-LN(2)/2))/(LN(2)/2)*CG188*CJ188*VLOOKUP('Données projet'!$B$12,Paramètres!$A$1:$I$89,3,0)*0.475*44/12</f>
        <v>3.6122381907032782E-23</v>
      </c>
      <c r="CN188" s="22">
        <f t="shared" si="172"/>
        <v>0.14576702744514408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-1.1527845344971866E-13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272.93635583300755</v>
      </c>
      <c r="T189" s="59">
        <f t="shared" si="142"/>
        <v>179.56041631665812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0.17004909864369533</v>
      </c>
      <c r="AA189" s="21">
        <f>EXP(-LN(2)/25)*AA188+(1-EXP(-LN(2)/25))/(LN(2)/25)*Calculateur!V189*Calculateur!X189*VLOOKUP('Données projet'!$B$9,Paramètres!$A$1:$I$89,3,0)*0.475*44/12</f>
        <v>6.2204737629103266E-2</v>
      </c>
      <c r="AB189" s="21">
        <f>EXP(-LN(2)/2)*AB188+(1-EXP(-LN(2)/2))/(LN(2)/2)*V189*Y189*VLOOKUP('Données projet'!$B$9,Paramètres!$A$1:$I$89,3,0)*0.475*44/12</f>
        <v>2.2629200860043243E-23</v>
      </c>
      <c r="AC189" s="22">
        <f t="shared" si="163"/>
        <v>0.23225383627279861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-1.0286385077051818E-13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237.64646718446005</v>
      </c>
      <c r="AO189" s="59">
        <f t="shared" si="144"/>
        <v>156.67965022779907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0.15173611878975893</v>
      </c>
      <c r="AV189" s="21">
        <f>EXP(-LN(2)/25)*AV188+(1-EXP(-LN(2)/25))/(LN(2)/25)*Calculateur!AQ189*Calculateur!AS189*VLOOKUP('Données projet'!$B$10,Paramètres!$A$1:$I$89,3,0)*0.475*44/12</f>
        <v>5.5505765884430694E-2</v>
      </c>
      <c r="AW189" s="21">
        <f>EXP(-LN(2)/2)*AW188+(1-EXP(-LN(2)/2))/(LN(2)/2)*AQ189*AT189*VLOOKUP('Données projet'!$B$10,Paramètres!$A$1:$I$89,3,0)*0.475*44/12</f>
        <v>2.0192209998192425E-23</v>
      </c>
      <c r="AX189" s="21">
        <f t="shared" si="166"/>
        <v>0.20724188467418964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-1.7053025658242404E-13</v>
      </c>
      <c r="BE189" s="13">
        <f>BD189*VLOOKUP('Données projet'!$B$11,Paramètres!$A$1:$I$89,3,0)*VLOOKUP('Données projet'!$B$11,Paramètres!$A$1:$I$89,5,0)</f>
        <v>-1.1173142411280423E-13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172.9177436650786</v>
      </c>
      <c r="BJ189" s="59">
        <f t="shared" si="146"/>
        <v>173.73622806725865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7.5661285880229842E-2</v>
      </c>
      <c r="BQ189" s="21">
        <f>EXP(-LN(2)/25)*BQ188+(1-EXP(-LN(2)/25))/(LN(2)/25)*Calculateur!BL189*Calculateur!BN189*VLOOKUP('Données projet'!$B$11,Paramètres!$A$1:$I$89,3,0)*0.475*44/12</f>
        <v>0.1510323151089473</v>
      </c>
      <c r="BR189" s="21">
        <f>EXP(-LN(2)/2)*BR188+(1-EXP(-LN(2)/2))/(LN(2)/2)*BL189*BO189*VLOOKUP('Données projet'!$B$11,Paramètres!$A$1:$I$89,3,0)*0.475*44/12</f>
        <v>2.7853686456557919E-23</v>
      </c>
      <c r="BS189" s="22">
        <f t="shared" si="169"/>
        <v>0.22669360098917712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289.07218105343333</v>
      </c>
      <c r="CE189" s="59">
        <f t="shared" si="148"/>
        <v>217.57508587672368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5.5256996650879353E-2</v>
      </c>
      <c r="CL189" s="21">
        <f>EXP(-LN(2)/25)*CL188+(1-EXP(-LN(2)/25))/(LN(2)/25)*Calculateur!CG189*Calculateur!CI189*VLOOKUP('Données projet'!$B$12,Paramètres!$A$1:$I$89,3,0)*0.475*44/12</f>
        <v>8.6960022919109897E-2</v>
      </c>
      <c r="CM189" s="21">
        <f>EXP(-LN(2)/2)*CM188+(1-EXP(-LN(2)/2))/(LN(2)/2)*CG189*CJ189*VLOOKUP('Données projet'!$B$12,Paramètres!$A$1:$I$89,3,0)*0.475*44/12</f>
        <v>2.5542381199073133E-23</v>
      </c>
      <c r="CN189" s="22">
        <f t="shared" si="172"/>
        <v>0.14221701956998925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-1.1527845344971866E-13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272.93635583300755</v>
      </c>
      <c r="T190" s="59">
        <f t="shared" si="142"/>
        <v>179.56041631665812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0.16671453953900117</v>
      </c>
      <c r="AA190" s="21">
        <f>EXP(-LN(2)/25)*AA189+(1-EXP(-LN(2)/25))/(LN(2)/25)*Calculateur!V190*Calculateur!X190*VLOOKUP('Données projet'!$B$9,Paramètres!$A$1:$I$89,3,0)*0.475*44/12</f>
        <v>6.0503745807430453E-2</v>
      </c>
      <c r="AB190" s="21">
        <f>EXP(-LN(2)/2)*AB189+(1-EXP(-LN(2)/2))/(LN(2)/2)*V190*Y190*VLOOKUP('Données projet'!$B$9,Paramètres!$A$1:$I$89,3,0)*0.475*44/12</f>
        <v>1.600126138096903E-23</v>
      </c>
      <c r="AC190" s="22">
        <f t="shared" si="163"/>
        <v>0.22721828534643163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-1.0286385077051818E-13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237.64646718446005</v>
      </c>
      <c r="AO190" s="59">
        <f t="shared" si="144"/>
        <v>156.67965022779907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0.14876066605018567</v>
      </c>
      <c r="AV190" s="21">
        <f>EXP(-LN(2)/25)*AV189+(1-EXP(-LN(2)/25))/(LN(2)/25)*Calculateur!AQ190*Calculateur!AS190*VLOOKUP('Données projet'!$B$10,Paramètres!$A$1:$I$89,3,0)*0.475*44/12</f>
        <v>5.3987957797399566E-2</v>
      </c>
      <c r="AW190" s="21">
        <f>EXP(-LN(2)/2)*AW189+(1-EXP(-LN(2)/2))/(LN(2)/2)*AQ190*AT190*VLOOKUP('Données projet'!$B$10,Paramètres!$A$1:$I$89,3,0)*0.475*44/12</f>
        <v>1.4278048616864668E-23</v>
      </c>
      <c r="AX190" s="21">
        <f t="shared" si="166"/>
        <v>0.20274862384758524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-1.7053025658242404E-13</v>
      </c>
      <c r="BE190" s="13">
        <f>BD190*VLOOKUP('Données projet'!$B$11,Paramètres!$A$1:$I$89,3,0)*VLOOKUP('Données projet'!$B$11,Paramètres!$A$1:$I$89,5,0)</f>
        <v>-1.1173142411280423E-13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172.9177436650786</v>
      </c>
      <c r="BJ190" s="59">
        <f t="shared" si="146"/>
        <v>173.73622806725865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7.4177614212946108E-2</v>
      </c>
      <c r="BQ190" s="21">
        <f>EXP(-LN(2)/25)*BQ189+(1-EXP(-LN(2)/25))/(LN(2)/25)*Calculateur!BL190*Calculateur!BN190*VLOOKUP('Données projet'!$B$11,Paramètres!$A$1:$I$89,3,0)*0.475*44/12</f>
        <v>0.14690232850984886</v>
      </c>
      <c r="BR190" s="21">
        <f>EXP(-LN(2)/2)*BR189+(1-EXP(-LN(2)/2))/(LN(2)/2)*BL190*BO190*VLOOKUP('Données projet'!$B$11,Paramètres!$A$1:$I$89,3,0)*0.475*44/12</f>
        <v>1.9695530574476002E-23</v>
      </c>
      <c r="BS190" s="22">
        <f t="shared" si="169"/>
        <v>0.22107994272279496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289.07218105343333</v>
      </c>
      <c r="CE190" s="59">
        <f t="shared" si="148"/>
        <v>217.57508587672368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5.417344064999563E-2</v>
      </c>
      <c r="CL190" s="21">
        <f>EXP(-LN(2)/25)*CL189+(1-EXP(-LN(2)/25))/(LN(2)/25)*Calculateur!CG190*Calculateur!CI190*VLOOKUP('Données projet'!$B$12,Paramètres!$A$1:$I$89,3,0)*0.475*44/12</f>
        <v>8.4582096519357983E-2</v>
      </c>
      <c r="CM190" s="21">
        <f>EXP(-LN(2)/2)*CM189+(1-EXP(-LN(2)/2))/(LN(2)/2)*CG190*CJ190*VLOOKUP('Données projet'!$B$12,Paramètres!$A$1:$I$89,3,0)*0.475*44/12</f>
        <v>1.8061190953516391E-23</v>
      </c>
      <c r="CN190" s="22">
        <f t="shared" si="172"/>
        <v>0.13875553716935363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-1.1527845344971866E-13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272.93635583300755</v>
      </c>
      <c r="T191" s="59">
        <f t="shared" si="142"/>
        <v>179.56041631665812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0.16344536910446983</v>
      </c>
      <c r="AA191" s="21">
        <f>EXP(-LN(2)/25)*AA190+(1-EXP(-LN(2)/25))/(LN(2)/25)*Calculateur!V191*Calculateur!X191*VLOOKUP('Données projet'!$B$9,Paramètres!$A$1:$I$89,3,0)*0.475*44/12</f>
        <v>5.884926769657256E-2</v>
      </c>
      <c r="AB191" s="21">
        <f>EXP(-LN(2)/2)*AB190+(1-EXP(-LN(2)/2))/(LN(2)/2)*V191*Y191*VLOOKUP('Données projet'!$B$9,Paramètres!$A$1:$I$89,3,0)*0.475*44/12</f>
        <v>1.1314600430021621E-23</v>
      </c>
      <c r="AC191" s="22">
        <f t="shared" si="163"/>
        <v>0.22229463680104239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-1.0286385077051818E-13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237.64646718446005</v>
      </c>
      <c r="AO191" s="59">
        <f t="shared" si="144"/>
        <v>156.67965022779907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0.14584356012398847</v>
      </c>
      <c r="AV191" s="21">
        <f>EXP(-LN(2)/25)*AV190+(1-EXP(-LN(2)/25))/(LN(2)/25)*Calculateur!AQ191*Calculateur!AS191*VLOOKUP('Données projet'!$B$10,Paramètres!$A$1:$I$89,3,0)*0.475*44/12</f>
        <v>5.2511654252326366E-2</v>
      </c>
      <c r="AW191" s="21">
        <f>EXP(-LN(2)/2)*AW190+(1-EXP(-LN(2)/2))/(LN(2)/2)*AQ191*AT191*VLOOKUP('Données projet'!$B$10,Paramètres!$A$1:$I$89,3,0)*0.475*44/12</f>
        <v>1.0096104999096213E-23</v>
      </c>
      <c r="AX191" s="21">
        <f t="shared" si="166"/>
        <v>0.19835521437631484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-1.7053025658242404E-13</v>
      </c>
      <c r="BE191" s="13">
        <f>BD191*VLOOKUP('Données projet'!$B$11,Paramètres!$A$1:$I$89,3,0)*VLOOKUP('Données projet'!$B$11,Paramètres!$A$1:$I$89,5,0)</f>
        <v>-1.1173142411280423E-13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172.9177436650786</v>
      </c>
      <c r="BJ191" s="59">
        <f t="shared" si="146"/>
        <v>173.73622806725865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7.2723036442107439E-2</v>
      </c>
      <c r="BQ191" s="21">
        <f>EXP(-LN(2)/25)*BQ190+(1-EXP(-LN(2)/25))/(LN(2)/25)*Calculateur!BL191*Calculateur!BN191*VLOOKUP('Données projet'!$B$11,Paramètres!$A$1:$I$89,3,0)*0.475*44/12</f>
        <v>0.14288527661148934</v>
      </c>
      <c r="BR191" s="21">
        <f>EXP(-LN(2)/2)*BR190+(1-EXP(-LN(2)/2))/(LN(2)/2)*BL191*BO191*VLOOKUP('Données projet'!$B$11,Paramètres!$A$1:$I$89,3,0)*0.475*44/12</f>
        <v>1.3926843228278959E-23</v>
      </c>
      <c r="BS191" s="22">
        <f t="shared" si="169"/>
        <v>0.21560831305359679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289.07218105343333</v>
      </c>
      <c r="CE191" s="59">
        <f t="shared" si="148"/>
        <v>217.57508587672368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5.3111132521385336E-2</v>
      </c>
      <c r="CL191" s="21">
        <f>EXP(-LN(2)/25)*CL190+(1-EXP(-LN(2)/25))/(LN(2)/25)*Calculateur!CG191*Calculateur!CI191*VLOOKUP('Données projet'!$B$12,Paramètres!$A$1:$I$89,3,0)*0.475*44/12</f>
        <v>8.2269194642056995E-2</v>
      </c>
      <c r="CM191" s="21">
        <f>EXP(-LN(2)/2)*CM190+(1-EXP(-LN(2)/2))/(LN(2)/2)*CG191*CJ191*VLOOKUP('Données projet'!$B$12,Paramètres!$A$1:$I$89,3,0)*0.475*44/12</f>
        <v>1.2771190599536567E-23</v>
      </c>
      <c r="CN191" s="22">
        <f t="shared" si="172"/>
        <v>0.13538032716344234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-1.1527845344971866E-13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272.93635583300755</v>
      </c>
      <c r="T192" s="59">
        <f t="shared" si="142"/>
        <v>179.56041631665812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0.16024030510816259</v>
      </c>
      <c r="AA192" s="21">
        <f>EXP(-LN(2)/25)*AA191+(1-EXP(-LN(2)/25))/(LN(2)/25)*Calculateur!V192*Calculateur!X192*VLOOKUP('Données projet'!$B$9,Paramètres!$A$1:$I$89,3,0)*0.475*44/12</f>
        <v>5.7240031376661296E-2</v>
      </c>
      <c r="AB192" s="21">
        <f>EXP(-LN(2)/2)*AB191+(1-EXP(-LN(2)/2))/(LN(2)/2)*V192*Y192*VLOOKUP('Données projet'!$B$9,Paramètres!$A$1:$I$89,3,0)*0.475*44/12</f>
        <v>8.000630690484515E-24</v>
      </c>
      <c r="AC192" s="22">
        <f t="shared" si="163"/>
        <v>0.2174803364848239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-1.0286385077051818E-13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237.64646718446005</v>
      </c>
      <c r="AO192" s="59">
        <f t="shared" si="144"/>
        <v>156.67965022779907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0.14298365686574507</v>
      </c>
      <c r="AV192" s="21">
        <f>EXP(-LN(2)/25)*AV191+(1-EXP(-LN(2)/25))/(LN(2)/25)*Calculateur!AQ192*Calculateur!AS192*VLOOKUP('Données projet'!$B$10,Paramètres!$A$1:$I$89,3,0)*0.475*44/12</f>
        <v>5.1075720305328622E-2</v>
      </c>
      <c r="AW192" s="21">
        <f>EXP(-LN(2)/2)*AW191+(1-EXP(-LN(2)/2))/(LN(2)/2)*AQ192*AT192*VLOOKUP('Données projet'!$B$10,Paramètres!$A$1:$I$89,3,0)*0.475*44/12</f>
        <v>7.1390243084323342E-24</v>
      </c>
      <c r="AX192" s="21">
        <f t="shared" si="166"/>
        <v>0.19405937717107369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-1.7053025658242404E-13</v>
      </c>
      <c r="BE192" s="13">
        <f>BD192*VLOOKUP('Données projet'!$B$11,Paramètres!$A$1:$I$89,3,0)*VLOOKUP('Données projet'!$B$11,Paramètres!$A$1:$I$89,5,0)</f>
        <v>-1.1173142411280423E-13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172.9177436650786</v>
      </c>
      <c r="BJ192" s="59">
        <f t="shared" si="146"/>
        <v>173.73622806725865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7.1296982054150082E-2</v>
      </c>
      <c r="BQ192" s="21">
        <f>EXP(-LN(2)/25)*BQ191+(1-EXP(-LN(2)/25))/(LN(2)/25)*Calculateur!BL192*Calculateur!BN192*VLOOKUP('Données projet'!$B$11,Paramètres!$A$1:$I$89,3,0)*0.475*44/12</f>
        <v>0.13897807120853803</v>
      </c>
      <c r="BR192" s="21">
        <f>EXP(-LN(2)/2)*BR191+(1-EXP(-LN(2)/2))/(LN(2)/2)*BL192*BO192*VLOOKUP('Données projet'!$B$11,Paramètres!$A$1:$I$89,3,0)*0.475*44/12</f>
        <v>9.8477652872380012E-24</v>
      </c>
      <c r="BS192" s="22">
        <f t="shared" si="169"/>
        <v>0.21027505326268811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289.07218105343333</v>
      </c>
      <c r="CE192" s="59">
        <f t="shared" si="148"/>
        <v>217.57508587672368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5.206965560723311E-2</v>
      </c>
      <c r="CL192" s="21">
        <f>EXP(-LN(2)/25)*CL191+(1-EXP(-LN(2)/25))/(LN(2)/25)*Calculateur!CG192*Calculateur!CI192*VLOOKUP('Données projet'!$B$12,Paramètres!$A$1:$I$89,3,0)*0.475*44/12</f>
        <v>8.0019539188221023E-2</v>
      </c>
      <c r="CM192" s="21">
        <f>EXP(-LN(2)/2)*CM191+(1-EXP(-LN(2)/2))/(LN(2)/2)*CG192*CJ192*VLOOKUP('Données projet'!$B$12,Paramètres!$A$1:$I$89,3,0)*0.475*44/12</f>
        <v>9.0305954767581955E-24</v>
      </c>
      <c r="CN192" s="22">
        <f t="shared" si="172"/>
        <v>0.13208919479545414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-1.1527845344971866E-13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272.93635583300755</v>
      </c>
      <c r="T193" s="59">
        <f t="shared" si="142"/>
        <v>179.56041631665812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0.15709809046192691</v>
      </c>
      <c r="AA193" s="21">
        <f>EXP(-LN(2)/25)*AA192+(1-EXP(-LN(2)/25))/(LN(2)/25)*Calculateur!V193*Calculateur!X193*VLOOKUP('Données projet'!$B$9,Paramètres!$A$1:$I$89,3,0)*0.475*44/12</f>
        <v>5.5674799708544068E-2</v>
      </c>
      <c r="AB193" s="21">
        <f>EXP(-LN(2)/2)*AB192+(1-EXP(-LN(2)/2))/(LN(2)/2)*V193*Y193*VLOOKUP('Données projet'!$B$9,Paramètres!$A$1:$I$89,3,0)*0.475*44/12</f>
        <v>5.6573002150108107E-24</v>
      </c>
      <c r="AC193" s="22">
        <f t="shared" si="163"/>
        <v>0.21277289017047096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-1.0286385077051818E-13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237.64646718446005</v>
      </c>
      <c r="AO193" s="59">
        <f t="shared" si="144"/>
        <v>156.67965022779907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0.14017983456602709</v>
      </c>
      <c r="AV193" s="21">
        <f>EXP(-LN(2)/25)*AV192+(1-EXP(-LN(2)/25))/(LN(2)/25)*Calculateur!AQ193*Calculateur!AS193*VLOOKUP('Données projet'!$B$10,Paramètres!$A$1:$I$89,3,0)*0.475*44/12</f>
        <v>4.9679052047624017E-2</v>
      </c>
      <c r="AW193" s="21">
        <f>EXP(-LN(2)/2)*AW192+(1-EXP(-LN(2)/2))/(LN(2)/2)*AQ193*AT193*VLOOKUP('Données projet'!$B$10,Paramètres!$A$1:$I$89,3,0)*0.475*44/12</f>
        <v>5.0480524995481063E-24</v>
      </c>
      <c r="AX193" s="21">
        <f t="shared" si="166"/>
        <v>0.18985888661365111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-1.7053025658242404E-13</v>
      </c>
      <c r="BE193" s="13">
        <f>BD193*VLOOKUP('Données projet'!$B$11,Paramètres!$A$1:$I$89,3,0)*VLOOKUP('Données projet'!$B$11,Paramètres!$A$1:$I$89,5,0)</f>
        <v>-1.1173142411280423E-13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172.9177436650786</v>
      </c>
      <c r="BJ193" s="59">
        <f t="shared" si="146"/>
        <v>173.73622806725865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6.9898891722933287E-2</v>
      </c>
      <c r="BQ193" s="21">
        <f>EXP(-LN(2)/25)*BQ192+(1-EXP(-LN(2)/25))/(LN(2)/25)*Calculateur!BL193*Calculateur!BN193*VLOOKUP('Données projet'!$B$11,Paramètres!$A$1:$I$89,3,0)*0.475*44/12</f>
        <v>0.13517770854280142</v>
      </c>
      <c r="BR193" s="21">
        <f>EXP(-LN(2)/2)*BR192+(1-EXP(-LN(2)/2))/(LN(2)/2)*BL193*BO193*VLOOKUP('Données projet'!$B$11,Paramètres!$A$1:$I$89,3,0)*0.475*44/12</f>
        <v>6.9634216141394797E-24</v>
      </c>
      <c r="BS193" s="22">
        <f t="shared" si="169"/>
        <v>0.20507660026573471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289.07218105343333</v>
      </c>
      <c r="CE193" s="59">
        <f t="shared" si="148"/>
        <v>217.57508587672368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5.1048601420129215E-2</v>
      </c>
      <c r="CL193" s="21">
        <f>EXP(-LN(2)/25)*CL192+(1-EXP(-LN(2)/25))/(LN(2)/25)*Calculateur!CG193*Calculateur!CI193*VLOOKUP('Données projet'!$B$12,Paramètres!$A$1:$I$89,3,0)*0.475*44/12</f>
        <v>7.7831400681074442E-2</v>
      </c>
      <c r="CM193" s="21">
        <f>EXP(-LN(2)/2)*CM192+(1-EXP(-LN(2)/2))/(LN(2)/2)*CG193*CJ193*VLOOKUP('Données projet'!$B$12,Paramètres!$A$1:$I$89,3,0)*0.475*44/12</f>
        <v>6.3855952997682833E-24</v>
      </c>
      <c r="CN193" s="22">
        <f t="shared" si="172"/>
        <v>0.12888000210120365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-1.1527845344971866E-13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272.93635583300755</v>
      </c>
      <c r="T194" s="59">
        <f t="shared" si="142"/>
        <v>179.56041631665812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0.15401749272834223</v>
      </c>
      <c r="AA194" s="21">
        <f>EXP(-LN(2)/25)*AA193+(1-EXP(-LN(2)/25))/(LN(2)/25)*Calculateur!V194*Calculateur!X194*VLOOKUP('Données projet'!$B$9,Paramètres!$A$1:$I$89,3,0)*0.475*44/12</f>
        <v>5.4152369382703458E-2</v>
      </c>
      <c r="AB194" s="21">
        <f>EXP(-LN(2)/2)*AB193+(1-EXP(-LN(2)/2))/(LN(2)/2)*V194*Y194*VLOOKUP('Données projet'!$B$9,Paramètres!$A$1:$I$89,3,0)*0.475*44/12</f>
        <v>4.0003153452422575E-24</v>
      </c>
      <c r="AC194" s="22">
        <f t="shared" si="163"/>
        <v>0.20816986211104568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-1.0286385077051818E-13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237.64646718446005</v>
      </c>
      <c r="AO194" s="59">
        <f t="shared" si="144"/>
        <v>156.67965022779907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0.13743099351144383</v>
      </c>
      <c r="AV194" s="21">
        <f>EXP(-LN(2)/25)*AV193+(1-EXP(-LN(2)/25))/(LN(2)/25)*Calculateur!AQ194*Calculateur!AS194*VLOOKUP('Données projet'!$B$10,Paramètres!$A$1:$I$89,3,0)*0.475*44/12</f>
        <v>4.8320575756873936E-2</v>
      </c>
      <c r="AW194" s="21">
        <f>EXP(-LN(2)/2)*AW193+(1-EXP(-LN(2)/2))/(LN(2)/2)*AQ194*AT194*VLOOKUP('Données projet'!$B$10,Paramètres!$A$1:$I$89,3,0)*0.475*44/12</f>
        <v>3.5695121542161671E-24</v>
      </c>
      <c r="AX194" s="21">
        <f t="shared" si="166"/>
        <v>0.18575156926831776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-1.7053025658242404E-13</v>
      </c>
      <c r="BE194" s="13">
        <f>BD194*VLOOKUP('Données projet'!$B$11,Paramètres!$A$1:$I$89,3,0)*VLOOKUP('Données projet'!$B$11,Paramètres!$A$1:$I$89,5,0)</f>
        <v>-1.1173142411280423E-13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172.9177436650786</v>
      </c>
      <c r="BJ194" s="59">
        <f t="shared" si="146"/>
        <v>173.73622806725865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6.8528217090360749E-2</v>
      </c>
      <c r="BQ194" s="21">
        <f>EXP(-LN(2)/25)*BQ193+(1-EXP(-LN(2)/25))/(LN(2)/25)*Calculateur!BL194*Calculateur!BN194*VLOOKUP('Données projet'!$B$11,Paramètres!$A$1:$I$89,3,0)*0.475*44/12</f>
        <v>0.13148126699401178</v>
      </c>
      <c r="BR194" s="21">
        <f>EXP(-LN(2)/2)*BR193+(1-EXP(-LN(2)/2))/(LN(2)/2)*BL194*BO194*VLOOKUP('Données projet'!$B$11,Paramètres!$A$1:$I$89,3,0)*0.475*44/12</f>
        <v>4.9238826436190006E-24</v>
      </c>
      <c r="BS194" s="22">
        <f t="shared" si="169"/>
        <v>0.20000948408437252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289.07218105343333</v>
      </c>
      <c r="CE194" s="59">
        <f t="shared" si="148"/>
        <v>217.57508587672368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5.0047569482852869E-2</v>
      </c>
      <c r="CL194" s="21">
        <f>EXP(-LN(2)/25)*CL193+(1-EXP(-LN(2)/25))/(LN(2)/25)*Calculateur!CG194*Calculateur!CI194*VLOOKUP('Données projet'!$B$12,Paramètres!$A$1:$I$89,3,0)*0.475*44/12</f>
        <v>7.5703096936474992E-2</v>
      </c>
      <c r="CM194" s="21">
        <f>EXP(-LN(2)/2)*CM193+(1-EXP(-LN(2)/2))/(LN(2)/2)*CG194*CJ194*VLOOKUP('Données projet'!$B$12,Paramètres!$A$1:$I$89,3,0)*0.475*44/12</f>
        <v>4.5152977383790978E-24</v>
      </c>
      <c r="CN194" s="22">
        <f t="shared" si="172"/>
        <v>0.12575066641932786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-1.1527845344971866E-13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272.93635583300755</v>
      </c>
      <c r="T195" s="59">
        <f t="shared" si="142"/>
        <v>179.56041631665812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0.15099730363733405</v>
      </c>
      <c r="AA195" s="21">
        <f>EXP(-LN(2)/25)*AA194+(1-EXP(-LN(2)/25))/(LN(2)/25)*Calculateur!V195*Calculateur!X195*VLOOKUP('Données projet'!$B$9,Paramètres!$A$1:$I$89,3,0)*0.475*44/12</f>
        <v>5.2671569994184091E-2</v>
      </c>
      <c r="AB195" s="21">
        <f>EXP(-LN(2)/2)*AB194+(1-EXP(-LN(2)/2))/(LN(2)/2)*V195*Y195*VLOOKUP('Données projet'!$B$9,Paramètres!$A$1:$I$89,3,0)*0.475*44/12</f>
        <v>2.8286501075054054E-24</v>
      </c>
      <c r="AC195" s="22">
        <f t="shared" si="163"/>
        <v>0.20366887363151814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-1.0286385077051818E-13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237.64646718446005</v>
      </c>
      <c r="AO195" s="59">
        <f t="shared" si="144"/>
        <v>156.67965022779907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0.13473605555331347</v>
      </c>
      <c r="AV195" s="21">
        <f>EXP(-LN(2)/25)*AV194+(1-EXP(-LN(2)/25))/(LN(2)/25)*Calculateur!AQ195*Calculateur!AS195*VLOOKUP('Données projet'!$B$10,Paramètres!$A$1:$I$89,3,0)*0.475*44/12</f>
        <v>4.6999247071733578E-2</v>
      </c>
      <c r="AW195" s="21">
        <f>EXP(-LN(2)/2)*AW194+(1-EXP(-LN(2)/2))/(LN(2)/2)*AQ195*AT195*VLOOKUP('Données projet'!$B$10,Paramètres!$A$1:$I$89,3,0)*0.475*44/12</f>
        <v>2.5240262497740531E-24</v>
      </c>
      <c r="AX195" s="21">
        <f t="shared" si="166"/>
        <v>0.18173530262504706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-1.7053025658242404E-13</v>
      </c>
      <c r="BE195" s="13">
        <f>BD195*VLOOKUP('Données projet'!$B$11,Paramètres!$A$1:$I$89,3,0)*VLOOKUP('Données projet'!$B$11,Paramètres!$A$1:$I$89,5,0)</f>
        <v>-1.1173142411280423E-13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172.9177436650786</v>
      </c>
      <c r="BJ195" s="59">
        <f t="shared" si="146"/>
        <v>173.73622806725865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6.7184420551303983E-2</v>
      </c>
      <c r="BQ195" s="21">
        <f>EXP(-LN(2)/25)*BQ194+(1-EXP(-LN(2)/25))/(LN(2)/25)*Calculateur!BL195*Calculateur!BN195*VLOOKUP('Données projet'!$B$11,Paramètres!$A$1:$I$89,3,0)*0.475*44/12</f>
        <v>0.12788590483376119</v>
      </c>
      <c r="BR195" s="21">
        <f>EXP(-LN(2)/2)*BR194+(1-EXP(-LN(2)/2))/(LN(2)/2)*BL195*BO195*VLOOKUP('Données projet'!$B$11,Paramètres!$A$1:$I$89,3,0)*0.475*44/12</f>
        <v>3.4817108070697398E-24</v>
      </c>
      <c r="BS195" s="22">
        <f t="shared" si="169"/>
        <v>0.19507032538506519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289.07218105343333</v>
      </c>
      <c r="CE195" s="59">
        <f t="shared" si="148"/>
        <v>217.57508587672368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4.9066167171297317E-2</v>
      </c>
      <c r="CL195" s="21">
        <f>EXP(-LN(2)/25)*CL194+(1-EXP(-LN(2)/25))/(LN(2)/25)*Calculateur!CG195*Calculateur!CI195*VLOOKUP('Données projet'!$B$12,Paramètres!$A$1:$I$89,3,0)*0.475*44/12</f>
        <v>7.3632991769694234E-2</v>
      </c>
      <c r="CM195" s="21">
        <f>EXP(-LN(2)/2)*CM194+(1-EXP(-LN(2)/2))/(LN(2)/2)*CG195*CJ195*VLOOKUP('Données projet'!$B$12,Paramètres!$A$1:$I$89,3,0)*0.475*44/12</f>
        <v>3.1927976498841416E-24</v>
      </c>
      <c r="CN195" s="22">
        <f t="shared" si="172"/>
        <v>0.12269915894099155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-1.1527845344971866E-13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272.93635583300755</v>
      </c>
      <c r="T196" s="59">
        <f t="shared" si="142"/>
        <v>179.56041631665812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0.14803633861226709</v>
      </c>
      <c r="AA196" s="21">
        <f>EXP(-LN(2)/25)*AA195+(1-EXP(-LN(2)/25))/(LN(2)/25)*Calculateur!V196*Calculateur!X196*VLOOKUP('Données projet'!$B$9,Paramètres!$A$1:$I$89,3,0)*0.475*44/12</f>
        <v>5.123126314281564E-2</v>
      </c>
      <c r="AB196" s="21">
        <f>EXP(-LN(2)/2)*AB195+(1-EXP(-LN(2)/2))/(LN(2)/2)*V196*Y196*VLOOKUP('Données projet'!$B$9,Paramètres!$A$1:$I$89,3,0)*0.475*44/12</f>
        <v>2.0001576726211288E-24</v>
      </c>
      <c r="AC196" s="22">
        <f t="shared" si="163"/>
        <v>0.19926760175508273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-1.0286385077051818E-13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237.64646718446005</v>
      </c>
      <c r="AO196" s="59">
        <f t="shared" si="144"/>
        <v>156.67965022779907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0.1320939636847922</v>
      </c>
      <c r="AV196" s="21">
        <f>EXP(-LN(2)/25)*AV195+(1-EXP(-LN(2)/25))/(LN(2)/25)*Calculateur!AQ196*Calculateur!AS196*VLOOKUP('Données projet'!$B$10,Paramètres!$A$1:$I$89,3,0)*0.475*44/12</f>
        <v>4.5714050188974037E-2</v>
      </c>
      <c r="AW196" s="21">
        <f>EXP(-LN(2)/2)*AW195+(1-EXP(-LN(2)/2))/(LN(2)/2)*AQ196*AT196*VLOOKUP('Données projet'!$B$10,Paramètres!$A$1:$I$89,3,0)*0.475*44/12</f>
        <v>1.7847560771080835E-24</v>
      </c>
      <c r="AX196" s="21">
        <f t="shared" si="166"/>
        <v>0.17780801387376624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-1.7053025658242404E-13</v>
      </c>
      <c r="BE196" s="13">
        <f>BD196*VLOOKUP('Données projet'!$B$11,Paramètres!$A$1:$I$89,3,0)*VLOOKUP('Données projet'!$B$11,Paramètres!$A$1:$I$89,5,0)</f>
        <v>-1.1173142411280423E-13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172.9177436650786</v>
      </c>
      <c r="BJ196" s="59">
        <f t="shared" si="146"/>
        <v>173.73622806725865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6.5866975042743164E-2</v>
      </c>
      <c r="BQ196" s="21">
        <f>EXP(-LN(2)/25)*BQ195+(1-EXP(-LN(2)/25))/(LN(2)/25)*Calculateur!BL196*Calculateur!BN196*VLOOKUP('Données projet'!$B$11,Paramètres!$A$1:$I$89,3,0)*0.475*44/12</f>
        <v>0.12438885804085455</v>
      </c>
      <c r="BR196" s="21">
        <f>EXP(-LN(2)/2)*BR195+(1-EXP(-LN(2)/2))/(LN(2)/2)*BL196*BO196*VLOOKUP('Données projet'!$B$11,Paramètres!$A$1:$I$89,3,0)*0.475*44/12</f>
        <v>2.4619413218095003E-24</v>
      </c>
      <c r="BS196" s="22">
        <f t="shared" si="169"/>
        <v>0.19025583308359773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289.07218105343333</v>
      </c>
      <c r="CE196" s="59">
        <f t="shared" si="148"/>
        <v>217.57508587672368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4.8104009560475065E-2</v>
      </c>
      <c r="CL196" s="21">
        <f>EXP(-LN(2)/25)*CL195+(1-EXP(-LN(2)/25))/(LN(2)/25)*Calculateur!CG196*Calculateur!CI196*VLOOKUP('Données projet'!$B$12,Paramètres!$A$1:$I$89,3,0)*0.475*44/12</f>
        <v>7.1619493737561199E-2</v>
      </c>
      <c r="CM196" s="21">
        <f>EXP(-LN(2)/2)*CM195+(1-EXP(-LN(2)/2))/(LN(2)/2)*CG196*CJ196*VLOOKUP('Données projet'!$B$12,Paramètres!$A$1:$I$89,3,0)*0.475*44/12</f>
        <v>2.2576488691895489E-24</v>
      </c>
      <c r="CN196" s="22">
        <f t="shared" si="172"/>
        <v>0.11972350329803627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-1.1527845344971866E-13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272.93635583300755</v>
      </c>
      <c r="T197" s="59">
        <f t="shared" ref="T197:T203" si="204">$T$3</f>
        <v>179.56041631665812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0.14513343630533138</v>
      </c>
      <c r="AA197" s="21">
        <f>EXP(-LN(2)/25)*AA196+(1-EXP(-LN(2)/25))/(LN(2)/25)*Calculateur!V197*Calculateur!X197*VLOOKUP('Données projet'!$B$9,Paramètres!$A$1:$I$89,3,0)*0.475*44/12</f>
        <v>4.9830341558040309E-2</v>
      </c>
      <c r="AB197" s="21">
        <f>EXP(-LN(2)/2)*AB196+(1-EXP(-LN(2)/2))/(LN(2)/2)*V197*Y197*VLOOKUP('Données projet'!$B$9,Paramètres!$A$1:$I$89,3,0)*0.475*44/12</f>
        <v>1.4143250537527027E-24</v>
      </c>
      <c r="AC197" s="22">
        <f t="shared" si="163"/>
        <v>0.19496377786337168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-1.0286385077051818E-13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237.64646718446005</v>
      </c>
      <c r="AO197" s="59">
        <f t="shared" ref="AO197:AO203" si="205">$AO$3</f>
        <v>156.67965022779907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0.12950368162629572</v>
      </c>
      <c r="AV197" s="21">
        <f>EXP(-LN(2)/25)*AV196+(1-EXP(-LN(2)/25))/(LN(2)/25)*Calculateur!AQ197*Calculateur!AS197*VLOOKUP('Données projet'!$B$10,Paramètres!$A$1:$I$89,3,0)*0.475*44/12</f>
        <v>4.4463997082559124E-2</v>
      </c>
      <c r="AW197" s="21">
        <f>EXP(-LN(2)/2)*AW196+(1-EXP(-LN(2)/2))/(LN(2)/2)*AQ197*AT197*VLOOKUP('Données projet'!$B$10,Paramètres!$A$1:$I$89,3,0)*0.475*44/12</f>
        <v>1.2620131248870266E-24</v>
      </c>
      <c r="AX197" s="21">
        <f t="shared" si="166"/>
        <v>0.17396767870885485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-1.7053025658242404E-13</v>
      </c>
      <c r="BE197" s="13">
        <f>BD197*VLOOKUP('Données projet'!$B$11,Paramètres!$A$1:$I$89,3,0)*VLOOKUP('Données projet'!$B$11,Paramètres!$A$1:$I$89,5,0)</f>
        <v>-1.1173142411280423E-13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172.9177436650786</v>
      </c>
      <c r="BJ197" s="59">
        <f t="shared" ref="BJ197:BJ203" si="206">$BJ$3</f>
        <v>173.73622806725865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6.4575363837042807E-2</v>
      </c>
      <c r="BQ197" s="21">
        <f>EXP(-LN(2)/25)*BQ196+(1-EXP(-LN(2)/25))/(LN(2)/25)*Calculateur!BL197*Calculateur!BN197*VLOOKUP('Données projet'!$B$11,Paramètres!$A$1:$I$89,3,0)*0.475*44/12</f>
        <v>0.12098743817640163</v>
      </c>
      <c r="BR197" s="21">
        <f>EXP(-LN(2)/2)*BR196+(1-EXP(-LN(2)/2))/(LN(2)/2)*BL197*BO197*VLOOKUP('Données projet'!$B$11,Paramètres!$A$1:$I$89,3,0)*0.475*44/12</f>
        <v>1.7408554035348699E-24</v>
      </c>
      <c r="BS197" s="22">
        <f t="shared" si="169"/>
        <v>0.18556280201344444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289.07218105343333</v>
      </c>
      <c r="CE197" s="59">
        <f t="shared" ref="CE197:CE203" si="207">$CE$3</f>
        <v>217.57508587672368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4.7160719273542845E-2</v>
      </c>
      <c r="CL197" s="21">
        <f>EXP(-LN(2)/25)*CL196+(1-EXP(-LN(2)/25))/(LN(2)/25)*Calculateur!CG197*Calculateur!CI197*VLOOKUP('Données projet'!$B$12,Paramètres!$A$1:$I$89,3,0)*0.475*44/12</f>
        <v>6.9661054915002102E-2</v>
      </c>
      <c r="CM197" s="21">
        <f>EXP(-LN(2)/2)*CM196+(1-EXP(-LN(2)/2))/(LN(2)/2)*CG197*CJ197*VLOOKUP('Données projet'!$B$12,Paramètres!$A$1:$I$89,3,0)*0.475*44/12</f>
        <v>1.5963988249420708E-24</v>
      </c>
      <c r="CN197" s="22">
        <f t="shared" si="172"/>
        <v>0.11682177418854495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-1.1527845344971866E-13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272.93635583300755</v>
      </c>
      <c r="T198" s="59">
        <f t="shared" si="204"/>
        <v>179.56041631665812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0.14228745814203908</v>
      </c>
      <c r="AA198" s="21">
        <f>EXP(-LN(2)/25)*AA197+(1-EXP(-LN(2)/25))/(LN(2)/25)*Calculateur!V198*Calculateur!X198*VLOOKUP('Données projet'!$B$9,Paramètres!$A$1:$I$89,3,0)*0.475*44/12</f>
        <v>4.8467728247671919E-2</v>
      </c>
      <c r="AB198" s="21">
        <f>EXP(-LN(2)/2)*AB197+(1-EXP(-LN(2)/2))/(LN(2)/2)*V198*Y198*VLOOKUP('Données projet'!$B$9,Paramètres!$A$1:$I$89,3,0)*0.475*44/12</f>
        <v>1.0000788363105644E-24</v>
      </c>
      <c r="AC198" s="22">
        <f t="shared" si="163"/>
        <v>0.19075518638971101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-1.0286385077051818E-13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237.64646718446005</v>
      </c>
      <c r="AO198" s="59">
        <f t="shared" si="205"/>
        <v>156.67965022779907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0.1269641934190503</v>
      </c>
      <c r="AV198" s="21">
        <f>EXP(-LN(2)/25)*AV197+(1-EXP(-LN(2)/25))/(LN(2)/25)*Calculateur!AQ198*Calculateur!AS198*VLOOKUP('Données projet'!$B$10,Paramètres!$A$1:$I$89,3,0)*0.475*44/12</f>
        <v>4.3248126744076562E-2</v>
      </c>
      <c r="AW198" s="21">
        <f>EXP(-LN(2)/2)*AW197+(1-EXP(-LN(2)/2))/(LN(2)/2)*AQ198*AT198*VLOOKUP('Données projet'!$B$10,Paramètres!$A$1:$I$89,3,0)*0.475*44/12</f>
        <v>8.9237803855404177E-25</v>
      </c>
      <c r="AX198" s="21">
        <f t="shared" si="166"/>
        <v>0.17021232016312687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-1.7053025658242404E-13</v>
      </c>
      <c r="BE198" s="13">
        <f>BD198*VLOOKUP('Données projet'!$B$11,Paramètres!$A$1:$I$89,3,0)*VLOOKUP('Données projet'!$B$11,Paramètres!$A$1:$I$89,5,0)</f>
        <v>-1.1173142411280423E-13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172.9177436650786</v>
      </c>
      <c r="BJ198" s="59">
        <f t="shared" si="206"/>
        <v>173.73622806725865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6.330908033928119E-2</v>
      </c>
      <c r="BQ198" s="21">
        <f>EXP(-LN(2)/25)*BQ197+(1-EXP(-LN(2)/25))/(LN(2)/25)*Calculateur!BL198*Calculateur!BN198*VLOOKUP('Données projet'!$B$11,Paramètres!$A$1:$I$89,3,0)*0.475*44/12</f>
        <v>0.11767903031701507</v>
      </c>
      <c r="BR198" s="21">
        <f>EXP(-LN(2)/2)*BR197+(1-EXP(-LN(2)/2))/(LN(2)/2)*BL198*BO198*VLOOKUP('Données projet'!$B$11,Paramètres!$A$1:$I$89,3,0)*0.475*44/12</f>
        <v>1.2309706609047502E-24</v>
      </c>
      <c r="BS198" s="22">
        <f t="shared" si="169"/>
        <v>0.18098811065629627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289.07218105343333</v>
      </c>
      <c r="CE198" s="59">
        <f t="shared" si="207"/>
        <v>217.57508587672368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4.6235926333787099E-2</v>
      </c>
      <c r="CL198" s="21">
        <f>EXP(-LN(2)/25)*CL197+(1-EXP(-LN(2)/25))/(LN(2)/25)*Calculateur!CG198*Calculateur!CI198*VLOOKUP('Données projet'!$B$12,Paramètres!$A$1:$I$89,3,0)*0.475*44/12</f>
        <v>6.7756169705035701E-2</v>
      </c>
      <c r="CM198" s="21">
        <f>EXP(-LN(2)/2)*CM197+(1-EXP(-LN(2)/2))/(LN(2)/2)*CG198*CJ198*VLOOKUP('Données projet'!$B$12,Paramètres!$A$1:$I$89,3,0)*0.475*44/12</f>
        <v>1.1288244345947744E-24</v>
      </c>
      <c r="CN198" s="22">
        <f t="shared" si="172"/>
        <v>0.11399209603882279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-1.1527845344971866E-13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272.93635583300755</v>
      </c>
      <c r="T199" s="59">
        <f t="shared" si="204"/>
        <v>179.56041631665812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0.13949728787465368</v>
      </c>
      <c r="AA199" s="21">
        <f>EXP(-LN(2)/25)*AA198+(1-EXP(-LN(2)/25))/(LN(2)/25)*Calculateur!V199*Calculateur!X199*VLOOKUP('Données projet'!$B$9,Paramètres!$A$1:$I$89,3,0)*0.475*44/12</f>
        <v>4.7142375669932277E-2</v>
      </c>
      <c r="AB199" s="21">
        <f>EXP(-LN(2)/2)*AB198+(1-EXP(-LN(2)/2))/(LN(2)/2)*V199*Y199*VLOOKUP('Données projet'!$B$9,Paramètres!$A$1:$I$89,3,0)*0.475*44/12</f>
        <v>7.0716252687635134E-25</v>
      </c>
      <c r="AC199" s="22">
        <f t="shared" si="163"/>
        <v>0.18663966354458594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-1.0286385077051818E-13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237.64646718446005</v>
      </c>
      <c r="AO199" s="59">
        <f t="shared" si="205"/>
        <v>156.67965022779907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0.12447450302661409</v>
      </c>
      <c r="AV199" s="21">
        <f>EXP(-LN(2)/25)*AV198+(1-EXP(-LN(2)/25))/(LN(2)/25)*Calculateur!AQ199*Calculateur!AS199*VLOOKUP('Données projet'!$B$10,Paramètres!$A$1:$I$89,3,0)*0.475*44/12</f>
        <v>4.2065504443939646E-2</v>
      </c>
      <c r="AW199" s="21">
        <f>EXP(-LN(2)/2)*AW198+(1-EXP(-LN(2)/2))/(LN(2)/2)*AQ199*AT199*VLOOKUP('Données projet'!$B$10,Paramètres!$A$1:$I$89,3,0)*0.475*44/12</f>
        <v>6.3100656244351329E-25</v>
      </c>
      <c r="AX199" s="21">
        <f t="shared" si="166"/>
        <v>0.16654000747055372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-1.7053025658242404E-13</v>
      </c>
      <c r="BE199" s="13">
        <f>BD199*VLOOKUP('Données projet'!$B$11,Paramètres!$A$1:$I$89,3,0)*VLOOKUP('Données projet'!$B$11,Paramètres!$A$1:$I$89,5,0)</f>
        <v>-1.1173142411280423E-13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172.9177436650786</v>
      </c>
      <c r="BJ199" s="59">
        <f t="shared" si="206"/>
        <v>173.73622806725865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6.2067627888554008E-2</v>
      </c>
      <c r="BQ199" s="21">
        <f>EXP(-LN(2)/25)*BQ198+(1-EXP(-LN(2)/25))/(LN(2)/25)*Calculateur!BL199*Calculateur!BN199*VLOOKUP('Données projet'!$B$11,Paramètres!$A$1:$I$89,3,0)*0.475*44/12</f>
        <v>0.11446109104452505</v>
      </c>
      <c r="BR199" s="21">
        <f>EXP(-LN(2)/2)*BR198+(1-EXP(-LN(2)/2))/(LN(2)/2)*BL199*BO199*VLOOKUP('Données projet'!$B$11,Paramètres!$A$1:$I$89,3,0)*0.475*44/12</f>
        <v>8.7042770176743496E-25</v>
      </c>
      <c r="BS199" s="22">
        <f t="shared" si="169"/>
        <v>0.17652871893307906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289.07218105343333</v>
      </c>
      <c r="CE199" s="59">
        <f t="shared" si="207"/>
        <v>217.57508587672368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4.5329268019511967E-2</v>
      </c>
      <c r="CL199" s="21">
        <f>EXP(-LN(2)/25)*CL198+(1-EXP(-LN(2)/25))/(LN(2)/25)*Calculateur!CG199*Calculateur!CI199*VLOOKUP('Données projet'!$B$12,Paramètres!$A$1:$I$89,3,0)*0.475*44/12</f>
        <v>6.5903373681309399E-2</v>
      </c>
      <c r="CM199" s="21">
        <f>EXP(-LN(2)/2)*CM198+(1-EXP(-LN(2)/2))/(LN(2)/2)*CG199*CJ199*VLOOKUP('Données projet'!$B$12,Paramètres!$A$1:$I$89,3,0)*0.475*44/12</f>
        <v>7.9819941247103541E-25</v>
      </c>
      <c r="CN199" s="22">
        <f t="shared" si="172"/>
        <v>0.11123264170082137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-1.1527845344971866E-13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272.93635583300755</v>
      </c>
      <c r="T200" s="59">
        <f t="shared" si="204"/>
        <v>179.56041631665812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0.13676183114437587</v>
      </c>
      <c r="AA200" s="21">
        <f>EXP(-LN(2)/25)*AA199+(1-EXP(-LN(2)/25))/(LN(2)/25)*Calculateur!V200*Calculateur!X200*VLOOKUP('Données projet'!$B$9,Paramètres!$A$1:$I$89,3,0)*0.475*44/12</f>
        <v>4.585326492812819E-2</v>
      </c>
      <c r="AB200" s="21">
        <f>EXP(-LN(2)/2)*AB199+(1-EXP(-LN(2)/2))/(LN(2)/2)*V200*Y200*VLOOKUP('Données projet'!$B$9,Paramètres!$A$1:$I$89,3,0)*0.475*44/12</f>
        <v>5.0003941815528219E-25</v>
      </c>
      <c r="AC200" s="22">
        <f t="shared" si="163"/>
        <v>0.18261509607250406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-1.0286385077051818E-13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237.64646718446005</v>
      </c>
      <c r="AO200" s="59">
        <f t="shared" si="205"/>
        <v>156.67965022779907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0.12203363394421236</v>
      </c>
      <c r="AV200" s="21">
        <f>EXP(-LN(2)/25)*AV199+(1-EXP(-LN(2)/25))/(LN(2)/25)*Calculateur!AQ200*Calculateur!AS200*VLOOKUP('Données projet'!$B$10,Paramètres!$A$1:$I$89,3,0)*0.475*44/12</f>
        <v>4.0915221012791381E-2</v>
      </c>
      <c r="AW200" s="21">
        <f>EXP(-LN(2)/2)*AW199+(1-EXP(-LN(2)/2))/(LN(2)/2)*AQ200*AT200*VLOOKUP('Données projet'!$B$10,Paramètres!$A$1:$I$89,3,0)*0.475*44/12</f>
        <v>4.4618901927702089E-25</v>
      </c>
      <c r="AX200" s="21">
        <f t="shared" si="166"/>
        <v>0.16294885495700373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-1.7053025658242404E-13</v>
      </c>
      <c r="BE200" s="13">
        <f>BD200*VLOOKUP('Données projet'!$B$11,Paramètres!$A$1:$I$89,3,0)*VLOOKUP('Données projet'!$B$11,Paramètres!$A$1:$I$89,5,0)</f>
        <v>-1.1173142411280423E-13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172.9177436650786</v>
      </c>
      <c r="BJ200" s="59">
        <f t="shared" si="206"/>
        <v>173.73622806725865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6.085051956317436E-2</v>
      </c>
      <c r="BQ200" s="21">
        <f>EXP(-LN(2)/25)*BQ199+(1-EXP(-LN(2)/25))/(LN(2)/25)*Calculateur!BL200*Calculateur!BN200*VLOOKUP('Données projet'!$B$11,Paramètres!$A$1:$I$89,3,0)*0.475*44/12</f>
        <v>0.11133114649066533</v>
      </c>
      <c r="BR200" s="21">
        <f>EXP(-LN(2)/2)*BR199+(1-EXP(-LN(2)/2))/(LN(2)/2)*BL200*BO200*VLOOKUP('Données projet'!$B$11,Paramètres!$A$1:$I$89,3,0)*0.475*44/12</f>
        <v>6.1548533045237508E-25</v>
      </c>
      <c r="BS200" s="22">
        <f t="shared" si="169"/>
        <v>0.17218166605383969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289.07218105343333</v>
      </c>
      <c r="CE200" s="59">
        <f t="shared" si="207"/>
        <v>217.57508587672368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4.4440388721772806E-2</v>
      </c>
      <c r="CL200" s="21">
        <f>EXP(-LN(2)/25)*CL199+(1-EXP(-LN(2)/25))/(LN(2)/25)*Calculateur!CG200*Calculateur!CI200*VLOOKUP('Données projet'!$B$12,Paramètres!$A$1:$I$89,3,0)*0.475*44/12</f>
        <v>6.4101242462286198E-2</v>
      </c>
      <c r="CM200" s="21">
        <f>EXP(-LN(2)/2)*CM199+(1-EXP(-LN(2)/2))/(LN(2)/2)*CG200*CJ200*VLOOKUP('Données projet'!$B$12,Paramètres!$A$1:$I$89,3,0)*0.475*44/12</f>
        <v>5.6441221729738722E-25</v>
      </c>
      <c r="CN200" s="22">
        <f t="shared" si="172"/>
        <v>0.108541631184059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-1.1527845344971866E-13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272.93635583300755</v>
      </c>
      <c r="T201" s="59">
        <f t="shared" si="204"/>
        <v>179.56041631665812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0.13408001505211498</v>
      </c>
      <c r="AA201" s="21">
        <f>EXP(-LN(2)/25)*AA200+(1-EXP(-LN(2)/25))/(LN(2)/25)*Calculateur!V201*Calculateur!X201*VLOOKUP('Données projet'!$B$9,Paramètres!$A$1:$I$89,3,0)*0.475*44/12</f>
        <v>4.4599404987350121E-2</v>
      </c>
      <c r="AB201" s="21">
        <f>EXP(-LN(2)/2)*AB200+(1-EXP(-LN(2)/2))/(LN(2)/2)*V201*Y201*VLOOKUP('Données projet'!$B$9,Paramètres!$A$1:$I$89,3,0)*0.475*44/12</f>
        <v>3.5358126343817567E-25</v>
      </c>
      <c r="AC201" s="22">
        <f t="shared" si="163"/>
        <v>0.1786794200394651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-1.0286385077051818E-13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237.64646718446005</v>
      </c>
      <c r="AO201" s="59">
        <f t="shared" si="205"/>
        <v>156.67965022779907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0.1196406288157334</v>
      </c>
      <c r="AV201" s="21">
        <f>EXP(-LN(2)/25)*AV200+(1-EXP(-LN(2)/25))/(LN(2)/25)*Calculateur!AQ201*Calculateur!AS201*VLOOKUP('Données projet'!$B$10,Paramètres!$A$1:$I$89,3,0)*0.475*44/12</f>
        <v>3.9796392142558638E-2</v>
      </c>
      <c r="AW201" s="21">
        <f>EXP(-LN(2)/2)*AW200+(1-EXP(-LN(2)/2))/(LN(2)/2)*AQ201*AT201*VLOOKUP('Données projet'!$B$10,Paramètres!$A$1:$I$89,3,0)*0.475*44/12</f>
        <v>3.1550328122175664E-25</v>
      </c>
      <c r="AX201" s="21">
        <f t="shared" si="166"/>
        <v>0.15943702095829204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-1.7053025658242404E-13</v>
      </c>
      <c r="BE201" s="13">
        <f>BD201*VLOOKUP('Données projet'!$B$11,Paramètres!$A$1:$I$89,3,0)*VLOOKUP('Données projet'!$B$11,Paramètres!$A$1:$I$89,5,0)</f>
        <v>-1.1173142411280423E-13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172.9177436650786</v>
      </c>
      <c r="BJ201" s="59">
        <f t="shared" si="206"/>
        <v>173.73622806725865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5.9657277989692628E-2</v>
      </c>
      <c r="BQ201" s="21">
        <f>EXP(-LN(2)/25)*BQ200+(1-EXP(-LN(2)/25))/(LN(2)/25)*Calculateur!BL201*Calculateur!BN201*VLOOKUP('Données projet'!$B$11,Paramètres!$A$1:$I$89,3,0)*0.475*44/12</f>
        <v>0.10828679043522754</v>
      </c>
      <c r="BR201" s="21">
        <f>EXP(-LN(2)/2)*BR200+(1-EXP(-LN(2)/2))/(LN(2)/2)*BL201*BO201*VLOOKUP('Données projet'!$B$11,Paramètres!$A$1:$I$89,3,0)*0.475*44/12</f>
        <v>4.3521385088371748E-25</v>
      </c>
      <c r="BS201" s="22">
        <f t="shared" si="169"/>
        <v>0.16794406842492016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289.07218105343333</v>
      </c>
      <c r="CE201" s="59">
        <f t="shared" si="207"/>
        <v>217.57508587672368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4.3568939804899467E-2</v>
      </c>
      <c r="CL201" s="21">
        <f>EXP(-LN(2)/25)*CL200+(1-EXP(-LN(2)/25))/(LN(2)/25)*Calculateur!CG201*Calculateur!CI201*VLOOKUP('Données projet'!$B$12,Paramètres!$A$1:$I$89,3,0)*0.475*44/12</f>
        <v>6.2348390616217143E-2</v>
      </c>
      <c r="CM201" s="21">
        <f>EXP(-LN(2)/2)*CM200+(1-EXP(-LN(2)/2))/(LN(2)/2)*CG201*CJ201*VLOOKUP('Données projet'!$B$12,Paramètres!$A$1:$I$89,3,0)*0.475*44/12</f>
        <v>3.990997062355177E-25</v>
      </c>
      <c r="CN201" s="22">
        <f t="shared" si="172"/>
        <v>0.10591733042111662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-1.1527845344971866E-13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272.93635583300755</v>
      </c>
      <c r="T202" s="59">
        <f t="shared" si="204"/>
        <v>179.56041631665812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0.13145078773767702</v>
      </c>
      <c r="AA202" s="21">
        <f>EXP(-LN(2)/25)*AA201+(1-EXP(-LN(2)/25))/(LN(2)/25)*Calculateur!V202*Calculateur!X202*VLOOKUP('Données projet'!$B$9,Paramètres!$A$1:$I$89,3,0)*0.475*44/12</f>
        <v>4.3379831912590254E-2</v>
      </c>
      <c r="AB202" s="21">
        <f>EXP(-LN(2)/2)*AB201+(1-EXP(-LN(2)/2))/(LN(2)/2)*V202*Y202*VLOOKUP('Données projet'!$B$9,Paramètres!$A$1:$I$89,3,0)*0.475*44/12</f>
        <v>2.500197090776411E-25</v>
      </c>
      <c r="AC202" s="22">
        <f t="shared" si="163"/>
        <v>0.17483061965026728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-1.0286385077051818E-13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237.64646718446005</v>
      </c>
      <c r="AO202" s="59">
        <f t="shared" si="205"/>
        <v>156.67965022779907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0.1172945490582349</v>
      </c>
      <c r="AV202" s="21">
        <f>EXP(-LN(2)/25)*AV201+(1-EXP(-LN(2)/25))/(LN(2)/25)*Calculateur!AQ202*Calculateur!AS202*VLOOKUP('Données projet'!$B$10,Paramètres!$A$1:$I$89,3,0)*0.475*44/12</f>
        <v>3.8708157706619069E-2</v>
      </c>
      <c r="AW202" s="21">
        <f>EXP(-LN(2)/2)*AW201+(1-EXP(-LN(2)/2))/(LN(2)/2)*AQ202*AT202*VLOOKUP('Données projet'!$B$10,Paramètres!$A$1:$I$89,3,0)*0.475*44/12</f>
        <v>2.2309450963851044E-25</v>
      </c>
      <c r="AX202" s="21">
        <f t="shared" si="166"/>
        <v>0.15600270676485398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-1.7053025658242404E-13</v>
      </c>
      <c r="BE202" s="13">
        <f>BD202*VLOOKUP('Données projet'!$B$11,Paramètres!$A$1:$I$89,3,0)*VLOOKUP('Données projet'!$B$11,Paramètres!$A$1:$I$89,5,0)</f>
        <v>-1.1173142411280423E-13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172.9177436650786</v>
      </c>
      <c r="BJ202" s="59">
        <f t="shared" si="206"/>
        <v>173.73622806725865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5.8487435155661377E-2</v>
      </c>
      <c r="BQ202" s="21">
        <f>EXP(-LN(2)/25)*BQ201+(1-EXP(-LN(2)/25))/(LN(2)/25)*Calculateur!BL202*Calculateur!BN202*VLOOKUP('Données projet'!$B$11,Paramètres!$A$1:$I$89,3,0)*0.475*44/12</f>
        <v>0.10532568245622143</v>
      </c>
      <c r="BR202" s="21">
        <f>EXP(-LN(2)/2)*BR201+(1-EXP(-LN(2)/2))/(LN(2)/2)*BL202*BO202*VLOOKUP('Données projet'!$B$11,Paramètres!$A$1:$I$89,3,0)*0.475*44/12</f>
        <v>3.0774266522618754E-25</v>
      </c>
      <c r="BS202" s="22">
        <f t="shared" si="169"/>
        <v>0.1638131176118828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289.07218105343333</v>
      </c>
      <c r="CE202" s="59">
        <f t="shared" si="207"/>
        <v>217.57508587672368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4.2714579469754661E-2</v>
      </c>
      <c r="CL202" s="21">
        <f>EXP(-LN(2)/25)*CL201+(1-EXP(-LN(2)/25))/(LN(2)/25)*Calculateur!CG202*Calculateur!CI202*VLOOKUP('Données projet'!$B$12,Paramètres!$A$1:$I$89,3,0)*0.475*44/12</f>
        <v>6.0643470596057319E-2</v>
      </c>
      <c r="CM202" s="21">
        <f>EXP(-LN(2)/2)*CM201+(1-EXP(-LN(2)/2))/(LN(2)/2)*CG202*CJ202*VLOOKUP('Données projet'!$B$12,Paramètres!$A$1:$I$89,3,0)*0.475*44/12</f>
        <v>2.8220610864869361E-25</v>
      </c>
      <c r="CN202" s="22">
        <f t="shared" si="172"/>
        <v>0.10335805006581197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-1.1527845344971866E-13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272.93635583300755</v>
      </c>
      <c r="T203" s="59">
        <f t="shared" si="204"/>
        <v>179.56041631665812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0.12887311796720485</v>
      </c>
      <c r="AA203" s="21">
        <f>EXP(-LN(2)/25)*AA202+(1-EXP(-LN(2)/25))/(LN(2)/25)*Calculateur!V203*Calculateur!X203*VLOOKUP('Données projet'!$B$9,Paramètres!$A$1:$I$89,3,0)*0.475*44/12</f>
        <v>4.2193608127694258E-2</v>
      </c>
      <c r="AB203" s="21">
        <f>EXP(-LN(2)/2)*AB202+(1-EXP(-LN(2)/2))/(LN(2)/2)*V203*Y203*VLOOKUP('Données projet'!$B$9,Paramètres!$A$1:$I$89,3,0)*0.475*44/12</f>
        <v>1.7679063171908783E-25</v>
      </c>
      <c r="AC203" s="22">
        <f t="shared" si="163"/>
        <v>0.17106672609489912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-1.0286385077051818E-13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237.64646718446005</v>
      </c>
      <c r="AO203" s="59">
        <f t="shared" si="205"/>
        <v>156.67965022779907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0.1149944744938136</v>
      </c>
      <c r="AV203" s="21">
        <f>EXP(-LN(2)/25)*AV202+(1-EXP(-LN(2)/25))/(LN(2)/25)*Calculateur!AQ203*Calculateur!AS203*VLOOKUP('Données projet'!$B$10,Paramètres!$A$1:$I$89,3,0)*0.475*44/12</f>
        <v>3.7649681098558027E-2</v>
      </c>
      <c r="AW203" s="21">
        <f>EXP(-LN(2)/2)*AW202+(1-EXP(-LN(2)/2))/(LN(2)/2)*AQ203*AT203*VLOOKUP('Données projet'!$B$10,Paramètres!$A$1:$I$89,3,0)*0.475*44/12</f>
        <v>1.5775164061087832E-25</v>
      </c>
      <c r="AX203" s="21">
        <f t="shared" si="166"/>
        <v>0.15264415559237163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-1.7053025658242404E-13</v>
      </c>
      <c r="BE203" s="13">
        <f>BD203*VLOOKUP('Données projet'!$B$11,Paramètres!$A$1:$I$89,3,0)*VLOOKUP('Données projet'!$B$11,Paramètres!$A$1:$I$89,5,0)</f>
        <v>-1.1173142411280423E-13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172.9177436650786</v>
      </c>
      <c r="BJ203" s="59">
        <f t="shared" si="206"/>
        <v>173.73622806725865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5.7340532226071807E-2</v>
      </c>
      <c r="BQ203" s="21">
        <f>EXP(-LN(2)/25)*BQ202+(1-EXP(-LN(2)/25))/(LN(2)/25)*Calculateur!BL203*Calculateur!BN203*VLOOKUP('Données projet'!$B$11,Paramètres!$A$1:$I$89,3,0)*0.475*44/12</f>
        <v>0.10244554613061914</v>
      </c>
      <c r="BR203" s="21">
        <f>EXP(-LN(2)/2)*BR202+(1-EXP(-LN(2)/2))/(LN(2)/2)*BL203*BO203*VLOOKUP('Données projet'!$B$11,Paramètres!$A$1:$I$89,3,0)*0.475*44/12</f>
        <v>2.1760692544185874E-25</v>
      </c>
      <c r="BS203" s="22">
        <f t="shared" si="169"/>
        <v>0.15978607835669095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289.07218105343333</v>
      </c>
      <c r="CE203" s="59">
        <f t="shared" si="207"/>
        <v>217.57508587672368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4.18769726196737E-2</v>
      </c>
      <c r="CL203" s="21">
        <f>EXP(-LN(2)/25)*CL202+(1-EXP(-LN(2)/25))/(LN(2)/25)*Calculateur!CG203*Calculateur!CI203*VLOOKUP('Données projet'!$B$12,Paramètres!$A$1:$I$89,3,0)*0.475*44/12</f>
        <v>5.8985171703506617E-2</v>
      </c>
      <c r="CM203" s="21">
        <f>EXP(-LN(2)/2)*CM202+(1-EXP(-LN(2)/2))/(LN(2)/2)*CG203*CJ203*VLOOKUP('Données projet'!$B$12,Paramètres!$A$1:$I$89,3,0)*0.475*44/12</f>
        <v>1.9954985311775885E-25</v>
      </c>
      <c r="CN203" s="22">
        <f t="shared" si="172"/>
        <v>0.10086214432318032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1.1852335095914694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1.1852335095914694</v>
      </c>
      <c r="BA205" s="82">
        <f>EXP(LN('Données projet'!B88)/'Données projet'!A88)</f>
        <v>1.2721747796233518</v>
      </c>
      <c r="BV205" s="82">
        <f>EXP(LN('Données projet'!B114)/'Données projet'!A114)</f>
        <v>1.244502252163008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pubescent</v>
      </c>
      <c r="B6" s="146">
        <f>'Données projet'!D9</f>
        <v>1.08</v>
      </c>
      <c r="C6" s="147">
        <f ca="1">IF(OR('Données projet'!B9="",'Données projet'!C9="",'Données projet'!C9=0%),0,Calculateur!S3)</f>
        <v>272.93635583300755</v>
      </c>
      <c r="D6" s="147">
        <f>IF(OR('Données projet'!B9="",'Données projet'!C9="",'Données projet'!C9=0%),0,Calculateur!T3)</f>
        <v>179.56041631665812</v>
      </c>
      <c r="E6" s="147">
        <f ca="1">MIN(C6,D6)</f>
        <v>179.56041631665812</v>
      </c>
      <c r="F6" s="147">
        <f ca="1">E6*B6</f>
        <v>193.92524962199079</v>
      </c>
      <c r="G6" s="147">
        <f ca="1">F6*(100%-'Données projet'!$C$24)*(100%-'Données projet'!$C$25)*(100%-'Données projet'!$C$26)*(100%-'Données projet'!$C$27)</f>
        <v>174.53272465979171</v>
      </c>
      <c r="H6" s="148">
        <f>IF(OR('Données projet'!B9="",'Données projet'!C9="",'Données projet'!C9=0%),0,AVERAGE(Calculateur!$AC$3:$AC$33)*B6)</f>
        <v>1.237742632178326</v>
      </c>
      <c r="I6" s="149">
        <f>H6*(100%-'Données projet'!$C$24)*(100%-'Données projet'!$C$25)*(100%-'Données projet'!$C$26)*(100%-'Données projet'!$C$27)</f>
        <v>1.1139683689604936</v>
      </c>
      <c r="J6" s="150">
        <f>IF(OR('Données projet'!B9="",'Données projet'!C9="",'Données projet'!C9=0%),0,SUM(Calculateur!$V$3:$V$33)*VLOOKUP('Données projet'!$B$9,Paramètres!$A$1:$I$89,9,0)*B6)</f>
        <v>7.83</v>
      </c>
      <c r="K6" s="151">
        <f>J6*(100%-'Données projet'!$C$24)*(100%-'Données projet'!$C$25)*(100%-'Données projet'!$C$26)*(100%-'Données projet'!$C$27)</f>
        <v>7.0470000000000006</v>
      </c>
      <c r="L6" s="152">
        <f ca="1">G6+I6+K6</f>
        <v>182.69369302875219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sessile</v>
      </c>
      <c r="B7" s="154">
        <f>'Données projet'!D10</f>
        <v>1.08</v>
      </c>
      <c r="C7" s="147">
        <f ca="1">IF(OR('Données projet'!B10="",'Données projet'!C10="",'Données projet'!C10=0%),0,Calculateur!AN3)</f>
        <v>237.64646718446005</v>
      </c>
      <c r="D7" s="147">
        <f>IF(OR('Données projet'!B10="",'Données projet'!C10="",'Données projet'!C10=0%),0,Calculateur!AO3)</f>
        <v>156.67965022779907</v>
      </c>
      <c r="E7" s="147">
        <f t="shared" ref="E7:E15" ca="1" si="0">MIN(C7,D7)</f>
        <v>156.67965022779907</v>
      </c>
      <c r="F7" s="147">
        <f t="shared" ref="F7:F15" ca="1" si="1">E7*B7</f>
        <v>169.21402224602301</v>
      </c>
      <c r="G7" s="147">
        <f ca="1">F7*(100%-'Données projet'!$C$24)*(100%-'Données projet'!$C$25)*(100%-'Données projet'!$C$26)*(100%-'Données projet'!$C$27)</f>
        <v>152.2926200214207</v>
      </c>
      <c r="H7" s="155">
        <f>IF(OR('Données projet'!B10="",'Données projet'!C10="",'Données projet'!C10=0%),0,AVERAGE(Calculateur!$AX$3:$AX$33)*B7)</f>
        <v>1.1044472717898906</v>
      </c>
      <c r="I7" s="149">
        <f>H7*(100%-'Données projet'!$C$24)*(100%-'Données projet'!$C$25)*(100%-'Données projet'!$C$26)*(100%-'Données projet'!$C$27)</f>
        <v>0.99400254461090154</v>
      </c>
      <c r="J7" s="150">
        <f>IF(OR('Données projet'!B10="",'Données projet'!C10="",'Données projet'!C10=0%),0,SUM(Calculateur!$AQ$3:$AQ$33)*VLOOKUP('Données projet'!$B$10,Paramètres!$A$1:$I$89,9,0)*B7)</f>
        <v>7.83</v>
      </c>
      <c r="K7" s="151">
        <f>J7*(100%-'Données projet'!$C$24)*(100%-'Données projet'!$C$25)*(100%-'Données projet'!$C$26)*(100%-'Données projet'!$C$27)</f>
        <v>7.0470000000000006</v>
      </c>
      <c r="L7" s="152">
        <f t="shared" ref="L7:L15" ca="1" si="2">G7+I7+K7</f>
        <v>160.33362256603161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Aulne glutineux</v>
      </c>
      <c r="B8" s="154">
        <f>'Données projet'!D11</f>
        <v>1.08</v>
      </c>
      <c r="C8" s="147">
        <f ca="1">IF(OR('Données projet'!B11="",'Données projet'!C11="",'Données projet'!C11=0%),0,Calculateur!BI3)</f>
        <v>172.9177436650786</v>
      </c>
      <c r="D8" s="147">
        <f>IF(OR('Données projet'!B11="",'Données projet'!C11="",'Données projet'!C11=0%),0,Calculateur!BJ3)</f>
        <v>173.73622806725865</v>
      </c>
      <c r="E8" s="147">
        <f t="shared" ca="1" si="0"/>
        <v>172.9177436650786</v>
      </c>
      <c r="F8" s="147">
        <f t="shared" ca="1" si="1"/>
        <v>186.7511631582849</v>
      </c>
      <c r="G8" s="147">
        <f ca="1">F8*(100%-'Données projet'!$C$24)*(100%-'Données projet'!$C$25)*(100%-'Données projet'!$C$26)*(100%-'Données projet'!$C$27)</f>
        <v>168.07604684245641</v>
      </c>
      <c r="H8" s="155">
        <f>IF(OR('Données projet'!B11="",'Données projet'!C11="",'Données projet'!C11=0%),0,AVERAGE(Calculateur!$BS$3:$BS$33)*B8)</f>
        <v>4.6263573150075681</v>
      </c>
      <c r="I8" s="149">
        <f>H8*(100%-'Données projet'!$C$24)*(100%-'Données projet'!$C$25)*(100%-'Données projet'!$C$26)*(100%-'Données projet'!$C$27)</f>
        <v>4.1637215835068115</v>
      </c>
      <c r="J8" s="150">
        <f>IF(OR('Données projet'!B11="",'Données projet'!C11="",'Données projet'!C11=0%),0,SUM(Calculateur!$BL$3:$BL$33)*VLOOKUP('Données projet'!$B$11,Paramètres!$A$1:$I$89,9,0)*B8)</f>
        <v>26.73</v>
      </c>
      <c r="K8" s="151">
        <f>J8*(100%-'Données projet'!$C$24)*(100%-'Données projet'!$C$25)*(100%-'Données projet'!$C$26)*(100%-'Données projet'!$C$27)</f>
        <v>24.057000000000002</v>
      </c>
      <c r="L8" s="152">
        <f t="shared" ca="1" si="2"/>
        <v>196.29676842596319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Pin laricio</v>
      </c>
      <c r="B9" s="154">
        <f>'Données projet'!D12</f>
        <v>0.36000000000000004</v>
      </c>
      <c r="C9" s="147">
        <f ca="1">IF(OR('Données projet'!B12="",'Données projet'!C12="",'Données projet'!C12=0%),0,Calculateur!CD3)</f>
        <v>289.07218105343333</v>
      </c>
      <c r="D9" s="147">
        <f>IF(OR('Données projet'!B12="",'Données projet'!C12="",'Données projet'!C12=0%),0,Calculateur!CE3)</f>
        <v>217.57508587672368</v>
      </c>
      <c r="E9" s="147">
        <f t="shared" ca="1" si="0"/>
        <v>217.57508587672368</v>
      </c>
      <c r="F9" s="147">
        <f t="shared" ca="1" si="1"/>
        <v>78.327030915620526</v>
      </c>
      <c r="G9" s="147">
        <f ca="1">F9*(100%-'Données projet'!$C$24)*(100%-'Données projet'!$C$25)*(100%-'Données projet'!$C$26)*(100%-'Données projet'!$C$27)</f>
        <v>70.494327824058473</v>
      </c>
      <c r="H9" s="155">
        <f>IF(OR('Données projet'!B12="",'Données projet'!C12="",'Données projet'!C12=0%),0,AVERAGE(Calculateur!$CN$3:$CN$33)*B9)</f>
        <v>0.65746529156850975</v>
      </c>
      <c r="I9" s="149">
        <f>H9*(100%-'Données projet'!$C$24)*(100%-'Données projet'!$C$25)*(100%-'Données projet'!$C$26)*(100%-'Données projet'!$C$27)</f>
        <v>0.59171876241165877</v>
      </c>
      <c r="J9" s="150">
        <f>IF(OR('Données projet'!B12="",'Données projet'!C12="",'Données projet'!C12=0%),0,SUM(Calculateur!$CG$3:$CG$33)*VLOOKUP('Données projet'!$B$12,Paramètres!$A$1:$I$89,9,0)*B9)</f>
        <v>10.371600000000001</v>
      </c>
      <c r="K9" s="151">
        <f>J9*(100%-'Données projet'!$C$24)*(100%-'Données projet'!$C$25)*(100%-'Données projet'!$C$26)*(100%-'Données projet'!$C$27)</f>
        <v>9.3344400000000007</v>
      </c>
      <c r="L9" s="152">
        <f t="shared" ca="1" si="2"/>
        <v>80.420486586470133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628.21746594191927</v>
      </c>
      <c r="G16" s="166">
        <f t="shared" ca="1" si="3"/>
        <v>565.39571934772732</v>
      </c>
      <c r="H16" s="167">
        <f t="shared" si="3"/>
        <v>7.6260125105442942</v>
      </c>
      <c r="I16" s="167">
        <f t="shared" si="3"/>
        <v>6.8634112594898653</v>
      </c>
      <c r="J16" s="168">
        <f t="shared" si="3"/>
        <v>52.761600000000001</v>
      </c>
      <c r="K16" s="168">
        <f t="shared" si="3"/>
        <v>47.485440000000004</v>
      </c>
      <c r="L16" s="169">
        <f t="shared" ca="1" si="3"/>
        <v>619.74457060721716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Aulne glutineux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pubescent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-1614.4241200779406</v>
      </c>
      <c r="U10" s="178">
        <f>'Données projet'!D9</f>
        <v>1.08</v>
      </c>
      <c r="V10" s="177">
        <f>U10*T10</f>
        <v>-1743.578049684176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-1621.7132205012817</v>
      </c>
      <c r="U11" s="178">
        <f>'Données projet'!D10</f>
        <v>1.08</v>
      </c>
      <c r="V11" s="177">
        <f t="shared" ref="V11" si="0">U11*T11</f>
        <v>-1751.4502781413844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Aulne glutineux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-1219.695023742536</v>
      </c>
      <c r="U12" s="178">
        <f>'Données projet'!D11</f>
        <v>1.08</v>
      </c>
      <c r="V12" s="177">
        <f t="shared" ref="V12:V19" si="1">U12*T12</f>
        <v>-1317.270625641939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102.78931043419527</v>
      </c>
      <c r="U13" s="178">
        <f>'Données projet'!D12</f>
        <v>0.36000000000000004</v>
      </c>
      <c r="V13" s="177">
        <f t="shared" si="1"/>
        <v>37.0041517563103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pubescent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60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(0.65+1.2)*1300</f>
        <v>2405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59.999999999999957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299.99999999999977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(5382+559.8+606.45+1119.6+2621.55)/3.6</f>
        <v>2858.166666666667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500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25</v>
      </c>
      <c r="B23" s="181">
        <f>'Données projet'!D36</f>
        <v>8</v>
      </c>
      <c r="C23" s="193">
        <v>1.3</v>
      </c>
      <c r="D23" s="182">
        <f>B23*C23</f>
        <v>10.4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-18004.991779440879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21</v>
      </c>
      <c r="C24" s="193">
        <v>1.3</v>
      </c>
      <c r="D24" s="182">
        <f t="shared" ref="D24:D42" si="2">B24*C24</f>
        <v>27.3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76.992128943198978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35</v>
      </c>
      <c r="B25" s="181">
        <f>'Données projet'!D38</f>
        <v>21</v>
      </c>
      <c r="C25" s="193">
        <v>2.2799999999999998</v>
      </c>
      <c r="D25" s="182">
        <f t="shared" si="2"/>
        <v>47.879999999999995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-18081.983908384078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21</v>
      </c>
      <c r="C26" s="193">
        <v>2.2799999999999998</v>
      </c>
      <c r="D26" s="182">
        <f t="shared" si="2"/>
        <v>47.879999999999995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45</v>
      </c>
      <c r="B27" s="181">
        <f>'Données projet'!D40</f>
        <v>21</v>
      </c>
      <c r="C27" s="193">
        <v>2.2799999999999998</v>
      </c>
      <c r="D27" s="182">
        <f t="shared" si="2"/>
        <v>47.879999999999995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50</v>
      </c>
      <c r="B28" s="181">
        <f>'Données projet'!D41</f>
        <v>21</v>
      </c>
      <c r="C28" s="193">
        <v>2.2799999999999998</v>
      </c>
      <c r="D28" s="182">
        <f t="shared" si="2"/>
        <v>47.879999999999995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55</v>
      </c>
      <c r="B29" s="181">
        <f>'Données projet'!D42</f>
        <v>21</v>
      </c>
      <c r="C29" s="193">
        <v>2.83</v>
      </c>
      <c r="D29" s="182">
        <f t="shared" si="2"/>
        <v>59.43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60</v>
      </c>
      <c r="B30" s="181">
        <f>'Données projet'!D43</f>
        <v>21</v>
      </c>
      <c r="C30" s="193">
        <v>2.83</v>
      </c>
      <c r="D30" s="182">
        <f t="shared" si="2"/>
        <v>59.43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65</v>
      </c>
      <c r="B31" s="181">
        <f>'Données projet'!D44</f>
        <v>21</v>
      </c>
      <c r="C31" s="193">
        <v>2.83</v>
      </c>
      <c r="D31" s="182">
        <f t="shared" si="2"/>
        <v>59.43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70</v>
      </c>
      <c r="B32" s="181">
        <f>'Données projet'!D45</f>
        <v>21</v>
      </c>
      <c r="C32" s="193">
        <v>40.5</v>
      </c>
      <c r="D32" s="182">
        <f t="shared" si="2"/>
        <v>850.5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75</v>
      </c>
      <c r="B33" s="181">
        <f>'Données projet'!D46</f>
        <v>21</v>
      </c>
      <c r="C33" s="193">
        <v>40.5</v>
      </c>
      <c r="D33" s="182">
        <f t="shared" si="2"/>
        <v>850.5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80</v>
      </c>
      <c r="B34" s="181">
        <f>'Données projet'!D47</f>
        <v>21</v>
      </c>
      <c r="C34" s="193">
        <v>40.5</v>
      </c>
      <c r="D34" s="182">
        <f t="shared" si="2"/>
        <v>850.5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85</v>
      </c>
      <c r="B35" s="181">
        <f>'Données projet'!D48</f>
        <v>21</v>
      </c>
      <c r="C35" s="193">
        <v>41</v>
      </c>
      <c r="D35" s="182">
        <f t="shared" si="2"/>
        <v>861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90</v>
      </c>
      <c r="B36" s="181">
        <f>'Données projet'!D49</f>
        <v>21</v>
      </c>
      <c r="C36" s="193">
        <v>41</v>
      </c>
      <c r="D36" s="182">
        <f t="shared" si="2"/>
        <v>861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95</v>
      </c>
      <c r="B37" s="181">
        <f>'Données projet'!D50</f>
        <v>21</v>
      </c>
      <c r="C37" s="193">
        <v>41</v>
      </c>
      <c r="D37" s="182">
        <f>B37*C37</f>
        <v>861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100</v>
      </c>
      <c r="B38" s="181">
        <f>'Données projet'!D51</f>
        <v>282</v>
      </c>
      <c r="C38" s="193">
        <v>171</v>
      </c>
      <c r="D38" s="182">
        <f>B38*C38</f>
        <v>48222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(0.65+1.2)*1300</f>
        <v>2405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25</v>
      </c>
      <c r="B54" s="181">
        <f>'Données projet'!D62</f>
        <v>8</v>
      </c>
      <c r="C54" s="191">
        <v>1.3</v>
      </c>
      <c r="D54" s="179">
        <f>B54*C54</f>
        <v>10.4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21</v>
      </c>
      <c r="C55" s="191">
        <v>1.3</v>
      </c>
      <c r="D55" s="179">
        <f t="shared" ref="D55:D73" si="4">B55*C55</f>
        <v>27.3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35</v>
      </c>
      <c r="B56" s="181">
        <f>'Données projet'!D64</f>
        <v>21</v>
      </c>
      <c r="C56" s="191">
        <v>2.2799999999999998</v>
      </c>
      <c r="D56" s="179">
        <f t="shared" si="4"/>
        <v>47.879999999999995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21</v>
      </c>
      <c r="C57" s="191">
        <v>2.2799999999999998</v>
      </c>
      <c r="D57" s="179">
        <f t="shared" si="4"/>
        <v>47.879999999999995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45</v>
      </c>
      <c r="B58" s="181">
        <f>'Données projet'!D66</f>
        <v>21</v>
      </c>
      <c r="C58" s="191">
        <v>2.2799999999999998</v>
      </c>
      <c r="D58" s="179">
        <f t="shared" si="4"/>
        <v>47.879999999999995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50</v>
      </c>
      <c r="B59" s="181">
        <f>'Données projet'!D67</f>
        <v>21</v>
      </c>
      <c r="C59" s="191">
        <v>2.2799999999999998</v>
      </c>
      <c r="D59" s="179">
        <f t="shared" si="4"/>
        <v>47.879999999999995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55</v>
      </c>
      <c r="B60" s="181">
        <f>'Données projet'!D68</f>
        <v>21</v>
      </c>
      <c r="C60" s="191">
        <v>2.83</v>
      </c>
      <c r="D60" s="179">
        <f t="shared" si="4"/>
        <v>59.43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60</v>
      </c>
      <c r="B61" s="181">
        <f>'Données projet'!D69</f>
        <v>21</v>
      </c>
      <c r="C61" s="191">
        <v>2.83</v>
      </c>
      <c r="D61" s="179">
        <f t="shared" si="4"/>
        <v>59.43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65</v>
      </c>
      <c r="B62" s="181">
        <f>'Données projet'!D70</f>
        <v>21</v>
      </c>
      <c r="C62" s="191">
        <v>2.83</v>
      </c>
      <c r="D62" s="179">
        <f t="shared" si="4"/>
        <v>59.43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70</v>
      </c>
      <c r="B63" s="181">
        <f>'Données projet'!D71</f>
        <v>21</v>
      </c>
      <c r="C63" s="191">
        <v>40.5</v>
      </c>
      <c r="D63" s="179">
        <f t="shared" si="4"/>
        <v>850.5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75</v>
      </c>
      <c r="B64" s="181">
        <f>'Données projet'!D72</f>
        <v>21</v>
      </c>
      <c r="C64" s="191">
        <v>40.5</v>
      </c>
      <c r="D64" s="179">
        <f t="shared" si="4"/>
        <v>850.5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80</v>
      </c>
      <c r="B65" s="181">
        <f>'Données projet'!D73</f>
        <v>21</v>
      </c>
      <c r="C65" s="191">
        <v>40.5</v>
      </c>
      <c r="D65" s="179">
        <f t="shared" si="4"/>
        <v>850.5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85</v>
      </c>
      <c r="B66" s="181">
        <f>'Données projet'!D74</f>
        <v>21</v>
      </c>
      <c r="C66" s="191">
        <v>41</v>
      </c>
      <c r="D66" s="179">
        <f t="shared" si="4"/>
        <v>861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90</v>
      </c>
      <c r="B67" s="181">
        <f>'Données projet'!D75</f>
        <v>21</v>
      </c>
      <c r="C67" s="191">
        <v>41</v>
      </c>
      <c r="D67" s="179">
        <f t="shared" si="4"/>
        <v>861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95</v>
      </c>
      <c r="B68" s="181">
        <f>'Données projet'!D76</f>
        <v>21</v>
      </c>
      <c r="C68" s="191">
        <v>41</v>
      </c>
      <c r="D68" s="179">
        <f t="shared" si="4"/>
        <v>861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100</v>
      </c>
      <c r="B69" s="181">
        <f>'Données projet'!D77</f>
        <v>282</v>
      </c>
      <c r="C69" s="191">
        <v>171</v>
      </c>
      <c r="D69" s="179">
        <f t="shared" si="4"/>
        <v>48222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Aulne glutineux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(0.65+0.6)*1300</f>
        <v>1625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15</v>
      </c>
      <c r="B85" s="181">
        <f>'Données projet'!D88</f>
        <v>15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28</v>
      </c>
      <c r="C86" s="191">
        <v>0</v>
      </c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25</v>
      </c>
      <c r="B87" s="181">
        <f>'Données projet'!D90</f>
        <v>28</v>
      </c>
      <c r="C87" s="191">
        <v>2</v>
      </c>
      <c r="D87" s="179">
        <f t="shared" si="6"/>
        <v>56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30</v>
      </c>
      <c r="B88" s="181">
        <f>'Données projet'!D91</f>
        <v>28</v>
      </c>
      <c r="C88" s="191">
        <v>2</v>
      </c>
      <c r="D88" s="179">
        <f t="shared" si="6"/>
        <v>56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35</v>
      </c>
      <c r="B89" s="181">
        <f>'Données projet'!D92</f>
        <v>28</v>
      </c>
      <c r="C89" s="191">
        <v>2</v>
      </c>
      <c r="D89" s="179">
        <f t="shared" si="6"/>
        <v>56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40</v>
      </c>
      <c r="B90" s="181">
        <f>'Données projet'!D93</f>
        <v>28</v>
      </c>
      <c r="C90" s="191">
        <v>2</v>
      </c>
      <c r="D90" s="179">
        <f t="shared" si="6"/>
        <v>56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45</v>
      </c>
      <c r="B91" s="181">
        <f>'Données projet'!D94</f>
        <v>22</v>
      </c>
      <c r="C91" s="191">
        <v>10</v>
      </c>
      <c r="D91" s="179">
        <f t="shared" si="6"/>
        <v>220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50</v>
      </c>
      <c r="B92" s="181">
        <f>'Données projet'!D95</f>
        <v>17</v>
      </c>
      <c r="C92" s="191">
        <v>10</v>
      </c>
      <c r="D92" s="179">
        <f t="shared" si="6"/>
        <v>170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55</v>
      </c>
      <c r="B93" s="181">
        <f>'Données projet'!D96</f>
        <v>13</v>
      </c>
      <c r="C93" s="191">
        <v>10</v>
      </c>
      <c r="D93" s="179">
        <f t="shared" si="6"/>
        <v>130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60</v>
      </c>
      <c r="B94" s="181">
        <f>'Données projet'!D97</f>
        <v>12</v>
      </c>
      <c r="C94" s="191">
        <v>20</v>
      </c>
      <c r="D94" s="179">
        <f t="shared" si="6"/>
        <v>240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65</v>
      </c>
      <c r="B95" s="181">
        <f>'Données projet'!D98</f>
        <v>11</v>
      </c>
      <c r="C95" s="191">
        <v>20</v>
      </c>
      <c r="D95" s="179">
        <f t="shared" si="6"/>
        <v>220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70</v>
      </c>
      <c r="B96" s="181">
        <f>'Données projet'!D99</f>
        <v>10</v>
      </c>
      <c r="C96" s="191">
        <v>20</v>
      </c>
      <c r="D96" s="179">
        <f t="shared" si="6"/>
        <v>200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75</v>
      </c>
      <c r="B97" s="181">
        <f>'Données projet'!D100</f>
        <v>9</v>
      </c>
      <c r="C97" s="191">
        <v>20</v>
      </c>
      <c r="D97" s="179">
        <f t="shared" si="6"/>
        <v>180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80</v>
      </c>
      <c r="B98" s="181">
        <f>'Données projet'!D101</f>
        <v>275</v>
      </c>
      <c r="C98" s="191">
        <v>30</v>
      </c>
      <c r="D98" s="179">
        <f t="shared" si="6"/>
        <v>8250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(0.52+0.45)*1300</f>
        <v>1261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22</v>
      </c>
      <c r="B116" s="181">
        <f>'Données projet'!D114</f>
        <v>16</v>
      </c>
      <c r="C116" s="191">
        <v>2</v>
      </c>
      <c r="D116" s="179">
        <f>B116*C116</f>
        <v>32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25</v>
      </c>
      <c r="B117" s="181">
        <f>'Données projet'!D115</f>
        <v>17</v>
      </c>
      <c r="C117" s="191">
        <v>2</v>
      </c>
      <c r="D117" s="179">
        <f t="shared" ref="D117:D135" si="8">B117*C117</f>
        <v>34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34</v>
      </c>
      <c r="C118" s="191">
        <v>10</v>
      </c>
      <c r="D118" s="179">
        <f t="shared" si="8"/>
        <v>340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35</v>
      </c>
      <c r="B119" s="181">
        <f>'Données projet'!D117</f>
        <v>41</v>
      </c>
      <c r="C119" s="191">
        <v>10</v>
      </c>
      <c r="D119" s="179">
        <f t="shared" si="8"/>
        <v>410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40</v>
      </c>
      <c r="B120" s="181">
        <f>'Données projet'!D118</f>
        <v>41</v>
      </c>
      <c r="C120" s="191">
        <v>10</v>
      </c>
      <c r="D120" s="179">
        <f t="shared" si="8"/>
        <v>410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45</v>
      </c>
      <c r="B121" s="181">
        <f>'Données projet'!D119</f>
        <v>53</v>
      </c>
      <c r="C121" s="191">
        <v>25</v>
      </c>
      <c r="D121" s="179">
        <f t="shared" si="8"/>
        <v>1325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50</v>
      </c>
      <c r="B122" s="181">
        <f>'Données projet'!D120</f>
        <v>53</v>
      </c>
      <c r="C122" s="191">
        <v>25</v>
      </c>
      <c r="D122" s="179">
        <f t="shared" si="8"/>
        <v>1325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58</v>
      </c>
      <c r="B123" s="181">
        <f>'Données projet'!D121</f>
        <v>78</v>
      </c>
      <c r="C123" s="191">
        <v>25</v>
      </c>
      <c r="D123" s="179">
        <f t="shared" si="8"/>
        <v>1950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66</v>
      </c>
      <c r="B124" s="181">
        <f>'Données projet'!D122</f>
        <v>65</v>
      </c>
      <c r="C124" s="191">
        <v>30</v>
      </c>
      <c r="D124" s="179">
        <f t="shared" si="8"/>
        <v>1950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74</v>
      </c>
      <c r="B125" s="181">
        <f>'Données projet'!D123</f>
        <v>37</v>
      </c>
      <c r="C125" s="191">
        <v>30</v>
      </c>
      <c r="D125" s="179">
        <f t="shared" si="8"/>
        <v>1110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82</v>
      </c>
      <c r="B126" s="181">
        <f>'Données projet'!D124</f>
        <v>567</v>
      </c>
      <c r="C126" s="191">
        <v>30</v>
      </c>
      <c r="D126" s="179">
        <f t="shared" si="8"/>
        <v>17010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2023-09-04T13:40:28Z</dcterms:modified>
</cp:coreProperties>
</file>