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GF du SAMBRES - 13479444 LE/"/>
    </mc:Choice>
  </mc:AlternateContent>
  <xr:revisionPtr revIDLastSave="37" documentId="8_{61503392-1D72-4754-8B02-8B4B7A8606F1}" xr6:coauthVersionLast="47" xr6:coauthVersionMax="47" xr10:uidLastSave="{96BC8583-8792-4410-96F8-7C63EEAA70B9}"/>
  <bookViews>
    <workbookView xWindow="38280" yWindow="-12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HG18" i="2"/>
  <c r="EA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HH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HG38" i="2"/>
  <c r="EX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DG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EC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FS113" i="2"/>
  <c r="HI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B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FR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AC154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HH156" i="2"/>
  <c r="HG156" i="2"/>
  <c r="EB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D157" i="2" s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HG161" i="2"/>
  <c r="EB161" i="2"/>
  <c r="EX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HH162" i="2"/>
  <c r="EW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V163" i="2"/>
  <c r="HH163" i="2"/>
  <c r="EA163" i="2"/>
  <c r="ED163" i="2" s="1"/>
  <c r="HG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H164" i="2" l="1"/>
  <c r="HG164" i="2"/>
  <c r="DH164" i="2"/>
  <c r="FS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HI167" i="2"/>
  <c r="EA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W168" i="2"/>
  <c r="EV168" i="2"/>
  <c r="EY168" i="2" s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HG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EB179" i="2"/>
  <c r="HH179" i="2"/>
  <c r="DF179" i="2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EV185" i="2"/>
  <c r="HI185" i="2"/>
  <c r="EB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HI192" i="2"/>
  <c r="EW192" i="2"/>
  <c r="EC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HG195" i="2"/>
  <c r="FQ195" i="2"/>
  <c r="HI195" i="2"/>
  <c r="AA195" i="2"/>
  <c r="E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H197" i="2"/>
  <c r="AA197" i="2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Z6" i="2"/>
  <c r="HI202" i="2"/>
  <c r="FS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90" i="2" a="1"/>
  <c r="AH90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21" i="2" a="1"/>
  <c r="GT21" i="2" s="1"/>
  <c r="GT198" i="2" a="1"/>
  <c r="GT198" i="2" s="1"/>
  <c r="GT189" i="2" a="1"/>
  <c r="GT189" i="2" s="1"/>
  <c r="GT178" i="2" a="1"/>
  <c r="GT178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16" i="2" a="1"/>
  <c r="DN16" i="2" s="1"/>
  <c r="DN31" i="2" a="1"/>
  <c r="DN31" i="2" s="1"/>
  <c r="DN6" i="2" a="1"/>
  <c r="DN6" i="2" s="1"/>
  <c r="DO6" i="2" s="1"/>
  <c r="FD82" i="2" a="1"/>
  <c r="FD82" i="2" s="1"/>
  <c r="HJ202" i="2"/>
  <c r="AX200" i="2"/>
  <c r="AH19" i="2" l="1" a="1"/>
  <c r="AH19" i="2" s="1"/>
  <c r="CS77" i="2" a="1"/>
  <c r="CS77" i="2" s="1"/>
  <c r="BX107" i="2" a="1"/>
  <c r="BX107" i="2" s="1"/>
  <c r="GT190" i="2" a="1"/>
  <c r="GT190" i="2" s="1"/>
  <c r="DN66" i="2" a="1"/>
  <c r="DN66" i="2" s="1"/>
  <c r="CS134" i="2" a="1"/>
  <c r="CS134" i="2" s="1"/>
  <c r="GT191" i="2" a="1"/>
  <c r="GT191" i="2" s="1"/>
  <c r="DN152" i="2" a="1"/>
  <c r="DN152" i="2" s="1"/>
  <c r="GT147" i="2" a="1"/>
  <c r="GT147" i="2" s="1"/>
  <c r="CS137" i="2" a="1"/>
  <c r="CS137" i="2" s="1"/>
  <c r="FR203" i="2"/>
  <c r="GT102" i="2" a="1"/>
  <c r="GT102" i="2" s="1"/>
  <c r="GT38" i="2" a="1"/>
  <c r="GT38" i="2" s="1"/>
  <c r="CS129" i="2" a="1"/>
  <c r="CS129" i="2" s="1"/>
  <c r="GT152" i="2" a="1"/>
  <c r="GT152" i="2" s="1"/>
  <c r="CS114" i="2" a="1"/>
  <c r="CS114" i="2" s="1"/>
  <c r="CS120" i="2" a="1"/>
  <c r="CS120" i="2" s="1"/>
  <c r="CS24" i="2" a="1"/>
  <c r="CS24" i="2" s="1"/>
  <c r="DN30" i="2" a="1"/>
  <c r="DN30" i="2" s="1"/>
  <c r="GT126" i="2" a="1"/>
  <c r="GT126" i="2" s="1"/>
  <c r="CS52" i="2" a="1"/>
  <c r="CS52" i="2" s="1"/>
  <c r="GT33" i="2" a="1"/>
  <c r="GT33" i="2" s="1"/>
  <c r="CS116" i="2" a="1"/>
  <c r="CS116" i="2" s="1"/>
  <c r="CS72" i="2" a="1"/>
  <c r="CS72" i="2" s="1"/>
  <c r="GT74" i="2" a="1"/>
  <c r="GT74" i="2" s="1"/>
  <c r="CS66" i="2" a="1"/>
  <c r="CS66" i="2" s="1"/>
  <c r="GT133" i="2" a="1"/>
  <c r="GT133" i="2" s="1"/>
  <c r="AH92" i="2" a="1"/>
  <c r="AH92" i="2" s="1"/>
  <c r="CS105" i="2" a="1"/>
  <c r="CS105" i="2" s="1"/>
  <c r="CS56" i="2" a="1"/>
  <c r="CS56" i="2" s="1"/>
  <c r="CS161" i="2" a="1"/>
  <c r="CS161" i="2" s="1"/>
  <c r="CS185" i="2" a="1"/>
  <c r="CS185" i="2" s="1"/>
  <c r="GT12" i="2" a="1"/>
  <c r="GT12" i="2" s="1"/>
  <c r="AH166" i="2" a="1"/>
  <c r="AH166" i="2" s="1"/>
  <c r="GT181" i="2" a="1"/>
  <c r="GT181" i="2" s="1"/>
  <c r="HH203" i="2"/>
  <c r="AH151" i="2" a="1"/>
  <c r="AH151" i="2" s="1"/>
  <c r="AH163" i="2" a="1"/>
  <c r="AH163" i="2" s="1"/>
  <c r="AH62" i="2" a="1"/>
  <c r="AH62" i="2" s="1"/>
  <c r="AH199" i="2" a="1"/>
  <c r="AH199" i="2" s="1"/>
  <c r="BP203" i="2"/>
  <c r="DN132" i="2" a="1"/>
  <c r="DN132" i="2" s="1"/>
  <c r="DN167" i="2" a="1"/>
  <c r="DN167" i="2" s="1"/>
  <c r="DN188" i="2" a="1"/>
  <c r="DN188" i="2" s="1"/>
  <c r="DN29" i="2" a="1"/>
  <c r="DN29" i="2" s="1"/>
  <c r="DN46" i="2" a="1"/>
  <c r="DN46" i="2" s="1"/>
  <c r="DN162" i="2" a="1"/>
  <c r="DN162" i="2" s="1"/>
  <c r="DN114" i="2" a="1"/>
  <c r="DN114" i="2" s="1"/>
  <c r="DN177" i="2" a="1"/>
  <c r="DN177" i="2" s="1"/>
  <c r="DN43" i="2" a="1"/>
  <c r="DN43" i="2" s="1"/>
  <c r="DN103" i="2" a="1"/>
  <c r="DN103" i="2" s="1"/>
  <c r="DN115" i="2" a="1"/>
  <c r="DN115" i="2" s="1"/>
  <c r="DN186" i="2" a="1"/>
  <c r="DN186" i="2" s="1"/>
  <c r="DN49" i="2" a="1"/>
  <c r="DN49" i="2" s="1"/>
  <c r="DN153" i="2" a="1"/>
  <c r="DN153" i="2" s="1"/>
  <c r="DN137" i="2" a="1"/>
  <c r="DN137" i="2" s="1"/>
  <c r="DN41" i="2" a="1"/>
  <c r="DN41" i="2" s="1"/>
  <c r="DN187" i="2" a="1"/>
  <c r="DN187" i="2" s="1"/>
  <c r="DN190" i="2" a="1"/>
  <c r="DN190" i="2" s="1"/>
  <c r="DN135" i="2" a="1"/>
  <c r="DN135" i="2" s="1"/>
  <c r="DN170" i="2" a="1"/>
  <c r="DN170" i="2" s="1"/>
  <c r="DN38" i="2" a="1"/>
  <c r="DN38" i="2" s="1"/>
  <c r="DN123" i="2" a="1"/>
  <c r="DN123" i="2" s="1"/>
  <c r="DN129" i="2" a="1"/>
  <c r="DN129" i="2" s="1"/>
  <c r="DN86" i="2" a="1"/>
  <c r="DN86" i="2" s="1"/>
  <c r="DN133" i="2" a="1"/>
  <c r="DN133" i="2" s="1"/>
  <c r="DN65" i="2" a="1"/>
  <c r="DN65" i="2" s="1"/>
  <c r="DN50" i="2" a="1"/>
  <c r="DN50" i="2" s="1"/>
  <c r="DN124" i="2" a="1"/>
  <c r="DN124" i="2" s="1"/>
  <c r="FS203" i="2"/>
  <c r="DN164" i="2" a="1"/>
  <c r="DN164" i="2" s="1"/>
  <c r="DN70" i="2" a="1"/>
  <c r="DN70" i="2" s="1"/>
  <c r="DN63" i="2" a="1"/>
  <c r="DN63" i="2" s="1"/>
  <c r="DN113" i="2" a="1"/>
  <c r="DN113" i="2" s="1"/>
  <c r="DN45" i="2" a="1"/>
  <c r="DN45" i="2" s="1"/>
  <c r="DN80" i="2" a="1"/>
  <c r="DN80" i="2" s="1"/>
  <c r="DN150" i="2" a="1"/>
  <c r="DN150" i="2" s="1"/>
  <c r="DN25" i="2" a="1"/>
  <c r="DN25" i="2" s="1"/>
  <c r="DN155" i="2" a="1"/>
  <c r="DN155" i="2" s="1"/>
  <c r="DN56" i="2" a="1"/>
  <c r="DN56" i="2" s="1"/>
  <c r="DN176" i="2" a="1"/>
  <c r="DN176" i="2" s="1"/>
  <c r="DN55" i="2" a="1"/>
  <c r="DN55" i="2" s="1"/>
  <c r="DN110" i="2" a="1"/>
  <c r="DN110" i="2" s="1"/>
  <c r="DN192" i="2" a="1"/>
  <c r="DN192" i="2" s="1"/>
  <c r="DN184" i="2" a="1"/>
  <c r="DN18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<sst xmlns="http://schemas.openxmlformats.org/spreadsheetml/2006/main" count="1178" uniqueCount="328">
  <si>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</si>
  <si>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</si>
  <si>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</si>
  <si>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</si>
  <si>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</si>
  <si>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</si>
  <si>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</si>
  <si>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</si>
  <si>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</si>
  <si>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</si>
  <si>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</si>
  <si>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</si>
  <si>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</si>
  <si>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</si>
  <si>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</si>
  <si>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</si>
  <si>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</si>
  <si>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</si>
  <si>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</si>
  <si>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</si>
  <si>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</si>
  <si>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</si>
  <si>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</si>
  <si>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</si>
  <si>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</si>
  <si>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</si>
  <si>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</si>
  <si>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</si>
  <si>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</si>
  <si>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</si>
  <si>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</si>
  <si>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</si>
  <si>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</si>
  <si>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</si>
  <si>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</si>
  <si>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</si>
  <si>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</si>
  <si>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</si>
  <si>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</si>
  <si>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</si>
  <si>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</si>
  <si>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</si>
  <si>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</si>
  <si>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</si>
  <si>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</si>
  <si>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</si>
  <si>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</si>
  <si>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</si>
  <si>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</si>
  <si>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</si>
  <si>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</si>
  <si>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</si>
  <si>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</si>
  <si>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</si>
  <si>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</si>
  <si>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</si>
  <si>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</si>
  <si>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</si>
  <si>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</si>
  <si>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</si>
  <si>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</si>
  <si>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</si>
  <si>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</si>
  <si>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</si>
  <si>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</si>
  <si>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</si>
  <si>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</si>
  <si>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</si>
  <si>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</si>
  <si>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</si>
  <si>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</si>
  <si>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</si>
  <si>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</si>
  <si>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</si>
  <si>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</si>
  <si>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</si>
  <si>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</si>
  <si>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</si>
  <si>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</si>
  <si>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</si>
  <si>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</si>
  <si>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</si>
  <si>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</si>
  <si>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</si>
  <si>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</si>
  <si>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</si>
  <si>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</si>
  <si>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</si>
  <si>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</si>
  <si>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</si>
  <si>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</si>
  <si>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</si>
  <si>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</si>
  <si>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</si>
  <si>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</si>
  <si>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</si>
  <si>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</si>
  <si>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</si>
  <si>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</si>
  <si>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</si>
  <si>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</si>
  <si>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</si>
  <si>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</si>
  <si>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</si>
  <si>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</si>
  <si>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</si>
  <si>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</si>
  <si>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</si>
  <si>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</si>
  <si>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</si>
  <si>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</si>
  <si>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</si>
  <si>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</si>
  <si>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</si>
  <si>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</si>
  <si>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</si>
  <si>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</si>
  <si>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</si>
  <si>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</si>
  <si>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</si>
  <si>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</si>
  <si>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</si>
  <si>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</si>
  <si>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</si>
  <si>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</si>
  <si>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</si>
  <si>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</si>
  <si>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</si>
  <si>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</si>
  <si>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</si>
  <si>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</si>
  <si>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</si>
  <si>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</si>
  <si>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</si>
  <si>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</si>
  <si>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</si>
  <si>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</si>
  <si>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</si>
  <si>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</si>
  <si>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</si>
  <si>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</si>
  <si>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</si>
  <si>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</si>
  <si>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</si>
  <si>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</si>
  <si>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</si>
  <si>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</si>
  <si>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</si>
  <si>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</si>
  <si>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</si>
  <si>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</si>
  <si>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</si>
  <si>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</si>
  <si>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</si>
  <si>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</si>
  <si>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</si>
  <si>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</si>
  <si>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</si>
  <si>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</si>
  <si>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</si>
  <si>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</si>
  <si>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</si>
  <si>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</si>
  <si>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</si>
  <si>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</si>
  <si>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</si>
  <si>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</si>
  <si>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</si>
  <si>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</si>
  <si>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</si>
  <si>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</si>
  <si>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</si>
  <si>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</si>
  <si>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</si>
  <si>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</si>
  <si>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</si>
  <si>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</si>
  <si>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</si>
  <si>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</si>
  <si>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</si>
  <si>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</si>
  <si>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</si>
  <si>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</si>
  <si>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</si>
  <si>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</si>
  <si>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</si>
  <si>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</si>
  <si>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</si>
  <si>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</si>
  <si>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</si>
  <si>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</si>
  <si>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</si>
  <si>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</si>
  <si>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</si>
  <si>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</si>
  <si>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</si>
  <si>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</si>
  <si>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</si>
  <si>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</si>
  <si>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</si>
  <si>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</si>
  <si>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</si>
  <si>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</si>
  <si>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</si>
  <si>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</si>
  <si>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</si>
  <si>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</si>
  <si>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</si>
  <si>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</si>
  <si>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</si>
  <si>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</si>
  <si>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</si>
  <si>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</si>
  <si>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</si>
  <si>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</si>
  <si>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</si>
  <si>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</si>
  <si>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</si>
  <si>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</si>
  <si>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</si>
  <si>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</si>
  <si>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</si>
  <si>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</si>
  <si>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</si>
  <si>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</si>
  <si>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</si>
  <si>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</si>
  <si>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</si>
  <si>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</si>
  <si>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</si>
  <si>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</si>
  <si>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</si>
  <si>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</si>
  <si>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</si>
  <si>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</si>
  <si>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</si>
  <si>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</si>
  <si>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</si>
  <si>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</si>
  <si>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</si>
  <si>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</si>
  <si>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</si>
  <si>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</si>
  <si>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</si>
  <si>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</si>
  <si>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</si>
  <si>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</si>
  <si>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</si>
  <si>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</si>
  <si>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</si>
  <si>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</si>
  <si>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</si>
  <si>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</si>
  <si>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</si>
  <si>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</si>
  <si>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</si>
  <si>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</si>
  <si>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</si>
  <si>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</si>
  <si>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</si>
  <si>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</si>
  <si>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</si>
  <si>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</si>
  <si>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</si>
  <si>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</si>
  <si>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</si>
  <si>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</si>
  <si>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</si>
  <si>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</si>
  <si>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</si>
  <si>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</si>
  <si>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</si>
  <si>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</si>
  <si>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</si>
  <si>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</si>
  <si>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</si>
  <si>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</si>
  <si>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</si>
  <si>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</si>
  <si>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</si>
  <si>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</si>
  <si>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</si>
  <si>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</si>
  <si>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</si>
  <si>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</si>
  <si>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</si>
  <si>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</si>
  <si>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</si>
  <si>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</si>
  <si>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</si>
  <si>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</si>
  <si>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</si>
  <si>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</si>
  <si>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</si>
  <si>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</si>
  <si>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</si>
  <si>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</si>
  <si>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</si>
  <si>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</si>
  <si>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</si>
  <si>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</si>
  <si>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</si>
  <si>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</si>
  <si>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</si>
  <si>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</si>
  <si>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</si>
  <si>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</si>
  <si>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</si>
  <si>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</si>
  <si>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</si>
  <si>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</si>
  <si>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</si>
  <si>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</si>
  <si>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</si>
  <si>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</si>
  <si>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</si>
  <si>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</si>
  <si>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</si>
  <si>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</si>
  <si>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</si>
  <si>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</si>
  <si>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</si>
  <si>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</si>
  <si>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</si>
  <si>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</si>
  <si>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CR</t>
  </si>
  <si>
    <t>ONF_F3</t>
  </si>
  <si>
    <t>ONF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</si>
</sst>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11.35989614757888</c:v>
                </c:pt>
                <c:pt idx="2">
                  <c:v>22.23045125293552</c:v>
                </c:pt>
                <c:pt idx="3">
                  <c:v>32.942973765038111</c:v>
                </c:pt>
                <c:pt idx="4">
                  <c:v>43.55808130964607</c:v>
                </c:pt>
                <c:pt idx="5">
                  <c:v>54.103247781930754</c:v>
                </c:pt>
                <c:pt idx="6">
                  <c:v>64.594145438765054</c:v>
                </c:pt>
                <c:pt idx="7">
                  <c:v>75.040877578178282</c:v>
                </c:pt>
                <c:pt idx="8">
                  <c:v>85.4504815461258</c:v>
                </c:pt>
                <c:pt idx="9">
                  <c:v>95.828129881407051</c:v>
                </c:pt>
                <c:pt idx="10">
                  <c:v>106.17777823694098</c:v>
                </c:pt>
                <c:pt idx="11">
                  <c:v>116.50254535445022</c:v>
                </c:pt>
                <c:pt idx="12">
                  <c:v>126.80495040793225</c:v>
                </c:pt>
                <c:pt idx="13">
                  <c:v>137.08706876672997</c:v>
                </c:pt>
                <c:pt idx="14">
                  <c:v>147.35063837500527</c:v>
                </c:pt>
                <c:pt idx="15">
                  <c:v>157.59713483059525</c:v>
                </c:pt>
                <c:pt idx="16">
                  <c:v>167.82782585410766</c:v>
                </c:pt>
                <c:pt idx="17">
                  <c:v>178.04381174459937</c:v>
                </c:pt>
                <c:pt idx="18">
                  <c:v>188.24605604162687</c:v>
                </c:pt>
                <c:pt idx="19">
                  <c:v>198.43540917816301</c:v>
                </c:pt>
                <c:pt idx="20">
                  <c:v>208.6126270118956</c:v>
                </c:pt>
                <c:pt idx="21">
                  <c:v>218.77838554494224</c:v>
                </c:pt>
                <c:pt idx="22">
                  <c:v>228.93329276036846</c:v>
                </c:pt>
                <c:pt idx="23">
                  <c:v>239.07789824577785</c:v>
                </c:pt>
                <c:pt idx="24">
                  <c:v>249.21270109600837</c:v>
                </c:pt>
                <c:pt idx="25">
                  <c:v>259.3381564615982</c:v>
                </c:pt>
                <c:pt idx="26">
                  <c:v>269.45468102000478</c:v>
                </c:pt>
                <c:pt idx="27">
                  <c:v>279.5626575814216</c:v>
                </c:pt>
                <c:pt idx="28">
                  <c:v>289.66243899307091</c:v>
                </c:pt>
                <c:pt idx="29">
                  <c:v>299.75435147006522</c:v>
                </c:pt>
                <c:pt idx="30">
                  <c:v>309.83869745393423</c:v>
                </c:pt>
                <c:pt idx="31">
                  <c:v>319.91575807930639</c:v>
                </c:pt>
                <c:pt idx="32">
                  <c:v>329.98579531336867</c:v>
                </c:pt>
                <c:pt idx="33">
                  <c:v>340.0490538203818</c:v>
                </c:pt>
                <c:pt idx="34">
                  <c:v>350.10576259384294</c:v>
                </c:pt>
                <c:pt idx="35">
                  <c:v>360.15613639123393</c:v>
                </c:pt>
                <c:pt idx="36">
                  <c:v>370.20037700018889</c:v>
                </c:pt>
                <c:pt idx="37">
                  <c:v>380.23867436002274</c:v>
                </c:pt>
                <c:pt idx="38">
                  <c:v>390.27120755860159</c:v>
                </c:pt>
                <c:pt idx="39">
                  <c:v>400.29814572133051</c:v>
                </c:pt>
                <c:pt idx="40">
                  <c:v>410.31964880639424</c:v>
                </c:pt>
                <c:pt idx="41">
                  <c:v>420.33586831823754</c:v>
                </c:pt>
                <c:pt idx="42">
                  <c:v>430.34694794947745</c:v>
                </c:pt>
                <c:pt idx="43">
                  <c:v>263.56532800299505</c:v>
                </c:pt>
                <c:pt idx="44">
                  <c:v>281.92883631188334</c:v>
                </c:pt>
                <c:pt idx="45">
                  <c:v>300.26554755523534</c:v>
                </c:pt>
                <c:pt idx="46">
                  <c:v>318.5773280369927</c:v>
                </c:pt>
                <c:pt idx="47">
                  <c:v>336.86581199649555</c:v>
                </c:pt>
                <c:pt idx="48">
                  <c:v>355.13244176037705</c:v>
                </c:pt>
                <c:pt idx="49">
                  <c:v>373.37849919705485</c:v>
                </c:pt>
                <c:pt idx="50">
                  <c:v>289.26547973409038</c:v>
                </c:pt>
                <c:pt idx="51">
                  <c:v>306.43274900266471</c:v>
                </c:pt>
                <c:pt idx="52">
                  <c:v>323.57864911522944</c:v>
                </c:pt>
                <c:pt idx="53">
                  <c:v>340.7044715198179</c:v>
                </c:pt>
                <c:pt idx="54">
                  <c:v>357.81136724463641</c:v>
                </c:pt>
                <c:pt idx="55">
                  <c:v>374.90036828951867</c:v>
                </c:pt>
                <c:pt idx="56">
                  <c:v>391.97240491215172</c:v>
                </c:pt>
                <c:pt idx="57">
                  <c:v>328.63685170924879</c:v>
                </c:pt>
                <c:pt idx="58">
                  <c:v>345.41152964920133</c:v>
                </c:pt>
                <c:pt idx="59">
                  <c:v>362.16832089235567</c:v>
                </c:pt>
                <c:pt idx="60">
                  <c:v>378.90816930722804</c:v>
                </c:pt>
                <c:pt idx="61">
                  <c:v>395.63192857364191</c:v>
                </c:pt>
                <c:pt idx="62">
                  <c:v>412.34037432772288</c:v>
                </c:pt>
                <c:pt idx="63">
                  <c:v>429.03421423555022</c:v>
                </c:pt>
                <c:pt idx="64">
                  <c:v>365.60102048549743</c:v>
                </c:pt>
                <c:pt idx="65">
                  <c:v>381.79555006185797</c:v>
                </c:pt>
                <c:pt idx="66">
                  <c:v>397.97514671505604</c:v>
                </c:pt>
                <c:pt idx="67">
                  <c:v>414.14050285277716</c:v>
                </c:pt>
                <c:pt idx="68">
                  <c:v>430.29225243168889</c:v>
                </c:pt>
                <c:pt idx="69">
                  <c:v>446.43097794606678</c:v>
                </c:pt>
                <c:pt idx="70">
                  <c:v>462.55721635326108</c:v>
                </c:pt>
                <c:pt idx="71">
                  <c:v>478.67146412990354</c:v>
                </c:pt>
                <c:pt idx="72">
                  <c:v>402.70123544112067</c:v>
                </c:pt>
                <c:pt idx="73">
                  <c:v>417.93216537382574</c:v>
                </c:pt>
                <c:pt idx="74">
                  <c:v>433.15113658077513</c:v>
                </c:pt>
                <c:pt idx="75">
                  <c:v>448.35862830746697</c:v>
                </c:pt>
                <c:pt idx="76">
                  <c:v>463.55508464541441</c:v>
                </c:pt>
                <c:pt idx="77">
                  <c:v>478.74091820264994</c:v>
                </c:pt>
                <c:pt idx="78">
                  <c:v>493.91651328433608</c:v>
                </c:pt>
                <c:pt idx="79">
                  <c:v>509.08222866221308</c:v>
                </c:pt>
                <c:pt idx="80">
                  <c:v>435.02410726001881</c:v>
                </c:pt>
                <c:pt idx="81">
                  <c:v>449.3298384852651</c:v>
                </c:pt>
                <c:pt idx="82">
                  <c:v>463.62582729842364</c:v>
                </c:pt>
                <c:pt idx="83">
                  <c:v>477.91241635863838</c:v>
                </c:pt>
                <c:pt idx="84">
                  <c:v>492.1899261722624</c:v>
                </c:pt>
                <c:pt idx="85">
                  <c:v>506.45865713950144</c:v>
                </c:pt>
                <c:pt idx="86">
                  <c:v>520.71889135845743</c:v>
                </c:pt>
                <c:pt idx="87">
                  <c:v>534.97089422131978</c:v>
                </c:pt>
                <c:pt idx="88">
                  <c:v>459.31506790830252</c:v>
                </c:pt>
                <c:pt idx="89">
                  <c:v>472.55866245034264</c:v>
                </c:pt>
                <c:pt idx="90">
                  <c:v>485.79435758557662</c:v>
                </c:pt>
                <c:pt idx="91">
                  <c:v>499.02239882475118</c:v>
                </c:pt>
                <c:pt idx="92">
                  <c:v>512.24301760358333</c:v>
                </c:pt>
                <c:pt idx="93">
                  <c:v>525.4564324397337</c:v>
                </c:pt>
                <c:pt idx="94">
                  <c:v>538.66284996737477</c:v>
                </c:pt>
                <c:pt idx="95">
                  <c:v>551.86246586504683</c:v>
                </c:pt>
                <c:pt idx="96">
                  <c:v>289.62732936866382</c:v>
                </c:pt>
                <c:pt idx="97">
                  <c:v>298.50706598822734</c:v>
                </c:pt>
                <c:pt idx="98">
                  <c:v>307.38091749238595</c:v>
                </c:pt>
                <c:pt idx="99">
                  <c:v>316.249077873207</c:v>
                </c:pt>
                <c:pt idx="100">
                  <c:v>325.11172934644003</c:v>
                </c:pt>
                <c:pt idx="101">
                  <c:v>333.96904337495596</c:v>
                </c:pt>
                <c:pt idx="102">
                  <c:v>342.82118157787562</c:v>
                </c:pt>
                <c:pt idx="103">
                  <c:v>351.66829654084057</c:v>
                </c:pt>
                <c:pt idx="104">
                  <c:v>360.51053254044433</c:v>
                </c:pt>
                <c:pt idx="105">
                  <c:v>369.34802619384442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1.704104346396196</c:v>
                </c:pt>
                <c:pt idx="2">
                  <c:v>1.997817795745559</c:v>
                </c:pt>
                <c:pt idx="3">
                  <c:v>2.3423437898460904</c:v>
                </c:pt>
                <c:pt idx="4">
                  <c:v>2.7465039154767976</c:v>
                </c:pt>
                <c:pt idx="5">
                  <c:v>3.2206563398501058</c:v>
                </c:pt>
                <c:pt idx="6">
                  <c:v>3.7769642820306903</c:v>
                </c:pt>
                <c:pt idx="7">
                  <c:v>4.4297115252434045</c:v>
                </c:pt>
                <c:pt idx="8">
                  <c:v>5.1956732340483649</c:v>
                </c:pt>
                <c:pt idx="9">
                  <c:v>6.0945517956288251</c:v>
                </c:pt>
                <c:pt idx="10">
                  <c:v>7.1494891165339531</c:v>
                </c:pt>
                <c:pt idx="11">
                  <c:v>8.387668820559627</c:v>
                </c:pt>
                <c:pt idx="12">
                  <c:v>9.8410241634967992</c:v>
                </c:pt>
                <c:pt idx="13">
                  <c:v>11.547070269162338</c:v>
                </c:pt>
                <c:pt idx="14">
                  <c:v>13.549882572539316</c:v>
                </c:pt>
                <c:pt idx="15">
                  <c:v>15.901247217213713</c:v>
                </c:pt>
                <c:pt idx="16">
                  <c:v>18.66201369829005</c:v>
                </c:pt>
                <c:pt idx="17">
                  <c:v>21.903685389498751</c:v>
                </c:pt>
                <c:pt idx="18">
                  <c:v>25.710289886620075</c:v>
                </c:pt>
                <c:pt idx="19">
                  <c:v>30.180578506247247</c:v>
                </c:pt>
                <c:pt idx="20">
                  <c:v>35.430612996644278</c:v>
                </c:pt>
                <c:pt idx="21">
                  <c:v>41.596807778404155</c:v>
                </c:pt>
                <c:pt idx="22">
                  <c:v>48.839508110420148</c:v>
                </c:pt>
                <c:pt idx="23">
                  <c:v>57.347198793584305</c:v>
                </c:pt>
                <c:pt idx="24">
                  <c:v>67.341454760093711</c:v>
                </c:pt>
                <c:pt idx="25">
                  <c:v>79.082764597166076</c:v>
                </c:pt>
                <c:pt idx="26">
                  <c:v>92.877381246640297</c:v>
                </c:pt>
                <c:pt idx="27">
                  <c:v>109.08538142620021</c:v>
                </c:pt>
                <c:pt idx="28">
                  <c:v>128.13014746383186</c:v>
                </c:pt>
                <c:pt idx="29">
                  <c:v>150.50952308441916</c:v>
                </c:pt>
                <c:pt idx="30">
                  <c:v>176.80893924881809</c:v>
                </c:pt>
                <c:pt idx="31">
                  <c:v>207.71685861415708</c:v>
                </c:pt>
                <c:pt idx="32">
                  <c:v>244.04294896453294</c:v>
                </c:pt>
                <c:pt idx="33">
                  <c:v>286.73946870873027</c:v>
                </c:pt>
                <c:pt idx="34">
                  <c:v>336.92643320563343</c:v>
                </c:pt>
                <c:pt idx="35">
                  <c:v>240.78735345126222</c:v>
                </c:pt>
                <c:pt idx="36">
                  <c:v>257.96333045729415</c:v>
                </c:pt>
                <c:pt idx="37">
                  <c:v>275.1134597941047</c:v>
                </c:pt>
                <c:pt idx="38">
                  <c:v>292.23957938710726</c:v>
                </c:pt>
                <c:pt idx="39">
                  <c:v>309.34329411618654</c:v>
                </c:pt>
                <c:pt idx="40">
                  <c:v>326.42601688873862</c:v>
                </c:pt>
                <c:pt idx="41">
                  <c:v>343.48900065871186</c:v>
                </c:pt>
                <c:pt idx="42">
                  <c:v>360.53336374718884</c:v>
                </c:pt>
                <c:pt idx="43">
                  <c:v>377.56011012264042</c:v>
                </c:pt>
                <c:pt idx="44">
                  <c:v>306.70823919022098</c:v>
                </c:pt>
                <c:pt idx="45">
                  <c:v>322.35313713324871</c:v>
                </c:pt>
                <c:pt idx="46">
                  <c:v>337.98124879382232</c:v>
                </c:pt>
                <c:pt idx="47">
                  <c:v>353.59345956749917</c:v>
                </c:pt>
                <c:pt idx="48">
                  <c:v>369.19057028530955</c:v>
                </c:pt>
                <c:pt idx="49">
                  <c:v>384.77330859662766</c:v>
                </c:pt>
                <c:pt idx="50">
                  <c:v>400.34233841146147</c:v>
                </c:pt>
                <c:pt idx="51">
                  <c:v>415.89826779710933</c:v>
                </c:pt>
                <c:pt idx="52">
                  <c:v>431.44165563170139</c:v>
                </c:pt>
                <c:pt idx="53">
                  <c:v>372.80538436041343</c:v>
                </c:pt>
                <c:pt idx="54">
                  <c:v>387.06090729775877</c:v>
                </c:pt>
                <c:pt idx="55">
                  <c:v>401.30503173226475</c:v>
                </c:pt>
                <c:pt idx="56">
                  <c:v>415.53821919739977</c:v>
                </c:pt>
                <c:pt idx="57">
                  <c:v>429.76089703282014</c:v>
                </c:pt>
                <c:pt idx="58">
                  <c:v>443.97346198917921</c:v>
                </c:pt>
                <c:pt idx="59">
                  <c:v>458.17628334730517</c:v>
                </c:pt>
                <c:pt idx="60">
                  <c:v>472.36970563050181</c:v>
                </c:pt>
                <c:pt idx="61">
                  <c:v>486.55405097392025</c:v>
                </c:pt>
                <c:pt idx="62">
                  <c:v>500.7296212032972</c:v>
                </c:pt>
                <c:pt idx="63">
                  <c:v>434.91319488591353</c:v>
                </c:pt>
                <c:pt idx="64">
                  <c:v>447.39421813300993</c:v>
                </c:pt>
                <c:pt idx="65">
                  <c:v>459.86779019414934</c:v>
                </c:pt>
                <c:pt idx="66">
                  <c:v>472.33414164874415</c:v>
                </c:pt>
                <c:pt idx="67">
                  <c:v>484.79348991278385</c:v>
                </c:pt>
                <c:pt idx="68">
                  <c:v>497.24604031644066</c:v>
                </c:pt>
                <c:pt idx="69">
                  <c:v>509.69198706812244</c:v>
                </c:pt>
                <c:pt idx="70">
                  <c:v>522.13151411947536</c:v>
                </c:pt>
                <c:pt idx="71">
                  <c:v>534.56479594367818</c:v>
                </c:pt>
                <c:pt idx="72">
                  <c:v>546.99199823757579</c:v>
                </c:pt>
                <c:pt idx="73">
                  <c:v>481.49454017018076</c:v>
                </c:pt>
                <c:pt idx="74">
                  <c:v>491.99206122262177</c:v>
                </c:pt>
                <c:pt idx="75">
                  <c:v>502.48483400372714</c:v>
                </c:pt>
                <c:pt idx="76">
                  <c:v>512.97297164905785</c:v>
                </c:pt>
                <c:pt idx="77">
                  <c:v>523.45658229038543</c:v>
                </c:pt>
                <c:pt idx="78">
                  <c:v>533.93576937491866</c:v>
                </c:pt>
                <c:pt idx="79">
                  <c:v>544.41063195816992</c:v>
                </c:pt>
                <c:pt idx="80">
                  <c:v>554.88126497310884</c:v>
                </c:pt>
                <c:pt idx="81">
                  <c:v>565.34775947794776</c:v>
                </c:pt>
                <c:pt idx="82">
                  <c:v>575.81020288462628</c:v>
                </c:pt>
                <c:pt idx="83">
                  <c:v>586.26867916982792</c:v>
                </c:pt>
                <c:pt idx="84">
                  <c:v>596.72326907015974</c:v>
                </c:pt>
                <c:pt idx="85">
                  <c:v>522.21156041997722</c:v>
                </c:pt>
                <c:pt idx="86">
                  <c:v>530.65835138372609</c:v>
                </c:pt>
                <c:pt idx="87">
                  <c:v>539.10231337329117</c:v>
                </c:pt>
                <c:pt idx="88">
                  <c:v>547.54349695513713</c:v>
                </c:pt>
                <c:pt idx="89">
                  <c:v>555.98195100920418</c:v>
                </c:pt>
                <c:pt idx="90">
                  <c:v>564.41772281045303</c:v>
                </c:pt>
                <c:pt idx="91">
                  <c:v>572.85085810528494</c:v>
                </c:pt>
                <c:pt idx="92">
                  <c:v>581.28140118322233</c:v>
                </c:pt>
                <c:pt idx="93">
                  <c:v>589.70939494422078</c:v>
                </c:pt>
                <c:pt idx="94">
                  <c:v>598.13488096192737</c:v>
                </c:pt>
                <c:pt idx="95">
                  <c:v>606.55789954319505</c:v>
                </c:pt>
                <c:pt idx="96">
                  <c:v>614.9784897841156</c:v>
                </c:pt>
                <c:pt idx="97">
                  <c:v>533.79388152894137</c:v>
                </c:pt>
                <c:pt idx="98">
                  <c:v>540.42038354683268</c:v>
                </c:pt>
                <c:pt idx="99">
                  <c:v>547.04517897913945</c:v>
                </c:pt>
                <c:pt idx="100">
                  <c:v>553.66829141515575</c:v>
                </c:pt>
                <c:pt idx="101">
                  <c:v>560.28974383359127</c:v>
                </c:pt>
                <c:pt idx="102">
                  <c:v>566.90955862556223</c:v>
                </c:pt>
                <c:pt idx="103">
                  <c:v>573.52775761645341</c:v>
                </c:pt>
                <c:pt idx="104">
                  <c:v>580.14436208671611</c:v>
                </c:pt>
                <c:pt idx="105">
                  <c:v>586.75939279167244</c:v>
                </c:pt>
                <c:pt idx="106">
                  <c:v>593.37286998037405</c:v>
                </c:pt>
                <c:pt idx="107">
                  <c:v>599.98481341358115</c:v>
                </c:pt>
                <c:pt idx="108">
                  <c:v>606.59524238090523</c:v>
                </c:pt>
                <c:pt idx="109">
                  <c:v>534.6885499642093</c:v>
                </c:pt>
                <c:pt idx="110">
                  <c:v>539.83326946006639</c:v>
                </c:pt>
                <c:pt idx="111">
                  <c:v>544.9769589919714</c:v>
                </c:pt>
                <c:pt idx="112">
                  <c:v>550.11962965760983</c:v>
                </c:pt>
                <c:pt idx="113">
                  <c:v>555.26129233014706</c:v>
                </c:pt>
                <c:pt idx="114">
                  <c:v>560.40195766485374</c:v>
                </c:pt>
                <c:pt idx="115">
                  <c:v>565.54163610547505</c:v>
                </c:pt>
                <c:pt idx="116">
                  <c:v>570.68033789035644</c:v>
                </c:pt>
                <c:pt idx="117">
                  <c:v>575.81807305833763</c:v>
                </c:pt>
                <c:pt idx="118">
                  <c:v>580.95485145442512</c:v>
                </c:pt>
                <c:pt idx="119">
                  <c:v>586.09068273525281</c:v>
                </c:pt>
                <c:pt idx="120">
                  <c:v>591.22557637434227</c:v>
                </c:pt>
                <c:pt idx="121">
                  <c:v>2.6741562174905032E-12</c:v>
                </c:pt>
                <c:pt idx="122">
                  <c:v>2.6741562174905032E-12</c:v>
                </c:pt>
                <c:pt idx="123">
                  <c:v>2.6741562174905032E-12</c:v>
                </c:pt>
                <c:pt idx="124">
                  <c:v>2.6741562174905032E-12</c:v>
                </c:pt>
                <c:pt idx="125">
                  <c:v>2.6741562174905032E-12</c:v>
                </c:pt>
                <c:pt idx="126">
                  <c:v>2.6741562174905032E-12</c:v>
                </c:pt>
                <c:pt idx="127">
                  <c:v>2.6741562174905032E-12</c:v>
                </c:pt>
                <c:pt idx="128">
                  <c:v>2.6741562174905032E-12</c:v>
                </c:pt>
                <c:pt idx="129">
                  <c:v>2.6741562174905032E-12</c:v>
                </c:pt>
                <c:pt idx="130">
                  <c:v>2.6741562174905032E-12</c:v>
                </c:pt>
                <c:pt idx="131">
                  <c:v>2.6741562174905032E-12</c:v>
                </c:pt>
                <c:pt idx="132">
                  <c:v>2.6741562174905032E-12</c:v>
                </c:pt>
                <c:pt idx="133">
                  <c:v>2.6741562174905032E-12</c:v>
                </c:pt>
                <c:pt idx="134">
                  <c:v>2.6741562174905032E-12</c:v>
                </c:pt>
                <c:pt idx="135">
                  <c:v>2.6741562174905032E-12</c:v>
                </c:pt>
                <c:pt idx="136">
                  <c:v>2.6741562174905032E-12</c:v>
                </c:pt>
                <c:pt idx="137">
                  <c:v>2.6741562174905032E-12</c:v>
                </c:pt>
                <c:pt idx="138">
                  <c:v>2.6741562174905032E-12</c:v>
                </c:pt>
                <c:pt idx="139">
                  <c:v>2.6741562174905032E-12</c:v>
                </c:pt>
                <c:pt idx="140">
                  <c:v>2.6741562174905032E-12</c:v>
                </c:pt>
                <c:pt idx="141">
                  <c:v>2.6741562174905032E-12</c:v>
                </c:pt>
                <c:pt idx="142">
                  <c:v>2.6741562174905032E-12</c:v>
                </c:pt>
                <c:pt idx="143">
                  <c:v>2.6741562174905032E-12</c:v>
                </c:pt>
                <c:pt idx="144">
                  <c:v>2.6741562174905032E-12</c:v>
                </c:pt>
                <c:pt idx="145">
                  <c:v>2.6741562174905032E-12</c:v>
                </c:pt>
                <c:pt idx="146">
                  <c:v>2.6741562174905032E-12</c:v>
                </c:pt>
                <c:pt idx="147">
                  <c:v>2.6741562174905032E-12</c:v>
                </c:pt>
                <c:pt idx="148">
                  <c:v>2.6741562174905032E-12</c:v>
                </c:pt>
                <c:pt idx="149">
                  <c:v>2.6741562174905032E-12</c:v>
                </c:pt>
                <c:pt idx="150">
                  <c:v>2.6741562174905032E-12</c:v>
                </c:pt>
                <c:pt idx="151">
                  <c:v>2.6741562174905032E-12</c:v>
                </c:pt>
                <c:pt idx="152">
                  <c:v>2.6741562174905032E-12</c:v>
                </c:pt>
                <c:pt idx="153">
                  <c:v>2.6741562174905032E-12</c:v>
                </c:pt>
                <c:pt idx="154">
                  <c:v>2.6741562174905032E-12</c:v>
                </c:pt>
                <c:pt idx="155">
                  <c:v>2.6741562174905032E-12</c:v>
                </c:pt>
                <c:pt idx="156">
                  <c:v>2.6741562174905032E-12</c:v>
                </c:pt>
                <c:pt idx="157">
                  <c:v>2.6741562174905032E-12</c:v>
                </c:pt>
                <c:pt idx="158">
                  <c:v>2.6741562174905032E-12</c:v>
                </c:pt>
                <c:pt idx="159">
                  <c:v>2.6741562174905032E-12</c:v>
                </c:pt>
                <c:pt idx="160">
                  <c:v>2.6741562174905032E-12</c:v>
                </c:pt>
                <c:pt idx="161">
                  <c:v>2.6741562174905032E-12</c:v>
                </c:pt>
                <c:pt idx="162">
                  <c:v>2.6741562174905032E-12</c:v>
                </c:pt>
                <c:pt idx="163">
                  <c:v>2.6741562174905032E-12</c:v>
                </c:pt>
                <c:pt idx="164">
                  <c:v>2.6741562174905032E-12</c:v>
                </c:pt>
                <c:pt idx="165">
                  <c:v>2.6741562174905032E-12</c:v>
                </c:pt>
                <c:pt idx="166">
                  <c:v>2.6741562174905032E-12</c:v>
                </c:pt>
                <c:pt idx="167">
                  <c:v>2.6741562174905032E-12</c:v>
                </c:pt>
                <c:pt idx="168">
                  <c:v>2.6741562174905032E-12</c:v>
                </c:pt>
                <c:pt idx="169">
                  <c:v>2.6741562174905032E-12</c:v>
                </c:pt>
                <c:pt idx="170">
                  <c:v>2.6741562174905032E-12</c:v>
                </c:pt>
                <c:pt idx="171">
                  <c:v>2.6741562174905032E-12</c:v>
                </c:pt>
                <c:pt idx="172">
                  <c:v>2.6741562174905032E-12</c:v>
                </c:pt>
                <c:pt idx="173">
                  <c:v>2.6741562174905032E-12</c:v>
                </c:pt>
                <c:pt idx="174">
                  <c:v>2.6741562174905032E-12</c:v>
                </c:pt>
                <c:pt idx="175">
                  <c:v>2.6741562174905032E-12</c:v>
                </c:pt>
                <c:pt idx="176">
                  <c:v>2.6741562174905032E-12</c:v>
                </c:pt>
                <c:pt idx="177">
                  <c:v>2.6741562174905032E-12</c:v>
                </c:pt>
                <c:pt idx="178">
                  <c:v>2.6741562174905032E-12</c:v>
                </c:pt>
                <c:pt idx="179">
                  <c:v>2.6741562174905032E-12</c:v>
                </c:pt>
                <c:pt idx="180">
                  <c:v>2.6741562174905032E-12</c:v>
                </c:pt>
                <c:pt idx="181">
                  <c:v>2.6741562174905032E-12</c:v>
                </c:pt>
                <c:pt idx="182">
                  <c:v>2.6741562174905032E-12</c:v>
                </c:pt>
                <c:pt idx="183">
                  <c:v>2.6741562174905032E-12</c:v>
                </c:pt>
                <c:pt idx="184">
                  <c:v>2.6741562174905032E-12</c:v>
                </c:pt>
                <c:pt idx="185">
                  <c:v>2.6741562174905032E-12</c:v>
                </c:pt>
                <c:pt idx="186">
                  <c:v>2.6741562174905032E-12</c:v>
                </c:pt>
                <c:pt idx="187">
                  <c:v>2.6741562174905032E-12</c:v>
                </c:pt>
                <c:pt idx="188">
                  <c:v>2.6741562174905032E-12</c:v>
                </c:pt>
                <c:pt idx="189">
                  <c:v>2.6741562174905032E-12</c:v>
                </c:pt>
                <c:pt idx="190">
                  <c:v>2.6741562174905032E-12</c:v>
                </c:pt>
                <c:pt idx="191">
                  <c:v>2.6741562174905032E-12</c:v>
                </c:pt>
                <c:pt idx="192">
                  <c:v>2.6741562174905032E-12</c:v>
                </c:pt>
                <c:pt idx="193">
                  <c:v>2.6741562174905032E-12</c:v>
                </c:pt>
                <c:pt idx="194">
                  <c:v>2.6741562174905032E-12</c:v>
                </c:pt>
                <c:pt idx="195">
                  <c:v>2.6741562174905032E-12</c:v>
                </c:pt>
                <c:pt idx="196">
                  <c:v>2.6741562174905032E-12</c:v>
                </c:pt>
                <c:pt idx="197">
                  <c:v>2.6741562174905032E-12</c:v>
                </c:pt>
                <c:pt idx="198">
                  <c:v>2.6741562174905032E-12</c:v>
                </c:pt>
                <c:pt idx="199">
                  <c:v>2.6741562174905032E-12</c:v>
                </c:pt>
                <c:pt idx="200">
                  <c:v>2.6741562174905032E-12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C46" sqref="C46"/>
    </sheetView>
  </sheetViews>
  <sheetFormatPr baseColWidth="10" defaultRowHeight="14.25" x14ac:dyDescent="0.45"/>
  <cols>
    <col min="1" max="1" width="6.796875" customWidth="1"/>
    <col min="2" max="13" width="15.7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B9" sqref="B9:C11"/>
    </sheetView>
  </sheetViews>
  <sheetFormatPr baseColWidth="10" defaultColWidth="11.46484375" defaultRowHeight="14.25" x14ac:dyDescent="0.45"/>
  <cols>
    <col min="1" max="1" width="13.796875" style="23" customWidth="1"/>
    <col min="2" max="2" width="36.19921875" style="23" customWidth="1"/>
    <col min="3" max="3" width="14.796875" style="23" bestFit="1" customWidth="1"/>
    <col min="4" max="4" width="16.46484375" style="23" customWidth="1"/>
    <col min="5" max="5" width="23.19921875" style="23" customWidth="1"/>
    <col min="6" max="6" width="28.796875" style="23" bestFit="1" customWidth="1"/>
    <col min="7" max="8" width="14.796875" style="23" customWidth="1"/>
    <col min="9" max="9" width="17" style="23" customWidth="1"/>
    <col min="10" max="10" width="13.7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6.5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164</v>
      </c>
      <c r="C9" s="32">
        <v>0.5</v>
      </c>
      <c r="D9" s="33">
        <f t="shared" ref="D9:D18" si="0">C9*$C$5</f>
        <v>3.25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35</v>
      </c>
      <c r="C10" s="32">
        <v>0.28999999999999998</v>
      </c>
      <c r="D10" s="33">
        <f t="shared" si="0"/>
        <v>1.8849999999999998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18</v>
      </c>
      <c r="C11" s="32">
        <v>0.21</v>
      </c>
      <c r="D11" s="33">
        <f t="shared" si="0"/>
        <v>1.365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6.5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327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422.7</v>
      </c>
      <c r="C36" s="60">
        <v>1</v>
      </c>
      <c r="D36" s="60">
        <v>185.17</v>
      </c>
      <c r="E36" s="51">
        <v>0.6</v>
      </c>
      <c r="F36" s="51">
        <v>0.2</v>
      </c>
      <c r="G36" s="51">
        <v>0.2</v>
      </c>
      <c r="H36" s="51">
        <v>0</v>
      </c>
      <c r="I36" s="49">
        <f>IFERROR(B36/A36,"")</f>
        <v>10.064285714285713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49</v>
      </c>
      <c r="B37" s="60">
        <v>365.5</v>
      </c>
      <c r="C37" s="60">
        <v>2</v>
      </c>
      <c r="D37" s="60">
        <v>101.22000000000003</v>
      </c>
      <c r="E37" s="51">
        <v>0.6</v>
      </c>
      <c r="F37" s="51">
        <v>0.2</v>
      </c>
      <c r="G37" s="51">
        <v>0.2</v>
      </c>
      <c r="H37" s="51">
        <v>0</v>
      </c>
      <c r="I37" s="53">
        <f t="shared" ref="I37:I55" si="1">IF(A37&lt;&gt;0,(B37-(B36-D36))/(A37-A36),"")</f>
        <v>18.28142857142857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56</v>
      </c>
      <c r="B38" s="60">
        <v>384.15</v>
      </c>
      <c r="C38" s="60">
        <v>3</v>
      </c>
      <c r="D38" s="60">
        <v>80.21999999999997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17.124285714285715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63</v>
      </c>
      <c r="B39" s="60">
        <v>421.38</v>
      </c>
      <c r="C39" s="60">
        <v>4</v>
      </c>
      <c r="D39" s="60">
        <v>79.909999999999968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16.778571428571428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71</v>
      </c>
      <c r="B40" s="60">
        <v>471.35</v>
      </c>
      <c r="C40" s="60">
        <v>5</v>
      </c>
      <c r="D40" s="60">
        <v>91.730000000000018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16.234999999999999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79</v>
      </c>
      <c r="B41" s="60">
        <v>502.02</v>
      </c>
      <c r="C41" s="60">
        <v>6</v>
      </c>
      <c r="D41" s="60">
        <v>89.009999999999991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15.299999999999997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87</v>
      </c>
      <c r="B42" s="60">
        <v>528.16</v>
      </c>
      <c r="C42" s="60">
        <v>7</v>
      </c>
      <c r="D42" s="60">
        <v>89.649999999999977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14.393749999999997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95</v>
      </c>
      <c r="B43" s="60">
        <v>545.23</v>
      </c>
      <c r="C43" s="60">
        <v>8</v>
      </c>
      <c r="D43" s="60">
        <v>272.32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13.340000000000003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105</v>
      </c>
      <c r="B44" s="60">
        <v>361.46</v>
      </c>
      <c r="C44" s="60" t="s">
        <v>325</v>
      </c>
      <c r="D44" s="60">
        <v>361.46</v>
      </c>
      <c r="E44" s="51">
        <v>0.6</v>
      </c>
      <c r="F44" s="51">
        <v>0.2</v>
      </c>
      <c r="G44" s="51">
        <v>0.2</v>
      </c>
      <c r="H44" s="51">
        <v>0</v>
      </c>
      <c r="I44" s="49">
        <f t="shared" si="1"/>
        <v>8.8549999999999951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22</v>
      </c>
      <c r="B62" s="60">
        <v>129.56</v>
      </c>
      <c r="C62" s="60">
        <v>1</v>
      </c>
      <c r="D62" s="60">
        <v>52.620000000000005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5.8890909090909096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27</v>
      </c>
      <c r="B63" s="60">
        <v>155.85</v>
      </c>
      <c r="C63" s="60">
        <v>2</v>
      </c>
      <c r="D63" s="60">
        <v>37.929999999999993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15.782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33</v>
      </c>
      <c r="B64" s="60">
        <v>217.65</v>
      </c>
      <c r="C64" s="60">
        <v>3</v>
      </c>
      <c r="D64" s="60">
        <v>50.460000000000008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16.621666666666666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41</v>
      </c>
      <c r="B65" s="60">
        <v>300.74</v>
      </c>
      <c r="C65" s="60">
        <v>4</v>
      </c>
      <c r="D65" s="60">
        <v>72.16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16.693750000000001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50</v>
      </c>
      <c r="B66" s="60">
        <v>370.01</v>
      </c>
      <c r="C66" s="60">
        <v>5</v>
      </c>
      <c r="D66" s="60">
        <v>70.20999999999998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15.714444444444442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60</v>
      </c>
      <c r="B67" s="60">
        <v>440.94</v>
      </c>
      <c r="C67" s="60">
        <v>6</v>
      </c>
      <c r="D67" s="60">
        <v>69.839999999999975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14.113999999999999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70</v>
      </c>
      <c r="B68" s="60">
        <v>490.07</v>
      </c>
      <c r="C68" s="60">
        <v>7</v>
      </c>
      <c r="D68" s="60">
        <v>67.88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80</v>
      </c>
      <c r="B69" s="50">
        <v>520.03</v>
      </c>
      <c r="C69" s="50" t="s">
        <v>325</v>
      </c>
      <c r="D69" s="50">
        <v>520.03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9.7839999999999971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34</v>
      </c>
      <c r="B88" s="60">
        <v>275.44</v>
      </c>
      <c r="C88" s="60">
        <v>1</v>
      </c>
      <c r="D88" s="60">
        <v>94.509999999999991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8.1011764705882356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43</v>
      </c>
      <c r="B89" s="60">
        <v>309.51</v>
      </c>
      <c r="C89" s="60">
        <v>2</v>
      </c>
      <c r="D89" s="60">
        <v>72.429999999999978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14.286666666666665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52</v>
      </c>
      <c r="B90" s="60">
        <v>354.81</v>
      </c>
      <c r="C90" s="60">
        <v>3</v>
      </c>
      <c r="D90" s="60">
        <v>61.259999999999991</v>
      </c>
      <c r="E90" s="87">
        <v>0.6</v>
      </c>
      <c r="F90" s="87">
        <v>0.2</v>
      </c>
      <c r="G90" s="87">
        <v>0.2</v>
      </c>
      <c r="H90" s="87">
        <v>0</v>
      </c>
      <c r="I90" s="53">
        <f t="shared" si="3"/>
        <v>13.08111111111111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62</v>
      </c>
      <c r="B91" s="60">
        <v>413.24</v>
      </c>
      <c r="C91" s="60">
        <v>4</v>
      </c>
      <c r="D91" s="60">
        <v>66.019999999999982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11.968999999999999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72</v>
      </c>
      <c r="B92" s="60">
        <v>452.35</v>
      </c>
      <c r="C92" s="60">
        <v>5</v>
      </c>
      <c r="D92" s="60">
        <v>64.210000000000036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10.513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494.47</v>
      </c>
      <c r="C93" s="60">
        <v>6</v>
      </c>
      <c r="D93" s="60">
        <v>70.220000000000027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8.8608333333333373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96</v>
      </c>
      <c r="B94" s="60">
        <v>509.95</v>
      </c>
      <c r="C94" s="60">
        <v>7</v>
      </c>
      <c r="D94" s="60">
        <v>74.37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7.1416666666666657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108</v>
      </c>
      <c r="B95" s="60">
        <v>502.84</v>
      </c>
      <c r="C95" s="60">
        <v>8</v>
      </c>
      <c r="D95" s="60">
        <v>65.25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5.6049999999999995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120</v>
      </c>
      <c r="B96" s="60">
        <v>489.81</v>
      </c>
      <c r="C96" s="60" t="s">
        <v>325</v>
      </c>
      <c r="D96" s="60">
        <v>489.81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4.3516666666666692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6484375" defaultRowHeight="14.25" x14ac:dyDescent="0.45"/>
  <cols>
    <col min="1" max="1" width="5.796875" style="1" customWidth="1"/>
    <col min="2" max="2" width="14.19921875" style="1" customWidth="1"/>
    <col min="3" max="3" width="62.1992187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796875" style="4" bestFit="1" customWidth="1"/>
    <col min="2" max="4" width="11.46484375" style="4"/>
    <col min="5" max="5" width="9.53125" style="4" customWidth="1"/>
    <col min="6" max="7" width="11.46484375" style="4"/>
    <col min="8" max="8" width="10.79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96875" style="4" bestFit="1" customWidth="1"/>
    <col min="25" max="25" width="14.53125" style="4" bestFit="1" customWidth="1"/>
    <col min="26" max="26" width="12.46484375" style="4" bestFit="1" customWidth="1"/>
    <col min="27" max="27" width="9.79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19921875" style="4" bestFit="1" customWidth="1"/>
    <col min="45" max="45" width="11.796875" style="4" bestFit="1" customWidth="1"/>
    <col min="46" max="46" width="8.46484375" style="4" bestFit="1" customWidth="1"/>
    <col min="47" max="47" width="9.46484375" style="4" bestFit="1" customWidth="1"/>
    <col min="48" max="48" width="9.79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1992187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19921875" style="4" bestFit="1" customWidth="1"/>
    <col min="66" max="66" width="11.796875" style="4" bestFit="1" customWidth="1"/>
    <col min="67" max="67" width="8.46484375" style="4" bestFit="1" customWidth="1"/>
    <col min="68" max="68" width="9.46484375" style="4" bestFit="1" customWidth="1"/>
    <col min="69" max="69" width="9.79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7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19921875" style="4" bestFit="1" customWidth="1"/>
    <col min="87" max="87" width="11.796875" style="4" bestFit="1" customWidth="1"/>
    <col min="88" max="88" width="8.46484375" style="4" bestFit="1" customWidth="1"/>
    <col min="89" max="89" width="9.46484375" style="4" bestFit="1" customWidth="1"/>
    <col min="90" max="90" width="9.79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19921875" style="4" bestFit="1" customWidth="1"/>
    <col min="108" max="108" width="11.796875" style="4" bestFit="1" customWidth="1"/>
    <col min="109" max="109" width="8.46484375" style="4" bestFit="1" customWidth="1"/>
    <col min="110" max="110" width="9.46484375" style="4" bestFit="1" customWidth="1"/>
    <col min="111" max="111" width="9.79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1992187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19921875" style="4" bestFit="1" customWidth="1"/>
    <col min="129" max="129" width="11.796875" style="4" bestFit="1" customWidth="1"/>
    <col min="130" max="130" width="8.46484375" style="4" bestFit="1" customWidth="1"/>
    <col min="131" max="131" width="9.46484375" style="4" bestFit="1" customWidth="1"/>
    <col min="132" max="132" width="9.79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19921875" style="4" bestFit="1" customWidth="1"/>
    <col min="150" max="150" width="11.796875" style="4" bestFit="1" customWidth="1"/>
    <col min="151" max="151" width="8.46484375" style="4" bestFit="1" customWidth="1"/>
    <col min="152" max="152" width="9.46484375" style="4" bestFit="1" customWidth="1"/>
    <col min="153" max="153" width="9.79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19921875" style="4" bestFit="1" customWidth="1"/>
    <col min="171" max="171" width="11.796875" style="4" bestFit="1" customWidth="1"/>
    <col min="172" max="172" width="8.19921875" style="4" bestFit="1" customWidth="1"/>
    <col min="173" max="173" width="9.46484375" style="4" bestFit="1" customWidth="1"/>
    <col min="174" max="174" width="9.79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1992187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9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1992187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19921875" style="4" bestFit="1" customWidth="1"/>
    <col min="213" max="213" width="11.796875" style="4" bestFit="1" customWidth="1"/>
    <col min="214" max="214" width="8.46484375" style="4" bestFit="1" customWidth="1"/>
    <col min="215" max="215" width="9.46484375" style="4" bestFit="1" customWidth="1"/>
    <col min="216" max="216" width="9.79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263.84804661819163</v>
      </c>
      <c r="T3" s="59">
        <f>IF('Données projet'!E9&gt;30,$R$33-$H$33,LOOKUP('Données projet'!$E$9,$A$3:$A$203,R3:R203)-LOOKUP('Données projet'!$E$9,$A$3:$A$203,$H$3:$H$203))</f>
        <v>271.81541836379307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270.04187128233121</v>
      </c>
      <c r="AO3" s="59">
        <f>IF('Données projet'!E10&gt;30,$AM$33-$H$33,LOOKUP('Données projet'!$E$10,$A$3:$A$203,AM3:AM203)-LOOKUP('Données projet'!$E$10,$A$3:$A$203,$H$3:$H$203))</f>
        <v>183.82555940776064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293.82673322742102</v>
      </c>
      <c r="BJ3" s="59">
        <f>IF('Données projet'!E11&gt;30,$BH$33-$H$33,LOOKUP('Données projet'!$E$11,$A$3:$A$203,BH3:BH203)-LOOKUP('Données projet'!$E$11,$A$3:$A$203,$H$3:$H$203))</f>
        <v>138.78566015867693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10.064285714285713</v>
      </c>
      <c r="N4" s="13">
        <f>IF('Données projet'!$A$36&gt;35,N3+M4-V3,IF(A4&lt;'Données projet'!$A$36,$K$205^A4,IF(A4='Données projet'!$A$36,'Données projet'!$B$36,N3+M4-V3)))</f>
        <v>10.064285714285713</v>
      </c>
      <c r="O4" s="13">
        <f>N4*VLOOKUP('Données projet'!$B$9,Paramètres!$A$1:$I$89,3,0)*VLOOKUP('Données projet'!$B$9,Paramètres!$A$1:$I$89,5,0)</f>
        <v>4.7100857142857135</v>
      </c>
      <c r="P4" s="13">
        <f>EXP(-1.0587+0.8836*LN(O4)+0.284)</f>
        <v>1.8123426958074231</v>
      </c>
      <c r="Q4" s="20">
        <f t="shared" ref="Q4:Q34" si="2">(O4+P4)*0.475*44/12</f>
        <v>11.35989614757888</v>
      </c>
      <c r="R4" s="59">
        <f t="shared" si="0"/>
        <v>304.69322948091218</v>
      </c>
      <c r="S4" s="59">
        <f ca="1">AVERAGE(OFFSET($R$3,0,0,'Données projet'!$E$9+1,1))-AVERAGE(OFFSET($H$3,0,0,'Données projet'!$E$9+1,1))</f>
        <v>263.84804661819163</v>
      </c>
      <c r="T4" s="59">
        <f>$T$3</f>
        <v>271.81541836379307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5.8890909090909096</v>
      </c>
      <c r="AI4" s="13">
        <f>IF('Données projet'!$A$62&gt;35,AI3+AH4-AQ3,IF(A4&lt;'Données projet'!$A$62,$AF$205^A4,IF(A4='Données projet'!$A$62,'Données projet'!$B$62,AI3+AH4-AQ3)))</f>
        <v>1.2474449991725556</v>
      </c>
      <c r="AJ4" s="13">
        <f>AI4*VLOOKUP('Données projet'!$B$10,Paramètres!$A$1:$I$89,3,0)*VLOOKUP('Données projet'!$B$10,Paramètres!$A$1:$I$89,5,0)</f>
        <v>0.74597210950518822</v>
      </c>
      <c r="AK4" s="13">
        <f>EXP(-1.0587+0.8836*LN(AJ4)+0.284)</f>
        <v>0.35570481632934337</v>
      </c>
      <c r="AL4" s="20">
        <f t="shared" ref="AL4:AL67" si="4">(AJ4+AK4)*0.475*44/12</f>
        <v>1.9187539791618089</v>
      </c>
      <c r="AM4" s="59">
        <f t="shared" ref="AM4:AM67" si="5">AL4+(AD4+AE4)*44/12</f>
        <v>295.25208731249512</v>
      </c>
      <c r="AN4" s="59">
        <f ca="1">AVERAGE(OFFSET($AM$3,0,0,'Données projet'!$E$10+1,1))-AVERAGE(OFFSET($H$3,0,0,'Données projet'!$E$10+1,1))</f>
        <v>270.04187128233121</v>
      </c>
      <c r="AO4" s="59">
        <f>$AO$3</f>
        <v>183.82555940776064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8.1011764705882356</v>
      </c>
      <c r="BD4" s="12">
        <f>IF('Données projet'!$A$88&gt;35,BD3+BC4-BL3,IF(A4&lt;'Données projet'!$A$88,$BA$205^A4,IF(A4='Données projet'!$A$88,'Données projet'!$B$88,BD3+BC4-BL3)))</f>
        <v>1.1796834870079891</v>
      </c>
      <c r="BE4" s="13">
        <f>BD4*VLOOKUP('Données projet'!$B$11,Paramètres!$A$1:$I$89,3,0)*VLOOKUP('Données projet'!$B$11,Paramètres!$A$1:$I$89,5,0)</f>
        <v>0.65944306923746587</v>
      </c>
      <c r="BF4" s="13">
        <f>EXP(-1.0587+0.8836*LN(BE4)+0.284)</f>
        <v>0.31899004831058925</v>
      </c>
      <c r="BG4" s="20">
        <f t="shared" ref="BG4:BG67" si="7">(BE4+BF4)*0.475*44/12</f>
        <v>1.704104346396196</v>
      </c>
      <c r="BH4" s="59">
        <f t="shared" ref="BH4:BH67" si="8">BG4+(AY4+AZ4)*44/12</f>
        <v>295.03743767972952</v>
      </c>
      <c r="BI4" s="59">
        <f ca="1">AVERAGE(OFFSET($BH$3,0,0,'Données projet'!$E$11+1,1))-AVERAGE(OFFSET($H$3,0,0,'Données projet'!$E$11+1,1))</f>
        <v>293.82673322742102</v>
      </c>
      <c r="BJ4" s="59">
        <f>$BJ$3</f>
        <v>138.78566015867693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10.064285714285713</v>
      </c>
      <c r="N5" s="13">
        <f>IF('Données projet'!$A$36&gt;35,N4+M5-V4,IF(A5&lt;'Données projet'!$A$36,$K$205^A5,IF(A5='Données projet'!$A$36,'Données projet'!$B$36,N4+M5-V4)))</f>
        <v>20.128571428571426</v>
      </c>
      <c r="O5" s="13">
        <f>N5*VLOOKUP('Données projet'!$B$9,Paramètres!$A$1:$I$89,3,0)*VLOOKUP('Données projet'!$B$9,Paramètres!$A$1:$I$89,5,0)</f>
        <v>9.4201714285714271</v>
      </c>
      <c r="P5" s="13">
        <f t="shared" ref="P5:P68" si="33">EXP(-1.0587+0.8836*LN(O5)+0.284)</f>
        <v>3.3437240276594942</v>
      </c>
      <c r="Q5" s="20">
        <f t="shared" si="2"/>
        <v>22.23045125293552</v>
      </c>
      <c r="R5" s="59">
        <f t="shared" si="0"/>
        <v>315.56378458626881</v>
      </c>
      <c r="S5" s="59">
        <f ca="1">AVERAGE(OFFSET($R$3,0,0,'Données projet'!$E$9+1,1))-AVERAGE(OFFSET($H$3,0,0,'Données projet'!$E$9+1,1))</f>
        <v>263.84804661819163</v>
      </c>
      <c r="T5" s="59">
        <f t="shared" ref="T5:T68" si="34">$T$3</f>
        <v>271.81541836379307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5.8890909090909096</v>
      </c>
      <c r="AI5" s="13">
        <f>IF('Données projet'!$A$62&gt;35,AI4+AH5-AQ4,IF(A5&lt;'Données projet'!$A$62,$AF$205^A5,IF(A5='Données projet'!$A$62,'Données projet'!$B$62,AI4+AH5-AQ4)))</f>
        <v>1.5561190259606172</v>
      </c>
      <c r="AJ5" s="13">
        <f>AI5*VLOOKUP('Données projet'!$B$10,Paramètres!$A$1:$I$89,3,0)*VLOOKUP('Données projet'!$B$10,Paramètres!$A$1:$I$89,5,0)</f>
        <v>0.93055917752444917</v>
      </c>
      <c r="AK5" s="13">
        <f t="shared" ref="AK5:AK68" si="35">EXP(-1.0587+0.8836*LN(AJ5)+0.284)</f>
        <v>0.43244836584356472</v>
      </c>
      <c r="AL5" s="20">
        <f t="shared" si="4"/>
        <v>2.3739048046992908</v>
      </c>
      <c r="AM5" s="59">
        <f t="shared" si="5"/>
        <v>295.70723813803261</v>
      </c>
      <c r="AN5" s="59">
        <f ca="1">AVERAGE(OFFSET($AM$3,0,0,'Données projet'!$E$10+1,1))-AVERAGE(OFFSET($H$3,0,0,'Données projet'!$E$10+1,1))</f>
        <v>270.04187128233121</v>
      </c>
      <c r="AO5" s="59">
        <f t="shared" ref="AO5:AO68" si="36">$AO$3</f>
        <v>183.82555940776064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8.1011764705882356</v>
      </c>
      <c r="BD5" s="12">
        <f>IF('Données projet'!$A$88&gt;35,BD4+BC5-BL4,IF(A5&lt;'Données projet'!$A$88,$BA$205^A5,IF(A5='Données projet'!$A$88,'Données projet'!$B$88,BD4+BC5-BL4)))</f>
        <v>1.3916531295193284</v>
      </c>
      <c r="BE5" s="13">
        <f>BD5*VLOOKUP('Données projet'!$B$11,Paramètres!$A$1:$I$89,3,0)*VLOOKUP('Données projet'!$B$11,Paramètres!$A$1:$I$89,5,0)</f>
        <v>0.77793409940130454</v>
      </c>
      <c r="BF5" s="13">
        <f t="shared" ref="BF5:BF68" si="37">EXP(-1.0587+0.8836*LN(BE5)+0.284)</f>
        <v>0.36913831920858581</v>
      </c>
      <c r="BG5" s="20">
        <f t="shared" si="7"/>
        <v>1.997817795745559</v>
      </c>
      <c r="BH5" s="59">
        <f t="shared" si="8"/>
        <v>295.33115112907888</v>
      </c>
      <c r="BI5" s="59">
        <f ca="1">AVERAGE(OFFSET($BH$3,0,0,'Données projet'!$E$11+1,1))-AVERAGE(OFFSET($H$3,0,0,'Données projet'!$E$11+1,1))</f>
        <v>293.82673322742102</v>
      </c>
      <c r="BJ5" s="59">
        <f t="shared" ref="BJ5:BJ68" si="38">$BJ$3</f>
        <v>138.78566015867693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10.064285714285713</v>
      </c>
      <c r="N6" s="13">
        <f>IF('Données projet'!$A$36&gt;35,N5+M6-V5,IF(A6&lt;'Données projet'!$A$36,$K$205^A6,IF(A6='Données projet'!$A$36,'Données projet'!$B$36,N5+M6-V5)))</f>
        <v>30.19285714285714</v>
      </c>
      <c r="O6" s="13">
        <f>N6*VLOOKUP('Données projet'!$B$9,Paramètres!$A$1:$I$89,3,0)*VLOOKUP('Données projet'!$B$9,Paramètres!$A$1:$I$89,5,0)</f>
        <v>14.130257142857142</v>
      </c>
      <c r="P6" s="13">
        <f t="shared" si="33"/>
        <v>4.7843689423322058</v>
      </c>
      <c r="Q6" s="20">
        <f t="shared" si="2"/>
        <v>32.942973765038111</v>
      </c>
      <c r="R6" s="59">
        <f t="shared" si="0"/>
        <v>326.27630709837143</v>
      </c>
      <c r="S6" s="59">
        <f ca="1">AVERAGE(OFFSET($R$3,0,0,'Données projet'!$E$9+1,1))-AVERAGE(OFFSET($H$3,0,0,'Données projet'!$E$9+1,1))</f>
        <v>263.84804661819163</v>
      </c>
      <c r="T6" s="59">
        <f t="shared" si="34"/>
        <v>271.81541836379307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5.8890909090909096</v>
      </c>
      <c r="AI6" s="13">
        <f>IF('Données projet'!$A$62&gt;35,AI5+AH6-AQ5,IF(A6&lt;'Données projet'!$A$62,$AF$205^A6,IF(A6='Données projet'!$A$62,'Données projet'!$B$62,AI5+AH6-AQ5)))</f>
        <v>1.9411728970518403</v>
      </c>
      <c r="AJ6" s="13">
        <f>AI6*VLOOKUP('Données projet'!$B$10,Paramètres!$A$1:$I$89,3,0)*VLOOKUP('Données projet'!$B$10,Paramètres!$A$1:$I$89,5,0)</f>
        <v>1.1608213924370006</v>
      </c>
      <c r="AK6" s="13">
        <f t="shared" si="35"/>
        <v>0.52574938695127893</v>
      </c>
      <c r="AL6" s="20">
        <f t="shared" si="4"/>
        <v>2.9374441074345867</v>
      </c>
      <c r="AM6" s="59">
        <f t="shared" si="5"/>
        <v>296.27077744076792</v>
      </c>
      <c r="AN6" s="59">
        <f ca="1">AVERAGE(OFFSET($AM$3,0,0,'Données projet'!$E$10+1,1))-AVERAGE(OFFSET($H$3,0,0,'Données projet'!$E$10+1,1))</f>
        <v>270.04187128233121</v>
      </c>
      <c r="AO6" s="59">
        <f t="shared" si="36"/>
        <v>183.82555940776064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8.1011764705882356</v>
      </c>
      <c r="BD6" s="12">
        <f>IF('Données projet'!$A$88&gt;35,BD5+BC6-BL5,IF(A6&lt;'Données projet'!$A$88,$BA$205^A6,IF(A6='Données projet'!$A$88,'Données projet'!$B$88,BD5+BC6-BL5)))</f>
        <v>1.6417102165369419</v>
      </c>
      <c r="BE6" s="13">
        <f>BD6*VLOOKUP('Données projet'!$B$11,Paramètres!$A$1:$I$89,3,0)*VLOOKUP('Données projet'!$B$11,Paramètres!$A$1:$I$89,5,0)</f>
        <v>0.91771601104415057</v>
      </c>
      <c r="BF6" s="13">
        <f t="shared" si="37"/>
        <v>0.42717037547035097</v>
      </c>
      <c r="BG6" s="20">
        <f t="shared" si="7"/>
        <v>2.3423437898460904</v>
      </c>
      <c r="BH6" s="59">
        <f t="shared" si="8"/>
        <v>295.67567712317941</v>
      </c>
      <c r="BI6" s="59">
        <f ca="1">AVERAGE(OFFSET($BH$3,0,0,'Données projet'!$E$11+1,1))-AVERAGE(OFFSET($H$3,0,0,'Données projet'!$E$11+1,1))</f>
        <v>293.82673322742102</v>
      </c>
      <c r="BJ6" s="59">
        <f t="shared" si="38"/>
        <v>138.78566015867693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10.064285714285713</v>
      </c>
      <c r="N7" s="13">
        <f>IF('Données projet'!$A$36&gt;35,N6+M7-V6,IF(A7&lt;'Données projet'!$A$36,$K$205^A7,IF(A7='Données projet'!$A$36,'Données projet'!$B$36,N6+M7-V6)))</f>
        <v>40.257142857142853</v>
      </c>
      <c r="O7" s="13">
        <f>N7*VLOOKUP('Données projet'!$B$9,Paramètres!$A$1:$I$89,3,0)*VLOOKUP('Données projet'!$B$9,Paramètres!$A$1:$I$89,5,0)</f>
        <v>18.840342857142854</v>
      </c>
      <c r="P7" s="13">
        <f t="shared" si="33"/>
        <v>6.1690818182520228</v>
      </c>
      <c r="Q7" s="20">
        <f t="shared" si="2"/>
        <v>43.55808130964607</v>
      </c>
      <c r="R7" s="59">
        <f t="shared" si="0"/>
        <v>336.89141464297938</v>
      </c>
      <c r="S7" s="59">
        <f ca="1">AVERAGE(OFFSET($R$3,0,0,'Données projet'!$E$9+1,1))-AVERAGE(OFFSET($H$3,0,0,'Données projet'!$E$9+1,1))</f>
        <v>263.84804661819163</v>
      </c>
      <c r="T7" s="59">
        <f t="shared" si="34"/>
        <v>271.81541836379307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5.8890909090909096</v>
      </c>
      <c r="AI7" s="13">
        <f>IF('Données projet'!$A$62&gt;35,AI6+AH7-AQ6,IF(A7&lt;'Données projet'!$A$62,$AF$205^A7,IF(A7='Données projet'!$A$62,'Données projet'!$B$62,AI6+AH7-AQ6)))</f>
        <v>2.4215064229566203</v>
      </c>
      <c r="AJ7" s="13">
        <f>AI7*VLOOKUP('Données projet'!$B$10,Paramètres!$A$1:$I$89,3,0)*VLOOKUP('Données projet'!$B$10,Paramètres!$A$1:$I$89,5,0)</f>
        <v>1.4480608409280591</v>
      </c>
      <c r="AK7" s="13">
        <f t="shared" si="35"/>
        <v>0.63918016510585218</v>
      </c>
      <c r="AL7" s="20">
        <f t="shared" si="4"/>
        <v>3.6352780855090621</v>
      </c>
      <c r="AM7" s="59">
        <f t="shared" si="5"/>
        <v>296.96861141884239</v>
      </c>
      <c r="AN7" s="59">
        <f ca="1">AVERAGE(OFFSET($AM$3,0,0,'Données projet'!$E$10+1,1))-AVERAGE(OFFSET($H$3,0,0,'Données projet'!$E$10+1,1))</f>
        <v>270.04187128233121</v>
      </c>
      <c r="AO7" s="59">
        <f t="shared" si="36"/>
        <v>183.82555940776064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8.1011764705882356</v>
      </c>
      <c r="BD7" s="12">
        <f>IF('Données projet'!$A$88&gt;35,BD6+BC7-BL6,IF(A7&lt;'Données projet'!$A$88,$BA$205^A7,IF(A7='Données projet'!$A$88,'Données projet'!$B$88,BD6+BC7-BL6)))</f>
        <v>1.9366984329009407</v>
      </c>
      <c r="BE7" s="13">
        <f>BD7*VLOOKUP('Données projet'!$B$11,Paramètres!$A$1:$I$89,3,0)*VLOOKUP('Données projet'!$B$11,Paramètres!$A$1:$I$89,5,0)</f>
        <v>1.0826144239916258</v>
      </c>
      <c r="BF7" s="13">
        <f t="shared" si="37"/>
        <v>0.49432562317208611</v>
      </c>
      <c r="BG7" s="20">
        <f t="shared" si="7"/>
        <v>2.7465039154767976</v>
      </c>
      <c r="BH7" s="59">
        <f t="shared" si="8"/>
        <v>296.07983724881012</v>
      </c>
      <c r="BI7" s="59">
        <f ca="1">AVERAGE(OFFSET($BH$3,0,0,'Données projet'!$E$11+1,1))-AVERAGE(OFFSET($H$3,0,0,'Données projet'!$E$11+1,1))</f>
        <v>293.82673322742102</v>
      </c>
      <c r="BJ7" s="59">
        <f t="shared" si="38"/>
        <v>138.78566015867693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10.064285714285713</v>
      </c>
      <c r="N8" s="13">
        <f>IF('Données projet'!$A$36&gt;35,N7+M8-V7,IF(A8&lt;'Données projet'!$A$36,$K$205^A8,IF(A8='Données projet'!$A$36,'Données projet'!$B$36,N7+M8-V7)))</f>
        <v>50.321428571428569</v>
      </c>
      <c r="O8" s="13">
        <f>N8*VLOOKUP('Données projet'!$B$9,Paramètres!$A$1:$I$89,3,0)*VLOOKUP('Données projet'!$B$9,Paramètres!$A$1:$I$89,5,0)</f>
        <v>23.550428571428569</v>
      </c>
      <c r="P8" s="13">
        <f t="shared" si="33"/>
        <v>7.5136371406847839</v>
      </c>
      <c r="Q8" s="20">
        <f t="shared" si="2"/>
        <v>54.103247781930754</v>
      </c>
      <c r="R8" s="59">
        <f t="shared" si="0"/>
        <v>347.43658111526406</v>
      </c>
      <c r="S8" s="59">
        <f ca="1">AVERAGE(OFFSET($R$3,0,0,'Données projet'!$E$9+1,1))-AVERAGE(OFFSET($H$3,0,0,'Données projet'!$E$9+1,1))</f>
        <v>263.84804661819163</v>
      </c>
      <c r="T8" s="59">
        <f t="shared" si="34"/>
        <v>271.81541836379307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5.8890909090909096</v>
      </c>
      <c r="AI8" s="13">
        <f>IF('Données projet'!$A$62&gt;35,AI7+AH8-AQ7,IF(A8&lt;'Données projet'!$A$62,$AF$205^A8,IF(A8='Données projet'!$A$62,'Données projet'!$B$62,AI7+AH8-AQ7)))</f>
        <v>3.0206960777814591</v>
      </c>
      <c r="AJ8" s="13">
        <f>AI8*VLOOKUP('Données projet'!$B$10,Paramètres!$A$1:$I$89,3,0)*VLOOKUP('Données projet'!$B$10,Paramètres!$A$1:$I$89,5,0)</f>
        <v>1.8063762545133126</v>
      </c>
      <c r="AK8" s="13">
        <f t="shared" si="35"/>
        <v>0.77708370871120902</v>
      </c>
      <c r="AL8" s="20">
        <f t="shared" si="4"/>
        <v>4.4995261026160422</v>
      </c>
      <c r="AM8" s="59">
        <f t="shared" si="5"/>
        <v>297.83285943594933</v>
      </c>
      <c r="AN8" s="59">
        <f ca="1">AVERAGE(OFFSET($AM$3,0,0,'Données projet'!$E$10+1,1))-AVERAGE(OFFSET($H$3,0,0,'Données projet'!$E$10+1,1))</f>
        <v>270.04187128233121</v>
      </c>
      <c r="AO8" s="59">
        <f t="shared" si="36"/>
        <v>183.82555940776064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8.1011764705882356</v>
      </c>
      <c r="BD8" s="12">
        <f>IF('Données projet'!$A$88&gt;35,BD7+BC8-BL7,IF(A8&lt;'Données projet'!$A$88,$BA$205^A8,IF(A8='Données projet'!$A$88,'Données projet'!$B$88,BD7+BC8-BL7)))</f>
        <v>2.2846911606074896</v>
      </c>
      <c r="BE8" s="13">
        <f>BD8*VLOOKUP('Données projet'!$B$11,Paramètres!$A$1:$I$89,3,0)*VLOOKUP('Données projet'!$B$11,Paramètres!$A$1:$I$89,5,0)</f>
        <v>1.2771423587795867</v>
      </c>
      <c r="BF8" s="13">
        <f t="shared" si="37"/>
        <v>0.57203831481856038</v>
      </c>
      <c r="BG8" s="20">
        <f t="shared" si="7"/>
        <v>3.2206563398501058</v>
      </c>
      <c r="BH8" s="59">
        <f t="shared" si="8"/>
        <v>296.55398967318342</v>
      </c>
      <c r="BI8" s="59">
        <f ca="1">AVERAGE(OFFSET($BH$3,0,0,'Données projet'!$E$11+1,1))-AVERAGE(OFFSET($H$3,0,0,'Données projet'!$E$11+1,1))</f>
        <v>293.82673322742102</v>
      </c>
      <c r="BJ8" s="59">
        <f t="shared" si="38"/>
        <v>138.78566015867693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10.064285714285713</v>
      </c>
      <c r="N9" s="13">
        <f>IF('Données projet'!$A$36&gt;35,N8+M9-V8,IF(A9&lt;'Données projet'!$A$36,$K$205^A9,IF(A9='Données projet'!$A$36,'Données projet'!$B$36,N8+M9-V8)))</f>
        <v>60.385714285714286</v>
      </c>
      <c r="O9" s="13">
        <f>N9*VLOOKUP('Données projet'!$B$9,Paramètres!$A$1:$I$89,3,0)*VLOOKUP('Données projet'!$B$9,Paramètres!$A$1:$I$89,5,0)</f>
        <v>28.260514285714287</v>
      </c>
      <c r="P9" s="13">
        <f t="shared" si="33"/>
        <v>8.827033334629288</v>
      </c>
      <c r="Q9" s="20">
        <f t="shared" si="2"/>
        <v>64.594145438765054</v>
      </c>
      <c r="R9" s="59">
        <f t="shared" si="0"/>
        <v>357.92747877209837</v>
      </c>
      <c r="S9" s="59">
        <f ca="1">AVERAGE(OFFSET($R$3,0,0,'Données projet'!$E$9+1,1))-AVERAGE(OFFSET($H$3,0,0,'Données projet'!$E$9+1,1))</f>
        <v>263.84804661819163</v>
      </c>
      <c r="T9" s="59">
        <f t="shared" si="34"/>
        <v>271.81541836379307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5.8890909090909096</v>
      </c>
      <c r="AI9" s="13">
        <f>IF('Données projet'!$A$62&gt;35,AI8+AH9-AQ8,IF(A9&lt;'Données projet'!$A$62,$AF$205^A9,IF(A9='Données projet'!$A$62,'Données projet'!$B$62,AI8+AH9-AQ8)))</f>
        <v>3.7681522162486343</v>
      </c>
      <c r="AJ9" s="13">
        <f>AI9*VLOOKUP('Données projet'!$B$10,Paramètres!$A$1:$I$89,3,0)*VLOOKUP('Données projet'!$B$10,Paramètres!$A$1:$I$89,5,0)</f>
        <v>2.2533550253166834</v>
      </c>
      <c r="AK9" s="13">
        <f t="shared" si="35"/>
        <v>0.94474003310844989</v>
      </c>
      <c r="AL9" s="20">
        <f t="shared" si="4"/>
        <v>5.5700155600904404</v>
      </c>
      <c r="AM9" s="59">
        <f t="shared" si="5"/>
        <v>298.90334889342375</v>
      </c>
      <c r="AN9" s="59">
        <f ca="1">AVERAGE(OFFSET($AM$3,0,0,'Données projet'!$E$10+1,1))-AVERAGE(OFFSET($H$3,0,0,'Données projet'!$E$10+1,1))</f>
        <v>270.04187128233121</v>
      </c>
      <c r="AO9" s="59">
        <f t="shared" si="36"/>
        <v>183.82555940776064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8.1011764705882356</v>
      </c>
      <c r="BD9" s="12">
        <f>IF('Données projet'!$A$88&gt;35,BD8+BC9-BL8,IF(A9&lt;'Données projet'!$A$88,$BA$205^A9,IF(A9='Données projet'!$A$88,'Données projet'!$B$88,BD8+BC9-BL8)))</f>
        <v>2.695212435081773</v>
      </c>
      <c r="BE9" s="13">
        <f>BD9*VLOOKUP('Données projet'!$B$11,Paramètres!$A$1:$I$89,3,0)*VLOOKUP('Données projet'!$B$11,Paramètres!$A$1:$I$89,5,0)</f>
        <v>1.5066237512107112</v>
      </c>
      <c r="BF9" s="13">
        <f t="shared" si="37"/>
        <v>0.66196818105571442</v>
      </c>
      <c r="BG9" s="20">
        <f t="shared" si="7"/>
        <v>3.7769642820306903</v>
      </c>
      <c r="BH9" s="59">
        <f t="shared" si="8"/>
        <v>297.110297615364</v>
      </c>
      <c r="BI9" s="59">
        <f ca="1">AVERAGE(OFFSET($BH$3,0,0,'Données projet'!$E$11+1,1))-AVERAGE(OFFSET($H$3,0,0,'Données projet'!$E$11+1,1))</f>
        <v>293.82673322742102</v>
      </c>
      <c r="BJ9" s="59">
        <f t="shared" si="38"/>
        <v>138.78566015867693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10.064285714285713</v>
      </c>
      <c r="N10" s="13">
        <f>IF('Données projet'!$A$36&gt;35,N9+M10-V9,IF(A10&lt;'Données projet'!$A$36,$K$205^A10,IF(A10='Données projet'!$A$36,'Données projet'!$B$36,N9+M10-V9)))</f>
        <v>70.45</v>
      </c>
      <c r="O10" s="13">
        <f>N10*VLOOKUP('Données projet'!$B$9,Paramètres!$A$1:$I$89,3,0)*VLOOKUP('Données projet'!$B$9,Paramètres!$A$1:$I$89,5,0)</f>
        <v>32.970599999999997</v>
      </c>
      <c r="P10" s="13">
        <f t="shared" si="33"/>
        <v>10.115071336753079</v>
      </c>
      <c r="Q10" s="20">
        <f t="shared" si="2"/>
        <v>75.040877578178282</v>
      </c>
      <c r="R10" s="59">
        <f t="shared" si="0"/>
        <v>368.37421091151157</v>
      </c>
      <c r="S10" s="59">
        <f ca="1">AVERAGE(OFFSET($R$3,0,0,'Données projet'!$E$9+1,1))-AVERAGE(OFFSET($H$3,0,0,'Données projet'!$E$9+1,1))</f>
        <v>263.84804661819163</v>
      </c>
      <c r="T10" s="59">
        <f t="shared" si="34"/>
        <v>271.81541836379307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5.8890909090909096</v>
      </c>
      <c r="AI10" s="13">
        <f>IF('Données projet'!$A$62&gt;35,AI9+AH10-AQ9,IF(A10&lt;'Données projet'!$A$62,$AF$205^A10,IF(A10='Données projet'!$A$62,'Données projet'!$B$62,AI9+AH10-AQ9)))</f>
        <v>4.7005626382803412</v>
      </c>
      <c r="AJ10" s="13">
        <f>AI10*VLOOKUP('Données projet'!$B$10,Paramètres!$A$1:$I$89,3,0)*VLOOKUP('Données projet'!$B$10,Paramètres!$A$1:$I$89,5,0)</f>
        <v>2.8109364576916445</v>
      </c>
      <c r="AK10" s="13">
        <f t="shared" si="35"/>
        <v>1.1485683204426194</v>
      </c>
      <c r="AL10" s="20">
        <f t="shared" si="4"/>
        <v>6.8961374885838422</v>
      </c>
      <c r="AM10" s="59">
        <f t="shared" si="5"/>
        <v>300.22947082191718</v>
      </c>
      <c r="AN10" s="59">
        <f ca="1">AVERAGE(OFFSET($AM$3,0,0,'Données projet'!$E$10+1,1))-AVERAGE(OFFSET($H$3,0,0,'Données projet'!$E$10+1,1))</f>
        <v>270.04187128233121</v>
      </c>
      <c r="AO10" s="59">
        <f t="shared" si="36"/>
        <v>183.82555940776064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8.1011764705882356</v>
      </c>
      <c r="BD10" s="12">
        <f>IF('Données projet'!$A$88&gt;35,BD9+BC10-BL9,IF(A10&lt;'Données projet'!$A$88,$BA$205^A10,IF(A10='Données projet'!$A$88,'Données projet'!$B$88,BD9+BC10-BL9)))</f>
        <v>3.1794976036445592</v>
      </c>
      <c r="BE10" s="13">
        <f>BD10*VLOOKUP('Données projet'!$B$11,Paramètres!$A$1:$I$89,3,0)*VLOOKUP('Données projet'!$B$11,Paramètres!$A$1:$I$89,5,0)</f>
        <v>1.7773391604373086</v>
      </c>
      <c r="BF10" s="13">
        <f t="shared" si="37"/>
        <v>0.7660358779799572</v>
      </c>
      <c r="BG10" s="20">
        <f t="shared" si="7"/>
        <v>4.4297115252434045</v>
      </c>
      <c r="BH10" s="59">
        <f t="shared" si="8"/>
        <v>297.76304485857673</v>
      </c>
      <c r="BI10" s="59">
        <f ca="1">AVERAGE(OFFSET($BH$3,0,0,'Données projet'!$E$11+1,1))-AVERAGE(OFFSET($H$3,0,0,'Données projet'!$E$11+1,1))</f>
        <v>293.82673322742102</v>
      </c>
      <c r="BJ10" s="59">
        <f t="shared" si="38"/>
        <v>138.78566015867693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10.064285714285713</v>
      </c>
      <c r="N11" s="13">
        <f>IF('Données projet'!$A$36&gt;35,N10+M11-V10,IF(A11&lt;'Données projet'!$A$36,$K$205^A11,IF(A11='Données projet'!$A$36,'Données projet'!$B$36,N10+M11-V10)))</f>
        <v>80.51428571428572</v>
      </c>
      <c r="O11" s="13">
        <f>N11*VLOOKUP('Données projet'!$B$9,Paramètres!$A$1:$I$89,3,0)*VLOOKUP('Données projet'!$B$9,Paramètres!$A$1:$I$89,5,0)</f>
        <v>37.680685714285715</v>
      </c>
      <c r="P11" s="13">
        <f t="shared" si="33"/>
        <v>11.381791728465947</v>
      </c>
      <c r="Q11" s="20">
        <f t="shared" si="2"/>
        <v>85.4504815461258</v>
      </c>
      <c r="R11" s="59">
        <f t="shared" si="0"/>
        <v>378.7838148794591</v>
      </c>
      <c r="S11" s="59">
        <f ca="1">AVERAGE(OFFSET($R$3,0,0,'Données projet'!$E$9+1,1))-AVERAGE(OFFSET($H$3,0,0,'Données projet'!$E$9+1,1))</f>
        <v>263.84804661819163</v>
      </c>
      <c r="T11" s="59">
        <f t="shared" si="34"/>
        <v>271.81541836379307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5.8890909090909096</v>
      </c>
      <c r="AI11" s="13">
        <f>IF('Données projet'!$A$62&gt;35,AI10+AH11-AQ10,IF(A11&lt;'Données projet'!$A$62,$AF$205^A11,IF(A11='Données projet'!$A$62,'Données projet'!$B$62,AI10+AH11-AQ10)))</f>
        <v>5.8636933564201668</v>
      </c>
      <c r="AJ11" s="13">
        <f>AI11*VLOOKUP('Données projet'!$B$10,Paramètres!$A$1:$I$89,3,0)*VLOOKUP('Données projet'!$B$10,Paramètres!$A$1:$I$89,5,0)</f>
        <v>3.5064886271392601</v>
      </c>
      <c r="AK11" s="13">
        <f t="shared" si="35"/>
        <v>1.3963726956545126</v>
      </c>
      <c r="AL11" s="20">
        <f t="shared" si="4"/>
        <v>8.5391501371991527</v>
      </c>
      <c r="AM11" s="59">
        <f t="shared" si="5"/>
        <v>301.87248347053247</v>
      </c>
      <c r="AN11" s="59">
        <f ca="1">AVERAGE(OFFSET($AM$3,0,0,'Données projet'!$E$10+1,1))-AVERAGE(OFFSET($H$3,0,0,'Données projet'!$E$10+1,1))</f>
        <v>270.04187128233121</v>
      </c>
      <c r="AO11" s="59">
        <f t="shared" si="36"/>
        <v>183.82555940776064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8.1011764705882356</v>
      </c>
      <c r="BD11" s="12">
        <f>IF('Données projet'!$A$88&gt;35,BD10+BC11-BL10,IF(A11&lt;'Données projet'!$A$88,$BA$205^A11,IF(A11='Données projet'!$A$88,'Données projet'!$B$88,BD10+BC11-BL10)))</f>
        <v>3.7508008200009595</v>
      </c>
      <c r="BE11" s="13">
        <f>BD11*VLOOKUP('Données projet'!$B$11,Paramètres!$A$1:$I$89,3,0)*VLOOKUP('Données projet'!$B$11,Paramètres!$A$1:$I$89,5,0)</f>
        <v>2.0966976583805366</v>
      </c>
      <c r="BF11" s="13">
        <f t="shared" si="37"/>
        <v>0.88646400710177842</v>
      </c>
      <c r="BG11" s="20">
        <f t="shared" si="7"/>
        <v>5.1956732340483649</v>
      </c>
      <c r="BH11" s="59">
        <f t="shared" si="8"/>
        <v>298.52900656738166</v>
      </c>
      <c r="BI11" s="59">
        <f ca="1">AVERAGE(OFFSET($BH$3,0,0,'Données projet'!$E$11+1,1))-AVERAGE(OFFSET($H$3,0,0,'Données projet'!$E$11+1,1))</f>
        <v>293.82673322742102</v>
      </c>
      <c r="BJ11" s="59">
        <f t="shared" si="38"/>
        <v>138.78566015867693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10.064285714285713</v>
      </c>
      <c r="N12" s="13">
        <f>IF('Données projet'!$A$36&gt;35,N11+M12-V11,IF(A12&lt;'Données projet'!$A$36,$K$205^A12,IF(A12='Données projet'!$A$36,'Données projet'!$B$36,N11+M12-V11)))</f>
        <v>90.578571428571436</v>
      </c>
      <c r="O12" s="13">
        <f>N12*VLOOKUP('Données projet'!$B$9,Paramètres!$A$1:$I$89,3,0)*VLOOKUP('Données projet'!$B$9,Paramètres!$A$1:$I$89,5,0)</f>
        <v>42.390771428571426</v>
      </c>
      <c r="P12" s="13">
        <f t="shared" si="33"/>
        <v>12.630164388504399</v>
      </c>
      <c r="Q12" s="20">
        <f t="shared" si="2"/>
        <v>95.828129881407051</v>
      </c>
      <c r="R12" s="59">
        <f t="shared" si="0"/>
        <v>389.16146321474037</v>
      </c>
      <c r="S12" s="59">
        <f ca="1">AVERAGE(OFFSET($R$3,0,0,'Données projet'!$E$9+1,1))-AVERAGE(OFFSET($H$3,0,0,'Données projet'!$E$9+1,1))</f>
        <v>263.84804661819163</v>
      </c>
      <c r="T12" s="59">
        <f t="shared" si="34"/>
        <v>271.81541836379307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5.8890909090909096</v>
      </c>
      <c r="AI12" s="13">
        <f>IF('Données projet'!$A$62&gt;35,AI11+AH12-AQ11,IF(A12&lt;'Données projet'!$A$62,$AF$205^A12,IF(A12='Données projet'!$A$62,'Données projet'!$B$62,AI11+AH12-AQ11)))</f>
        <v>7.3146349541476745</v>
      </c>
      <c r="AJ12" s="13">
        <f>AI12*VLOOKUP('Données projet'!$B$10,Paramètres!$A$1:$I$89,3,0)*VLOOKUP('Données projet'!$B$10,Paramètres!$A$1:$I$89,5,0)</f>
        <v>4.3741517025803098</v>
      </c>
      <c r="AK12" s="13">
        <f t="shared" si="35"/>
        <v>1.6976410288053578</v>
      </c>
      <c r="AL12" s="20">
        <f t="shared" si="4"/>
        <v>10.575039007163371</v>
      </c>
      <c r="AM12" s="59">
        <f t="shared" si="5"/>
        <v>303.90837234049667</v>
      </c>
      <c r="AN12" s="59">
        <f ca="1">AVERAGE(OFFSET($AM$3,0,0,'Données projet'!$E$10+1,1))-AVERAGE(OFFSET($H$3,0,0,'Données projet'!$E$10+1,1))</f>
        <v>270.04187128233121</v>
      </c>
      <c r="AO12" s="59">
        <f t="shared" si="36"/>
        <v>183.82555940776064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8.1011764705882356</v>
      </c>
      <c r="BD12" s="12">
        <f>IF('Données projet'!$A$88&gt;35,BD11+BC12-BL11,IF(A12&lt;'Données projet'!$A$88,$BA$205^A12,IF(A12='Données projet'!$A$88,'Données projet'!$B$88,BD11+BC12-BL11)))</f>
        <v>4.4247577904111566</v>
      </c>
      <c r="BE12" s="13">
        <f>BD12*VLOOKUP('Données projet'!$B$11,Paramètres!$A$1:$I$89,3,0)*VLOOKUP('Données projet'!$B$11,Paramètres!$A$1:$I$89,5,0)</f>
        <v>2.4734396048398364</v>
      </c>
      <c r="BF12" s="13">
        <f t="shared" si="37"/>
        <v>1.0258245840379578</v>
      </c>
      <c r="BG12" s="20">
        <f t="shared" si="7"/>
        <v>6.0945517956288251</v>
      </c>
      <c r="BH12" s="59">
        <f t="shared" si="8"/>
        <v>299.42788512896215</v>
      </c>
      <c r="BI12" s="59">
        <f ca="1">AVERAGE(OFFSET($BH$3,0,0,'Données projet'!$E$11+1,1))-AVERAGE(OFFSET($H$3,0,0,'Données projet'!$E$11+1,1))</f>
        <v>293.82673322742102</v>
      </c>
      <c r="BJ12" s="59">
        <f t="shared" si="38"/>
        <v>138.78566015867693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10.064285714285713</v>
      </c>
      <c r="N13" s="13">
        <f>IF('Données projet'!$A$36&gt;35,N12+M13-V12,IF(A13&lt;'Données projet'!$A$36,$K$205^A13,IF(A13='Données projet'!$A$36,'Données projet'!$B$36,N12+M13-V12)))</f>
        <v>100.64285714285715</v>
      </c>
      <c r="O13" s="13">
        <f>N13*VLOOKUP('Données projet'!$B$9,Paramètres!$A$1:$I$89,3,0)*VLOOKUP('Données projet'!$B$9,Paramètres!$A$1:$I$89,5,0)</f>
        <v>47.100857142857144</v>
      </c>
      <c r="P13" s="13">
        <f t="shared" si="33"/>
        <v>13.862460505147244</v>
      </c>
      <c r="Q13" s="20">
        <f t="shared" si="2"/>
        <v>106.17777823694098</v>
      </c>
      <c r="R13" s="59">
        <f t="shared" si="0"/>
        <v>399.51111157027429</v>
      </c>
      <c r="S13" s="59">
        <f ca="1">AVERAGE(OFFSET($R$3,0,0,'Données projet'!$E$9+1,1))-AVERAGE(OFFSET($H$3,0,0,'Données projet'!$E$9+1,1))</f>
        <v>263.84804661819163</v>
      </c>
      <c r="T13" s="59">
        <f t="shared" si="34"/>
        <v>271.81541836379307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5.8890909090909096</v>
      </c>
      <c r="AI13" s="13">
        <f>IF('Données projet'!$A$62&gt;35,AI12+AH13-AQ12,IF(A13&lt;'Données projet'!$A$62,$AF$205^A13,IF(A13='Données projet'!$A$62,'Données projet'!$B$62,AI12+AH13-AQ12)))</f>
        <v>9.1246047943242932</v>
      </c>
      <c r="AJ13" s="13">
        <f>AI13*VLOOKUP('Données projet'!$B$10,Paramètres!$A$1:$I$89,3,0)*VLOOKUP('Données projet'!$B$10,Paramètres!$A$1:$I$89,5,0)</f>
        <v>5.456513667005928</v>
      </c>
      <c r="AK13" s="13">
        <f t="shared" si="35"/>
        <v>2.0639082042007839</v>
      </c>
      <c r="AL13" s="20">
        <f t="shared" si="4"/>
        <v>13.098068092351689</v>
      </c>
      <c r="AM13" s="59">
        <f t="shared" si="5"/>
        <v>306.43140142568501</v>
      </c>
      <c r="AN13" s="59">
        <f ca="1">AVERAGE(OFFSET($AM$3,0,0,'Données projet'!$E$10+1,1))-AVERAGE(OFFSET($H$3,0,0,'Données projet'!$E$10+1,1))</f>
        <v>270.04187128233121</v>
      </c>
      <c r="AO13" s="59">
        <f t="shared" si="36"/>
        <v>183.82555940776064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8.1011764705882356</v>
      </c>
      <c r="BD13" s="12">
        <f>IF('Données projet'!$A$88&gt;35,BD12+BC13-BL12,IF(A13&lt;'Données projet'!$A$88,$BA$205^A13,IF(A13='Données projet'!$A$88,'Données projet'!$B$88,BD12+BC13-BL12)))</f>
        <v>5.2198136993579984</v>
      </c>
      <c r="BE13" s="13">
        <f>BD13*VLOOKUP('Données projet'!$B$11,Paramètres!$A$1:$I$89,3,0)*VLOOKUP('Données projet'!$B$11,Paramètres!$A$1:$I$89,5,0)</f>
        <v>2.9178758579411213</v>
      </c>
      <c r="BF13" s="13">
        <f t="shared" si="37"/>
        <v>1.1870939697338765</v>
      </c>
      <c r="BG13" s="20">
        <f t="shared" si="7"/>
        <v>7.1494891165339531</v>
      </c>
      <c r="BH13" s="59">
        <f t="shared" si="8"/>
        <v>300.48282244986729</v>
      </c>
      <c r="BI13" s="59">
        <f ca="1">AVERAGE(OFFSET($BH$3,0,0,'Données projet'!$E$11+1,1))-AVERAGE(OFFSET($H$3,0,0,'Données projet'!$E$11+1,1))</f>
        <v>293.82673322742102</v>
      </c>
      <c r="BJ13" s="59">
        <f t="shared" si="38"/>
        <v>138.78566015867693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10.064285714285713</v>
      </c>
      <c r="N14" s="13">
        <f>IF('Données projet'!$A$36&gt;35,N13+M14-V13,IF(A14&lt;'Données projet'!$A$36,$K$205^A14,IF(A14='Données projet'!$A$36,'Données projet'!$B$36,N13+M14-V13)))</f>
        <v>110.70714285714287</v>
      </c>
      <c r="O14" s="13">
        <f>N14*VLOOKUP('Données projet'!$B$9,Paramètres!$A$1:$I$89,3,0)*VLOOKUP('Données projet'!$B$9,Paramètres!$A$1:$I$89,5,0)</f>
        <v>51.810942857142862</v>
      </c>
      <c r="P14" s="13">
        <f t="shared" si="33"/>
        <v>15.080470743498402</v>
      </c>
      <c r="Q14" s="20">
        <f t="shared" si="2"/>
        <v>116.50254535445022</v>
      </c>
      <c r="R14" s="59">
        <f t="shared" si="0"/>
        <v>409.83587868778352</v>
      </c>
      <c r="S14" s="59">
        <f ca="1">AVERAGE(OFFSET($R$3,0,0,'Données projet'!$E$9+1,1))-AVERAGE(OFFSET($H$3,0,0,'Données projet'!$E$9+1,1))</f>
        <v>263.84804661819163</v>
      </c>
      <c r="T14" s="59">
        <f t="shared" si="34"/>
        <v>271.81541836379307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5.8890909090909096</v>
      </c>
      <c r="AI14" s="13">
        <f>IF('Données projet'!$A$62&gt;35,AI13+AH14-AQ13,IF(A14&lt;'Données projet'!$A$62,$AF$205^A14,IF(A14='Données projet'!$A$62,'Données projet'!$B$62,AI13+AH14-AQ13)))</f>
        <v>11.382442620105763</v>
      </c>
      <c r="AJ14" s="13">
        <f>AI14*VLOOKUP('Données projet'!$B$10,Paramètres!$A$1:$I$89,3,0)*VLOOKUP('Données projet'!$B$10,Paramètres!$A$1:$I$89,5,0)</f>
        <v>6.8067006868232474</v>
      </c>
      <c r="AK14" s="13">
        <f t="shared" si="35"/>
        <v>2.5091977650686839</v>
      </c>
      <c r="AL14" s="20">
        <f t="shared" si="4"/>
        <v>16.225189803711778</v>
      </c>
      <c r="AM14" s="59">
        <f t="shared" si="5"/>
        <v>309.55852313704509</v>
      </c>
      <c r="AN14" s="59">
        <f ca="1">AVERAGE(OFFSET($AM$3,0,0,'Données projet'!$E$10+1,1))-AVERAGE(OFFSET($H$3,0,0,'Données projet'!$E$10+1,1))</f>
        <v>270.04187128233121</v>
      </c>
      <c r="AO14" s="59">
        <f t="shared" si="36"/>
        <v>183.82555940776064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8.1011764705882356</v>
      </c>
      <c r="BD14" s="12">
        <f>IF('Données projet'!$A$88&gt;35,BD13+BC14-BL13,IF(A14&lt;'Données projet'!$A$88,$BA$205^A14,IF(A14='Données projet'!$A$88,'Données projet'!$B$88,BD13+BC14-BL13)))</f>
        <v>6.1577280263907141</v>
      </c>
      <c r="BE14" s="13">
        <f>BD14*VLOOKUP('Données projet'!$B$11,Paramètres!$A$1:$I$89,3,0)*VLOOKUP('Données projet'!$B$11,Paramètres!$A$1:$I$89,5,0)</f>
        <v>3.442169966752409</v>
      </c>
      <c r="BF14" s="13">
        <f t="shared" si="37"/>
        <v>1.3737164373966597</v>
      </c>
      <c r="BG14" s="20">
        <f t="shared" si="7"/>
        <v>8.387668820559627</v>
      </c>
      <c r="BH14" s="59">
        <f t="shared" si="8"/>
        <v>301.72100215389293</v>
      </c>
      <c r="BI14" s="59">
        <f ca="1">AVERAGE(OFFSET($BH$3,0,0,'Données projet'!$E$11+1,1))-AVERAGE(OFFSET($H$3,0,0,'Données projet'!$E$11+1,1))</f>
        <v>293.82673322742102</v>
      </c>
      <c r="BJ14" s="59">
        <f t="shared" si="38"/>
        <v>138.78566015867693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10.064285714285713</v>
      </c>
      <c r="N15" s="13">
        <f>IF('Données projet'!$A$36&gt;35,N14+M15-V14,IF(A15&lt;'Données projet'!$A$36,$K$205^A15,IF(A15='Données projet'!$A$36,'Données projet'!$B$36,N14+M15-V14)))</f>
        <v>120.77142857142859</v>
      </c>
      <c r="O15" s="13">
        <f>N15*VLOOKUP('Données projet'!$B$9,Paramètres!$A$1:$I$89,3,0)*VLOOKUP('Données projet'!$B$9,Paramètres!$A$1:$I$89,5,0)</f>
        <v>56.52102857142858</v>
      </c>
      <c r="P15" s="13">
        <f t="shared" si="33"/>
        <v>16.28564151925023</v>
      </c>
      <c r="Q15" s="20">
        <f t="shared" si="2"/>
        <v>126.80495040793225</v>
      </c>
      <c r="R15" s="59">
        <f t="shared" si="0"/>
        <v>420.13828374126558</v>
      </c>
      <c r="S15" s="59">
        <f ca="1">AVERAGE(OFFSET($R$3,0,0,'Données projet'!$E$9+1,1))-AVERAGE(OFFSET($H$3,0,0,'Données projet'!$E$9+1,1))</f>
        <v>263.84804661819163</v>
      </c>
      <c r="T15" s="59">
        <f t="shared" si="34"/>
        <v>271.81541836379307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5.8890909090909096</v>
      </c>
      <c r="AI15" s="13">
        <f>IF('Données projet'!$A$62&gt;35,AI14+AH15-AQ14,IF(A15&lt;'Données projet'!$A$62,$AF$205^A15,IF(A15='Données projet'!$A$62,'Données projet'!$B$62,AI14+AH15-AQ14)))</f>
        <v>14.198971124819497</v>
      </c>
      <c r="AJ15" s="13">
        <f>AI15*VLOOKUP('Données projet'!$B$10,Paramètres!$A$1:$I$89,3,0)*VLOOKUP('Données projet'!$B$10,Paramètres!$A$1:$I$89,5,0)</f>
        <v>8.49098473264206</v>
      </c>
      <c r="AK15" s="13">
        <f t="shared" si="35"/>
        <v>3.0505588433685857</v>
      </c>
      <c r="AL15" s="20">
        <f t="shared" si="4"/>
        <v>20.10152172821854</v>
      </c>
      <c r="AM15" s="59">
        <f t="shared" si="5"/>
        <v>313.43485506155184</v>
      </c>
      <c r="AN15" s="59">
        <f ca="1">AVERAGE(OFFSET($AM$3,0,0,'Données projet'!$E$10+1,1))-AVERAGE(OFFSET($H$3,0,0,'Données projet'!$E$10+1,1))</f>
        <v>270.04187128233121</v>
      </c>
      <c r="AO15" s="59">
        <f t="shared" si="36"/>
        <v>183.82555940776064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8.1011764705882356</v>
      </c>
      <c r="BD15" s="12">
        <f>IF('Données projet'!$A$88&gt;35,BD14+BC15-BL14,IF(A15&lt;'Données projet'!$A$88,$BA$205^A15,IF(A15='Données projet'!$A$88,'Données projet'!$B$88,BD14+BC15-BL14)))</f>
        <v>7.2641700702194214</v>
      </c>
      <c r="BE15" s="13">
        <f>BD15*VLOOKUP('Données projet'!$B$11,Paramètres!$A$1:$I$89,3,0)*VLOOKUP('Données projet'!$B$11,Paramètres!$A$1:$I$89,5,0)</f>
        <v>4.0606710692526571</v>
      </c>
      <c r="BF15" s="13">
        <f t="shared" si="37"/>
        <v>1.5896777327550757</v>
      </c>
      <c r="BG15" s="20">
        <f t="shared" si="7"/>
        <v>9.8410241634967992</v>
      </c>
      <c r="BH15" s="59">
        <f t="shared" si="8"/>
        <v>303.17435749683011</v>
      </c>
      <c r="BI15" s="59">
        <f ca="1">AVERAGE(OFFSET($BH$3,0,0,'Données projet'!$E$11+1,1))-AVERAGE(OFFSET($H$3,0,0,'Données projet'!$E$11+1,1))</f>
        <v>293.82673322742102</v>
      </c>
      <c r="BJ15" s="59">
        <f t="shared" si="38"/>
        <v>138.78566015867693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10.064285714285713</v>
      </c>
      <c r="N16" s="13">
        <f>IF('Données projet'!$A$36&gt;35,N15+M16-V15,IF(A16&lt;'Données projet'!$A$36,$K$205^A16,IF(A16='Données projet'!$A$36,'Données projet'!$B$36,N15+M16-V15)))</f>
        <v>130.83571428571429</v>
      </c>
      <c r="O16" s="13">
        <f>N16*VLOOKUP('Données projet'!$B$9,Paramètres!$A$1:$I$89,3,0)*VLOOKUP('Données projet'!$B$9,Paramètres!$A$1:$I$89,5,0)</f>
        <v>61.231114285714291</v>
      </c>
      <c r="P16" s="13">
        <f t="shared" si="33"/>
        <v>17.479164432025406</v>
      </c>
      <c r="Q16" s="20">
        <f t="shared" si="2"/>
        <v>137.08706876672997</v>
      </c>
      <c r="R16" s="59">
        <f t="shared" si="0"/>
        <v>430.42040210006326</v>
      </c>
      <c r="S16" s="59">
        <f ca="1">AVERAGE(OFFSET($R$3,0,0,'Données projet'!$E$9+1,1))-AVERAGE(OFFSET($H$3,0,0,'Données projet'!$E$9+1,1))</f>
        <v>263.84804661819163</v>
      </c>
      <c r="T16" s="59">
        <f t="shared" si="34"/>
        <v>271.81541836379307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5.8890909090909096</v>
      </c>
      <c r="AI16" s="13">
        <f>IF('Données projet'!$A$62&gt;35,AI15+AH16-AQ15,IF(A16&lt;'Données projet'!$A$62,$AF$205^A16,IF(A16='Données projet'!$A$62,'Données projet'!$B$62,AI15+AH16-AQ15)))</f>
        <v>17.712435523051596</v>
      </c>
      <c r="AJ16" s="13">
        <f>AI16*VLOOKUP('Données projet'!$B$10,Paramètres!$A$1:$I$89,3,0)*VLOOKUP('Données projet'!$B$10,Paramètres!$A$1:$I$89,5,0)</f>
        <v>10.592036442784856</v>
      </c>
      <c r="AK16" s="13">
        <f t="shared" si="35"/>
        <v>3.708718932562717</v>
      </c>
      <c r="AL16" s="20">
        <f t="shared" si="4"/>
        <v>24.907148945397026</v>
      </c>
      <c r="AM16" s="59">
        <f t="shared" si="5"/>
        <v>318.24048227873033</v>
      </c>
      <c r="AN16" s="59">
        <f ca="1">AVERAGE(OFFSET($AM$3,0,0,'Données projet'!$E$10+1,1))-AVERAGE(OFFSET($H$3,0,0,'Données projet'!$E$10+1,1))</f>
        <v>270.04187128233121</v>
      </c>
      <c r="AO16" s="59">
        <f t="shared" si="36"/>
        <v>183.82555940776064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8.1011764705882356</v>
      </c>
      <c r="BD16" s="12">
        <f>IF('Données projet'!$A$88&gt;35,BD15+BC16-BL15,IF(A16&lt;'Données projet'!$A$88,$BA$205^A16,IF(A16='Données projet'!$A$88,'Données projet'!$B$88,BD15+BC16-BL15)))</f>
        <v>8.5694214786555154</v>
      </c>
      <c r="BE16" s="13">
        <f>BD16*VLOOKUP('Données projet'!$B$11,Paramètres!$A$1:$I$89,3,0)*VLOOKUP('Données projet'!$B$11,Paramètres!$A$1:$I$89,5,0)</f>
        <v>4.790306606568433</v>
      </c>
      <c r="BF16" s="13">
        <f t="shared" si="37"/>
        <v>1.8395901986922396</v>
      </c>
      <c r="BG16" s="20">
        <f t="shared" si="7"/>
        <v>11.547070269162338</v>
      </c>
      <c r="BH16" s="59">
        <f t="shared" si="8"/>
        <v>304.88040360249568</v>
      </c>
      <c r="BI16" s="59">
        <f ca="1">AVERAGE(OFFSET($BH$3,0,0,'Données projet'!$E$11+1,1))-AVERAGE(OFFSET($H$3,0,0,'Données projet'!$E$11+1,1))</f>
        <v>293.82673322742102</v>
      </c>
      <c r="BJ16" s="59">
        <f t="shared" si="38"/>
        <v>138.78566015867693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10.064285714285713</v>
      </c>
      <c r="N17" s="13">
        <f>IF('Données projet'!$A$36&gt;35,N16+M17-V16,IF(A17&lt;'Données projet'!$A$36,$K$205^A17,IF(A17='Données projet'!$A$36,'Données projet'!$B$36,N16+M17-V16)))</f>
        <v>140.9</v>
      </c>
      <c r="O17" s="13">
        <f>N17*VLOOKUP('Données projet'!$B$9,Paramètres!$A$1:$I$89,3,0)*VLOOKUP('Données projet'!$B$9,Paramètres!$A$1:$I$89,5,0)</f>
        <v>65.941199999999995</v>
      </c>
      <c r="P17" s="13">
        <f t="shared" si="33"/>
        <v>18.662037344500646</v>
      </c>
      <c r="Q17" s="20">
        <f t="shared" si="2"/>
        <v>147.35063837500527</v>
      </c>
      <c r="R17" s="59">
        <f t="shared" si="0"/>
        <v>440.68397170833862</v>
      </c>
      <c r="S17" s="59">
        <f ca="1">AVERAGE(OFFSET($R$3,0,0,'Données projet'!$E$9+1,1))-AVERAGE(OFFSET($H$3,0,0,'Données projet'!$E$9+1,1))</f>
        <v>263.84804661819163</v>
      </c>
      <c r="T17" s="59">
        <f t="shared" si="34"/>
        <v>271.81541836379307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5.8890909090909096</v>
      </c>
      <c r="AI17" s="13">
        <f>IF('Données projet'!$A$62&gt;35,AI16+AH17-AQ16,IF(A17&lt;'Données projet'!$A$62,$AF$205^A17,IF(A17='Données projet'!$A$62,'Données projet'!$B$62,AI16+AH17-AQ16)))</f>
        <v>22.095289116397044</v>
      </c>
      <c r="AJ17" s="13">
        <f>AI17*VLOOKUP('Données projet'!$B$10,Paramètres!$A$1:$I$89,3,0)*VLOOKUP('Données projet'!$B$10,Paramètres!$A$1:$I$89,5,0)</f>
        <v>13.212982891605433</v>
      </c>
      <c r="AK17" s="13">
        <f t="shared" si="35"/>
        <v>4.508877496544403</v>
      </c>
      <c r="AL17" s="20">
        <f t="shared" si="4"/>
        <v>30.86557350936096</v>
      </c>
      <c r="AM17" s="59">
        <f t="shared" si="5"/>
        <v>324.19890684269427</v>
      </c>
      <c r="AN17" s="59">
        <f ca="1">AVERAGE(OFFSET($AM$3,0,0,'Données projet'!$E$10+1,1))-AVERAGE(OFFSET($H$3,0,0,'Données projet'!$E$10+1,1))</f>
        <v>270.04187128233121</v>
      </c>
      <c r="AO17" s="59">
        <f t="shared" si="36"/>
        <v>183.82555940776064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8.1011764705882356</v>
      </c>
      <c r="BD17" s="12">
        <f>IF('Données projet'!$A$88&gt;35,BD16+BC17-BL16,IF(A17&lt;'Données projet'!$A$88,$BA$205^A17,IF(A17='Données projet'!$A$88,'Données projet'!$B$88,BD16+BC17-BL16)))</f>
        <v>10.109205011581498</v>
      </c>
      <c r="BE17" s="13">
        <f>BD17*VLOOKUP('Données projet'!$B$11,Paramètres!$A$1:$I$89,3,0)*VLOOKUP('Données projet'!$B$11,Paramètres!$A$1:$I$89,5,0)</f>
        <v>5.6510456014740571</v>
      </c>
      <c r="BF17" s="13">
        <f t="shared" si="37"/>
        <v>2.128791282280575</v>
      </c>
      <c r="BG17" s="20">
        <f t="shared" si="7"/>
        <v>13.549882572539316</v>
      </c>
      <c r="BH17" s="59">
        <f t="shared" si="8"/>
        <v>306.88321590587265</v>
      </c>
      <c r="BI17" s="59">
        <f ca="1">AVERAGE(OFFSET($BH$3,0,0,'Données projet'!$E$11+1,1))-AVERAGE(OFFSET($H$3,0,0,'Données projet'!$E$11+1,1))</f>
        <v>293.82673322742102</v>
      </c>
      <c r="BJ17" s="59">
        <f t="shared" si="38"/>
        <v>138.78566015867693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10.064285714285713</v>
      </c>
      <c r="N18" s="13">
        <f>IF('Données projet'!$A$36&gt;35,N17+M18-V17,IF(A18&lt;'Données projet'!$A$36,$K$205^A18,IF(A18='Données projet'!$A$36,'Données projet'!$B$36,N17+M18-V17)))</f>
        <v>150.96428571428572</v>
      </c>
      <c r="O18" s="13">
        <f>N18*VLOOKUP('Données projet'!$B$9,Paramètres!$A$1:$I$89,3,0)*VLOOKUP('Données projet'!$B$9,Paramètres!$A$1:$I$89,5,0)</f>
        <v>70.65128571428572</v>
      </c>
      <c r="P18" s="13">
        <f t="shared" si="33"/>
        <v>19.835107489883814</v>
      </c>
      <c r="Q18" s="20">
        <f t="shared" si="2"/>
        <v>157.59713483059525</v>
      </c>
      <c r="R18" s="59">
        <f t="shared" si="0"/>
        <v>450.93046816392859</v>
      </c>
      <c r="S18" s="59">
        <f ca="1">AVERAGE(OFFSET($R$3,0,0,'Données projet'!$E$9+1,1))-AVERAGE(OFFSET($H$3,0,0,'Données projet'!$E$9+1,1))</f>
        <v>263.84804661819163</v>
      </c>
      <c r="T18" s="59">
        <f t="shared" si="34"/>
        <v>271.81541836379307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5.8890909090909096</v>
      </c>
      <c r="AI18" s="13">
        <f>IF('Données projet'!$A$62&gt;35,AI17+AH18-AQ17,IF(A18&lt;'Données projet'!$A$62,$AF$205^A18,IF(A18='Données projet'!$A$62,'Données projet'!$B$62,AI17+AH18-AQ17)))</f>
        <v>27.562657913521289</v>
      </c>
      <c r="AJ18" s="13">
        <f>AI18*VLOOKUP('Données projet'!$B$10,Paramètres!$A$1:$I$89,3,0)*VLOOKUP('Données projet'!$B$10,Paramètres!$A$1:$I$89,5,0)</f>
        <v>16.482469432285733</v>
      </c>
      <c r="AK18" s="13">
        <f t="shared" si="35"/>
        <v>5.4816708002179473</v>
      </c>
      <c r="AL18" s="20">
        <f t="shared" si="4"/>
        <v>38.254210904943911</v>
      </c>
      <c r="AM18" s="59">
        <f t="shared" si="5"/>
        <v>331.58754423827725</v>
      </c>
      <c r="AN18" s="59">
        <f ca="1">AVERAGE(OFFSET($AM$3,0,0,'Données projet'!$E$10+1,1))-AVERAGE(OFFSET($H$3,0,0,'Données projet'!$E$10+1,1))</f>
        <v>270.04187128233121</v>
      </c>
      <c r="AO18" s="59">
        <f t="shared" si="36"/>
        <v>183.82555940776064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8.1011764705882356</v>
      </c>
      <c r="BD18" s="12">
        <f>IF('Données projet'!$A$88&gt;35,BD17+BC18-BL17,IF(A18&lt;'Données projet'!$A$88,$BA$205^A18,IF(A18='Données projet'!$A$88,'Données projet'!$B$88,BD17+BC18-BL17)))</f>
        <v>11.925662218941099</v>
      </c>
      <c r="BE18" s="13">
        <f>BD18*VLOOKUP('Données projet'!$B$11,Paramètres!$A$1:$I$89,3,0)*VLOOKUP('Données projet'!$B$11,Paramètres!$A$1:$I$89,5,0)</f>
        <v>6.6664451803880747</v>
      </c>
      <c r="BF18" s="13">
        <f t="shared" si="37"/>
        <v>2.4634575280599917</v>
      </c>
      <c r="BG18" s="20">
        <f t="shared" si="7"/>
        <v>15.901247217213713</v>
      </c>
      <c r="BH18" s="59">
        <f t="shared" si="8"/>
        <v>309.23458055054704</v>
      </c>
      <c r="BI18" s="59">
        <f ca="1">AVERAGE(OFFSET($BH$3,0,0,'Données projet'!$E$11+1,1))-AVERAGE(OFFSET($H$3,0,0,'Données projet'!$E$11+1,1))</f>
        <v>293.82673322742102</v>
      </c>
      <c r="BJ18" s="59">
        <f t="shared" si="38"/>
        <v>138.78566015867693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10.064285714285713</v>
      </c>
      <c r="N19" s="13">
        <f>IF('Données projet'!$A$36&gt;35,N18+M19-V18,IF(A19&lt;'Données projet'!$A$36,$K$205^A19,IF(A19='Données projet'!$A$36,'Données projet'!$B$36,N18+M19-V18)))</f>
        <v>161.02857142857144</v>
      </c>
      <c r="O19" s="13">
        <f>N19*VLOOKUP('Données projet'!$B$9,Paramètres!$A$1:$I$89,3,0)*VLOOKUP('Données projet'!$B$9,Paramètres!$A$1:$I$89,5,0)</f>
        <v>75.361371428571431</v>
      </c>
      <c r="P19" s="13">
        <f t="shared" si="33"/>
        <v>20.999102746035849</v>
      </c>
      <c r="Q19" s="20">
        <f t="shared" si="2"/>
        <v>167.82782585410766</v>
      </c>
      <c r="R19" s="59">
        <f t="shared" si="0"/>
        <v>461.16115918744094</v>
      </c>
      <c r="S19" s="59">
        <f ca="1">AVERAGE(OFFSET($R$3,0,0,'Données projet'!$E$9+1,1))-AVERAGE(OFFSET($H$3,0,0,'Données projet'!$E$9+1,1))</f>
        <v>263.84804661819163</v>
      </c>
      <c r="T19" s="59">
        <f t="shared" si="34"/>
        <v>271.81541836379307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5.8890909090909096</v>
      </c>
      <c r="AI19" s="13">
        <f>IF('Données projet'!$A$62&gt;35,AI18+AH19-AQ18,IF(A19&lt;'Données projet'!$A$62,$AF$205^A19,IF(A19='Données projet'!$A$62,'Données projet'!$B$62,AI18+AH19-AQ18)))</f>
        <v>34.382899778126003</v>
      </c>
      <c r="AJ19" s="13">
        <f>AI19*VLOOKUP('Données projet'!$B$10,Paramètres!$A$1:$I$89,3,0)*VLOOKUP('Données projet'!$B$10,Paramètres!$A$1:$I$89,5,0)</f>
        <v>20.560974067319354</v>
      </c>
      <c r="AK19" s="13">
        <f t="shared" si="35"/>
        <v>6.6643449029146105</v>
      </c>
      <c r="AL19" s="20">
        <f t="shared" si="4"/>
        <v>47.417430539824153</v>
      </c>
      <c r="AM19" s="59">
        <f t="shared" si="5"/>
        <v>340.75076387315744</v>
      </c>
      <c r="AN19" s="59">
        <f ca="1">AVERAGE(OFFSET($AM$3,0,0,'Données projet'!$E$10+1,1))-AVERAGE(OFFSET($H$3,0,0,'Données projet'!$E$10+1,1))</f>
        <v>270.04187128233121</v>
      </c>
      <c r="AO19" s="59">
        <f t="shared" si="36"/>
        <v>183.82555940776064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8.1011764705882356</v>
      </c>
      <c r="BD19" s="12">
        <f>IF('Données projet'!$A$88&gt;35,BD18+BC19-BL18,IF(A19&lt;'Données projet'!$A$88,$BA$205^A19,IF(A19='Données projet'!$A$88,'Données projet'!$B$88,BD18+BC19-BL18)))</f>
        <v>14.068506791319869</v>
      </c>
      <c r="BE19" s="13">
        <f>BD19*VLOOKUP('Données projet'!$B$11,Paramètres!$A$1:$I$89,3,0)*VLOOKUP('Données projet'!$B$11,Paramètres!$A$1:$I$89,5,0)</f>
        <v>7.864295296347807</v>
      </c>
      <c r="BF19" s="13">
        <f t="shared" si="37"/>
        <v>2.8507364921440894</v>
      </c>
      <c r="BG19" s="20">
        <f t="shared" si="7"/>
        <v>18.66201369829005</v>
      </c>
      <c r="BH19" s="59">
        <f t="shared" si="8"/>
        <v>311.99534703162334</v>
      </c>
      <c r="BI19" s="59">
        <f ca="1">AVERAGE(OFFSET($BH$3,0,0,'Données projet'!$E$11+1,1))-AVERAGE(OFFSET($H$3,0,0,'Données projet'!$E$11+1,1))</f>
        <v>293.82673322742102</v>
      </c>
      <c r="BJ19" s="59">
        <f t="shared" si="38"/>
        <v>138.78566015867693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10.064285714285713</v>
      </c>
      <c r="N20" s="13">
        <f>IF('Données projet'!$A$36&gt;35,N19+M20-V19,IF(A20&lt;'Données projet'!$A$36,$K$205^A20,IF(A20='Données projet'!$A$36,'Données projet'!$B$36,N19+M20-V19)))</f>
        <v>171.09285714285716</v>
      </c>
      <c r="O20" s="13">
        <f>N20*VLOOKUP('Données projet'!$B$9,Paramètres!$A$1:$I$89,3,0)*VLOOKUP('Données projet'!$B$9,Paramètres!$A$1:$I$89,5,0)</f>
        <v>80.071457142857156</v>
      </c>
      <c r="P20" s="13">
        <f t="shared" si="33"/>
        <v>22.154654863611391</v>
      </c>
      <c r="Q20" s="20">
        <f t="shared" si="2"/>
        <v>178.04381174459937</v>
      </c>
      <c r="R20" s="59">
        <f t="shared" si="0"/>
        <v>471.37714507793271</v>
      </c>
      <c r="S20" s="59">
        <f ca="1">AVERAGE(OFFSET($R$3,0,0,'Données projet'!$E$9+1,1))-AVERAGE(OFFSET($H$3,0,0,'Données projet'!$E$9+1,1))</f>
        <v>263.84804661819163</v>
      </c>
      <c r="T20" s="59">
        <f t="shared" si="34"/>
        <v>271.81541836379307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5.8890909090909096</v>
      </c>
      <c r="AI20" s="13">
        <f>IF('Données projet'!$A$62&gt;35,AI19+AH20-AQ19,IF(A20&lt;'Données projet'!$A$62,$AF$205^A20,IF(A20='Données projet'!$A$62,'Données projet'!$B$62,AI19+AH20-AQ19)))</f>
        <v>42.890776385274457</v>
      </c>
      <c r="AJ20" s="13">
        <f>AI20*VLOOKUP('Données projet'!$B$10,Paramètres!$A$1:$I$89,3,0)*VLOOKUP('Données projet'!$B$10,Paramètres!$A$1:$I$89,5,0)</f>
        <v>25.648684278394128</v>
      </c>
      <c r="AK20" s="13">
        <f t="shared" si="35"/>
        <v>8.1021817259143134</v>
      </c>
      <c r="AL20" s="20">
        <f t="shared" si="4"/>
        <v>58.782758290837201</v>
      </c>
      <c r="AM20" s="59">
        <f t="shared" si="5"/>
        <v>352.11609162417051</v>
      </c>
      <c r="AN20" s="59">
        <f ca="1">AVERAGE(OFFSET($AM$3,0,0,'Données projet'!$E$10+1,1))-AVERAGE(OFFSET($H$3,0,0,'Données projet'!$E$10+1,1))</f>
        <v>270.04187128233121</v>
      </c>
      <c r="AO20" s="59">
        <f t="shared" si="36"/>
        <v>183.82555940776064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8.1011764705882356</v>
      </c>
      <c r="BD20" s="12">
        <f>IF('Données projet'!$A$88&gt;35,BD19+BC20-BL19,IF(A20&lt;'Données projet'!$A$88,$BA$205^A20,IF(A20='Données projet'!$A$88,'Données projet'!$B$88,BD19+BC20-BL19)))</f>
        <v>16.596385148579799</v>
      </c>
      <c r="BE20" s="13">
        <f>BD20*VLOOKUP('Données projet'!$B$11,Paramètres!$A$1:$I$89,3,0)*VLOOKUP('Données projet'!$B$11,Paramètres!$A$1:$I$89,5,0)</f>
        <v>9.2773792980561076</v>
      </c>
      <c r="BF20" s="13">
        <f t="shared" si="37"/>
        <v>3.2988993944790606</v>
      </c>
      <c r="BG20" s="20">
        <f t="shared" si="7"/>
        <v>21.903685389498751</v>
      </c>
      <c r="BH20" s="59">
        <f t="shared" si="8"/>
        <v>315.23701872283209</v>
      </c>
      <c r="BI20" s="59">
        <f ca="1">AVERAGE(OFFSET($BH$3,0,0,'Données projet'!$E$11+1,1))-AVERAGE(OFFSET($H$3,0,0,'Données projet'!$E$11+1,1))</f>
        <v>293.82673322742102</v>
      </c>
      <c r="BJ20" s="59">
        <f t="shared" si="38"/>
        <v>138.78566015867693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10.064285714285713</v>
      </c>
      <c r="N21" s="13">
        <f>IF('Données projet'!$A$36&gt;35,N20+M21-V20,IF(A21&lt;'Données projet'!$A$36,$K$205^A21,IF(A21='Données projet'!$A$36,'Données projet'!$B$36,N20+M21-V20)))</f>
        <v>181.15714285714287</v>
      </c>
      <c r="O21" s="13">
        <f>N21*VLOOKUP('Données projet'!$B$9,Paramètres!$A$1:$I$89,3,0)*VLOOKUP('Données projet'!$B$9,Paramètres!$A$1:$I$89,5,0)</f>
        <v>84.781542857142853</v>
      </c>
      <c r="P21" s="13">
        <f t="shared" si="33"/>
        <v>23.302317071063975</v>
      </c>
      <c r="Q21" s="20">
        <f t="shared" si="2"/>
        <v>188.24605604162687</v>
      </c>
      <c r="R21" s="59">
        <f t="shared" si="0"/>
        <v>481.57938937496021</v>
      </c>
      <c r="S21" s="59">
        <f ca="1">AVERAGE(OFFSET($R$3,0,0,'Données projet'!$E$9+1,1))-AVERAGE(OFFSET($H$3,0,0,'Données projet'!$E$9+1,1))</f>
        <v>263.84804661819163</v>
      </c>
      <c r="T21" s="59">
        <f t="shared" si="34"/>
        <v>271.81541836379307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5.8890909090909096</v>
      </c>
      <c r="AI21" s="13">
        <f>IF('Données projet'!$A$62&gt;35,AI20+AH21-AQ20,IF(A21&lt;'Données projet'!$A$62,$AF$205^A21,IF(A21='Données projet'!$A$62,'Données projet'!$B$62,AI20+AH21-AQ20)))</f>
        <v>53.503884512438958</v>
      </c>
      <c r="AJ21" s="13">
        <f>AI21*VLOOKUP('Données projet'!$B$10,Paramètres!$A$1:$I$89,3,0)*VLOOKUP('Données projet'!$B$10,Paramètres!$A$1:$I$89,5,0)</f>
        <v>31.995322938438498</v>
      </c>
      <c r="AK21" s="13">
        <f t="shared" si="35"/>
        <v>9.8502327949788757</v>
      </c>
      <c r="AL21" s="20">
        <f t="shared" si="4"/>
        <v>72.881009569035243</v>
      </c>
      <c r="AM21" s="59">
        <f t="shared" si="5"/>
        <v>366.21434290236857</v>
      </c>
      <c r="AN21" s="59">
        <f ca="1">AVERAGE(OFFSET($AM$3,0,0,'Données projet'!$E$10+1,1))-AVERAGE(OFFSET($H$3,0,0,'Données projet'!$E$10+1,1))</f>
        <v>270.04187128233121</v>
      </c>
      <c r="AO21" s="59">
        <f t="shared" si="36"/>
        <v>183.82555940776064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8.1011764705882356</v>
      </c>
      <c r="BD21" s="12">
        <f>IF('Données projet'!$A$88&gt;35,BD20+BC21-BL20,IF(A21&lt;'Données projet'!$A$88,$BA$205^A21,IF(A21='Données projet'!$A$88,'Données projet'!$B$88,BD20+BC21-BL20)))</f>
        <v>19.57848150380422</v>
      </c>
      <c r="BE21" s="13">
        <f>BD21*VLOOKUP('Données projet'!$B$11,Paramètres!$A$1:$I$89,3,0)*VLOOKUP('Données projet'!$B$11,Paramètres!$A$1:$I$89,5,0)</f>
        <v>10.944371160626559</v>
      </c>
      <c r="BF21" s="13">
        <f t="shared" si="37"/>
        <v>3.8175177694902325</v>
      </c>
      <c r="BG21" s="20">
        <f t="shared" si="7"/>
        <v>25.710289886620075</v>
      </c>
      <c r="BH21" s="59">
        <f t="shared" si="8"/>
        <v>319.04362321995336</v>
      </c>
      <c r="BI21" s="59">
        <f ca="1">AVERAGE(OFFSET($BH$3,0,0,'Données projet'!$E$11+1,1))-AVERAGE(OFFSET($H$3,0,0,'Données projet'!$E$11+1,1))</f>
        <v>293.82673322742102</v>
      </c>
      <c r="BJ21" s="59">
        <f t="shared" si="38"/>
        <v>138.78566015867693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10.064285714285713</v>
      </c>
      <c r="N22" s="13">
        <f>IF('Données projet'!$A$36&gt;35,N21+M22-V21,IF(A22&lt;'Données projet'!$A$36,$K$205^A22,IF(A22='Données projet'!$A$36,'Données projet'!$B$36,N21+M22-V21)))</f>
        <v>191.22142857142859</v>
      </c>
      <c r="O22" s="13">
        <f>N22*VLOOKUP('Données projet'!$B$9,Paramètres!$A$1:$I$89,3,0)*VLOOKUP('Données projet'!$B$9,Paramètres!$A$1:$I$89,5,0)</f>
        <v>89.491628571428592</v>
      </c>
      <c r="P22" s="13">
        <f t="shared" si="33"/>
        <v>24.442577655267876</v>
      </c>
      <c r="Q22" s="20">
        <f t="shared" si="2"/>
        <v>198.43540917816301</v>
      </c>
      <c r="R22" s="59">
        <f t="shared" si="0"/>
        <v>491.76874251149633</v>
      </c>
      <c r="S22" s="59">
        <f ca="1">AVERAGE(OFFSET($R$3,0,0,'Données projet'!$E$9+1,1))-AVERAGE(OFFSET($H$3,0,0,'Données projet'!$E$9+1,1))</f>
        <v>263.84804661819163</v>
      </c>
      <c r="T22" s="59">
        <f t="shared" si="34"/>
        <v>271.81541836379307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5.8890909090909096</v>
      </c>
      <c r="AI22" s="13">
        <f>IF('Données projet'!$A$62&gt;35,AI21+AH22-AQ21,IF(A22&lt;'Données projet'!$A$62,$AF$205^A22,IF(A22='Données projet'!$A$62,'Données projet'!$B$62,AI21+AH22-AQ21)))</f>
        <v>66.743153171347927</v>
      </c>
      <c r="AJ22" s="13">
        <f>AI22*VLOOKUP('Données projet'!$B$10,Paramètres!$A$1:$I$89,3,0)*VLOOKUP('Données projet'!$B$10,Paramètres!$A$1:$I$89,5,0)</f>
        <v>39.912405596466066</v>
      </c>
      <c r="AK22" s="13">
        <f t="shared" si="35"/>
        <v>11.975427038984135</v>
      </c>
      <c r="AL22" s="20">
        <f t="shared" si="4"/>
        <v>90.371308506742437</v>
      </c>
      <c r="AM22" s="59">
        <f t="shared" si="5"/>
        <v>383.70464184007574</v>
      </c>
      <c r="AN22" s="59">
        <f ca="1">AVERAGE(OFFSET($AM$3,0,0,'Données projet'!$E$10+1,1))-AVERAGE(OFFSET($H$3,0,0,'Données projet'!$E$10+1,1))</f>
        <v>270.04187128233121</v>
      </c>
      <c r="AO22" s="59">
        <f t="shared" si="36"/>
        <v>183.82555940776064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8.1011764705882356</v>
      </c>
      <c r="BD22" s="12">
        <f>IF('Données projet'!$A$88&gt;35,BD21+BC22-BL21,IF(A22&lt;'Données projet'!$A$88,$BA$205^A22,IF(A22='Données projet'!$A$88,'Données projet'!$B$88,BD21+BC22-BL21)))</f>
        <v>23.096411330729183</v>
      </c>
      <c r="BE22" s="13">
        <f>BD22*VLOOKUP('Données projet'!$B$11,Paramètres!$A$1:$I$89,3,0)*VLOOKUP('Données projet'!$B$11,Paramètres!$A$1:$I$89,5,0)</f>
        <v>12.910893933877613</v>
      </c>
      <c r="BF22" s="13">
        <f t="shared" si="37"/>
        <v>4.4176678878911408</v>
      </c>
      <c r="BG22" s="20">
        <f t="shared" si="7"/>
        <v>30.180578506247247</v>
      </c>
      <c r="BH22" s="59">
        <f t="shared" si="8"/>
        <v>323.51391183958054</v>
      </c>
      <c r="BI22" s="59">
        <f ca="1">AVERAGE(OFFSET($BH$3,0,0,'Données projet'!$E$11+1,1))-AVERAGE(OFFSET($H$3,0,0,'Données projet'!$E$11+1,1))</f>
        <v>293.82673322742102</v>
      </c>
      <c r="BJ22" s="59">
        <f t="shared" si="38"/>
        <v>138.78566015867693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10.064285714285713</v>
      </c>
      <c r="N23" s="13">
        <f>IF('Données projet'!$A$36&gt;35,N22+M23-V22,IF(A23&lt;'Données projet'!$A$36,$K$205^A23,IF(A23='Données projet'!$A$36,'Données projet'!$B$36,N22+M23-V22)))</f>
        <v>201.28571428571431</v>
      </c>
      <c r="O23" s="13">
        <f>N23*VLOOKUP('Données projet'!$B$9,Paramètres!$A$1:$I$89,3,0)*VLOOKUP('Données projet'!$B$9,Paramètres!$A$1:$I$89,5,0)</f>
        <v>94.201714285714289</v>
      </c>
      <c r="P23" s="13">
        <f t="shared" si="33"/>
        <v>25.575870601498497</v>
      </c>
      <c r="Q23" s="20">
        <f t="shared" si="2"/>
        <v>208.6126270118956</v>
      </c>
      <c r="R23" s="59">
        <f t="shared" si="0"/>
        <v>501.94596034522891</v>
      </c>
      <c r="S23" s="59">
        <f ca="1">AVERAGE(OFFSET($R$3,0,0,'Données projet'!$E$9+1,1))-AVERAGE(OFFSET($H$3,0,0,'Données projet'!$E$9+1,1))</f>
        <v>263.84804661819163</v>
      </c>
      <c r="T23" s="59">
        <f t="shared" si="34"/>
        <v>271.81541836379307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5.8890909090909096</v>
      </c>
      <c r="AI23" s="13">
        <f>IF('Données projet'!$A$62&gt;35,AI22+AH23-AQ22,IF(A23&lt;'Données projet'!$A$62,$AF$205^A23,IF(A23='Données projet'!$A$62,'Données projet'!$B$62,AI22+AH23-AQ22)))</f>
        <v>83.25841265260587</v>
      </c>
      <c r="AJ23" s="13">
        <f>AI23*VLOOKUP('Données projet'!$B$10,Paramètres!$A$1:$I$89,3,0)*VLOOKUP('Données projet'!$B$10,Paramètres!$A$1:$I$89,5,0)</f>
        <v>49.788530766258319</v>
      </c>
      <c r="AK23" s="13">
        <f t="shared" si="35"/>
        <v>14.559133347501747</v>
      </c>
      <c r="AL23" s="20">
        <f t="shared" si="4"/>
        <v>112.07218166479875</v>
      </c>
      <c r="AM23" s="59">
        <f t="shared" si="5"/>
        <v>405.40551499813205</v>
      </c>
      <c r="AN23" s="59">
        <f ca="1">AVERAGE(OFFSET($AM$3,0,0,'Données projet'!$E$10+1,1))-AVERAGE(OFFSET($H$3,0,0,'Données projet'!$E$10+1,1))</f>
        <v>270.04187128233121</v>
      </c>
      <c r="AO23" s="59">
        <f t="shared" si="36"/>
        <v>183.82555940776064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8.1011764705882356</v>
      </c>
      <c r="BD23" s="12">
        <f>IF('Données projet'!$A$88&gt;35,BD22+BC23-BL22,IF(A23&lt;'Données projet'!$A$88,$BA$205^A23,IF(A23='Données projet'!$A$88,'Données projet'!$B$88,BD22+BC23-BL22)))</f>
        <v>27.246455056005431</v>
      </c>
      <c r="BE23" s="13">
        <f>BD23*VLOOKUP('Données projet'!$B$11,Paramètres!$A$1:$I$89,3,0)*VLOOKUP('Données projet'!$B$11,Paramètres!$A$1:$I$89,5,0)</f>
        <v>15.230768376307037</v>
      </c>
      <c r="BF23" s="13">
        <f t="shared" si="37"/>
        <v>5.1121673155461425</v>
      </c>
      <c r="BG23" s="20">
        <f t="shared" si="7"/>
        <v>35.430612996644278</v>
      </c>
      <c r="BH23" s="59">
        <f t="shared" si="8"/>
        <v>328.76394632997761</v>
      </c>
      <c r="BI23" s="59">
        <f ca="1">AVERAGE(OFFSET($BH$3,0,0,'Données projet'!$E$11+1,1))-AVERAGE(OFFSET($H$3,0,0,'Données projet'!$E$11+1,1))</f>
        <v>293.82673322742102</v>
      </c>
      <c r="BJ23" s="59">
        <f t="shared" si="38"/>
        <v>138.78566015867693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10.064285714285713</v>
      </c>
      <c r="N24" s="13">
        <f>IF('Données projet'!$A$36&gt;35,N23+M24-V23,IF(A24&lt;'Données projet'!$A$36,$K$205^A24,IF(A24='Données projet'!$A$36,'Données projet'!$B$36,N23+M24-V23)))</f>
        <v>211.35000000000002</v>
      </c>
      <c r="O24" s="13">
        <f>N24*VLOOKUP('Données projet'!$B$9,Paramètres!$A$1:$I$89,3,0)*VLOOKUP('Données projet'!$B$9,Paramètres!$A$1:$I$89,5,0)</f>
        <v>98.911799999999999</v>
      </c>
      <c r="P24" s="13">
        <f t="shared" si="33"/>
        <v>26.702584044942924</v>
      </c>
      <c r="Q24" s="20">
        <f t="shared" si="2"/>
        <v>218.77838554494224</v>
      </c>
      <c r="R24" s="59">
        <f t="shared" si="0"/>
        <v>512.1117188782755</v>
      </c>
      <c r="S24" s="59">
        <f ca="1">AVERAGE(OFFSET($R$3,0,0,'Données projet'!$E$9+1,1))-AVERAGE(OFFSET($H$3,0,0,'Données projet'!$E$9+1,1))</f>
        <v>263.84804661819163</v>
      </c>
      <c r="T24" s="59">
        <f t="shared" si="34"/>
        <v>271.81541836379307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5.8890909090909096</v>
      </c>
      <c r="AI24" s="13">
        <f>IF('Données projet'!$A$62&gt;35,AI23+AH24-AQ23,IF(A24&lt;'Données projet'!$A$62,$AF$205^A24,IF(A24='Données projet'!$A$62,'Données projet'!$B$62,AI23+AH24-AQ23)))</f>
        <v>103.86029050253822</v>
      </c>
      <c r="AJ24" s="13">
        <f>AI24*VLOOKUP('Données projet'!$B$10,Paramètres!$A$1:$I$89,3,0)*VLOOKUP('Données projet'!$B$10,Paramètres!$A$1:$I$89,5,0)</f>
        <v>62.108453720517858</v>
      </c>
      <c r="AK24" s="13">
        <f t="shared" si="35"/>
        <v>17.700276001875135</v>
      </c>
      <c r="AL24" s="20">
        <f t="shared" si="4"/>
        <v>139.00020426650113</v>
      </c>
      <c r="AM24" s="59">
        <f t="shared" si="5"/>
        <v>432.33353759983447</v>
      </c>
      <c r="AN24" s="59">
        <f ca="1">AVERAGE(OFFSET($AM$3,0,0,'Données projet'!$E$10+1,1))-AVERAGE(OFFSET($H$3,0,0,'Données projet'!$E$10+1,1))</f>
        <v>270.04187128233121</v>
      </c>
      <c r="AO24" s="59">
        <f t="shared" si="36"/>
        <v>183.82555940776064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8.1011764705882356</v>
      </c>
      <c r="BD24" s="12">
        <f>IF('Données projet'!$A$88&gt;35,BD23+BC24-BL23,IF(A24&lt;'Données projet'!$A$88,$BA$205^A24,IF(A24='Données projet'!$A$88,'Données projet'!$B$88,BD23+BC24-BL23)))</f>
        <v>32.142193109074938</v>
      </c>
      <c r="BE24" s="13">
        <f>BD24*VLOOKUP('Données projet'!$B$11,Paramètres!$A$1:$I$89,3,0)*VLOOKUP('Données projet'!$B$11,Paramètres!$A$1:$I$89,5,0)</f>
        <v>17.967485947972889</v>
      </c>
      <c r="BF24" s="13">
        <f t="shared" si="37"/>
        <v>5.9158486616371526</v>
      </c>
      <c r="BG24" s="20">
        <f t="shared" si="7"/>
        <v>41.596807778404155</v>
      </c>
      <c r="BH24" s="59">
        <f t="shared" si="8"/>
        <v>334.9301411117375</v>
      </c>
      <c r="BI24" s="59">
        <f ca="1">AVERAGE(OFFSET($BH$3,0,0,'Données projet'!$E$11+1,1))-AVERAGE(OFFSET($H$3,0,0,'Données projet'!$E$11+1,1))</f>
        <v>293.82673322742102</v>
      </c>
      <c r="BJ24" s="59">
        <f t="shared" si="38"/>
        <v>138.78566015867693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10.064285714285713</v>
      </c>
      <c r="N25" s="13">
        <f>IF('Données projet'!$A$36&gt;35,N24+M25-V24,IF(A25&lt;'Données projet'!$A$36,$K$205^A25,IF(A25='Données projet'!$A$36,'Données projet'!$B$36,N24+M25-V24)))</f>
        <v>221.41428571428574</v>
      </c>
      <c r="O25" s="13">
        <f>N25*VLOOKUP('Données projet'!$B$9,Paramètres!$A$1:$I$89,3,0)*VLOOKUP('Données projet'!$B$9,Paramètres!$A$1:$I$89,5,0)</f>
        <v>103.62188571428572</v>
      </c>
      <c r="P25" s="13">
        <f t="shared" si="33"/>
        <v>27.823067066787086</v>
      </c>
      <c r="Q25" s="20">
        <f t="shared" si="2"/>
        <v>228.93329276036846</v>
      </c>
      <c r="R25" s="59">
        <f t="shared" si="0"/>
        <v>522.2666260937018</v>
      </c>
      <c r="S25" s="59">
        <f ca="1">AVERAGE(OFFSET($R$3,0,0,'Données projet'!$E$9+1,1))-AVERAGE(OFFSET($H$3,0,0,'Données projet'!$E$9+1,1))</f>
        <v>263.84804661819163</v>
      </c>
      <c r="T25" s="59">
        <f t="shared" si="34"/>
        <v>271.81541836379307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129.56</v>
      </c>
      <c r="AG25" s="12">
        <f>VLOOKUP(A25,'Données projet'!$A$61:$I$81,9,0)</f>
        <v>5.8890909090909096</v>
      </c>
      <c r="AH25" s="12">
        <f t="array" ref="AH25">INDEX(AG:AG,MIN(IF(ISNUMBER(AG25:AG221),ROW(AG25:AG221),"")))</f>
        <v>5.8890909090909096</v>
      </c>
      <c r="AI25" s="13">
        <f>IF('Données projet'!$A$62&gt;35,AI24+AH25-AQ24,IF(A25&lt;'Données projet'!$A$62,$AF$205^A25,IF(A25='Données projet'!$A$62,'Données projet'!$B$62,AI24+AH25-AQ24)))</f>
        <v>129.56</v>
      </c>
      <c r="AJ25" s="13">
        <f>AI25*VLOOKUP('Données projet'!$B$10,Paramètres!$A$1:$I$89,3,0)*VLOOKUP('Données projet'!$B$10,Paramètres!$A$1:$I$89,5,0)</f>
        <v>77.476880000000008</v>
      </c>
      <c r="AK25" s="13">
        <f t="shared" si="35"/>
        <v>21.519122262611628</v>
      </c>
      <c r="AL25" s="20">
        <f t="shared" si="4"/>
        <v>172.4180372740486</v>
      </c>
      <c r="AM25" s="59">
        <f t="shared" si="5"/>
        <v>465.75137060738189</v>
      </c>
      <c r="AN25" s="59">
        <f ca="1">AVERAGE(OFFSET($AM$3,0,0,'Données projet'!$E$10+1,1))-AVERAGE(OFFSET($H$3,0,0,'Données projet'!$E$10+1,1))</f>
        <v>270.04187128233121</v>
      </c>
      <c r="AO25" s="59">
        <f t="shared" si="36"/>
        <v>183.82555940776064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52.620000000000005</v>
      </c>
      <c r="AR25" s="16">
        <f>IF(ISNA(VLOOKUP(A25,'Données projet'!$A$61:$I$81,5,0)),0%,VLOOKUP(A25,'Données projet'!$A$61:$I$81,5,0)*VLOOKUP('Données projet'!$B$10,Paramètres!$A$1:$I$89,7,0))</f>
        <v>0.1125</v>
      </c>
      <c r="AS25" s="16">
        <f>IF(ISNA(VLOOKUP(A25,'Données projet'!$A$61:$I$81,6,0)),0%,VLOOKUP(A25,'Données projet'!$A$61:$I$81,6,0)*VLOOKUP('Données projet'!$B$10,Paramètres!$A$1:$I$89,7,0))</f>
        <v>0.16650000000000001</v>
      </c>
      <c r="AT25" s="16">
        <f>IF(ISNA(VLOOKUP(A25,'Données projet'!$A$61:$I$81,7,0)),0%,VLOOKUP(A25,'Données projet'!$A$61:$I$81,7,0))</f>
        <v>0.38</v>
      </c>
      <c r="AU25" s="21">
        <f>EXP(-LN(2)/35)*AU24+(1-EXP(-LN(2)/35))/(LN(2)/35)*AQ25*AR25*VLOOKUP('Données projet'!$B$10,Paramètres!$A$1:$I$89,3,0)*0.475*44/12</f>
        <v>4.6960521011827554</v>
      </c>
      <c r="AV25" s="21">
        <f>EXP(-LN(2)/25)*AV24+(1-EXP(-LN(2)/25))/(LN(2)/25)*Calculateur!AQ25*Calculateur!AS25*VLOOKUP('Données projet'!$B$10,Paramètres!$A$1:$I$89,3,0)*0.475*44/12</f>
        <v>6.9227916929919147</v>
      </c>
      <c r="AW25" s="21">
        <f>EXP(-LN(2)/2)*AW24+(1-EXP(-LN(2)/2))/(LN(2)/2)*AQ25*AT25*VLOOKUP('Données projet'!$B$10,Paramètres!$A$1:$I$89,3,0)*0.475*44/12</f>
        <v>13.538519148795281</v>
      </c>
      <c r="AX25" s="21">
        <f t="shared" si="6"/>
        <v>25.15736294296995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8.1011764705882356</v>
      </c>
      <c r="BD25" s="12">
        <f>IF('Données projet'!$A$88&gt;35,BD24+BC25-BL24,IF(A25&lt;'Données projet'!$A$88,$BA$205^A25,IF(A25='Données projet'!$A$88,'Données projet'!$B$88,BD24+BC25-BL24)))</f>
        <v>37.917614446997689</v>
      </c>
      <c r="BE25" s="13">
        <f>BD25*VLOOKUP('Données projet'!$B$11,Paramètres!$A$1:$I$89,3,0)*VLOOKUP('Données projet'!$B$11,Paramètres!$A$1:$I$89,5,0)</f>
        <v>21.195946475871708</v>
      </c>
      <c r="BF25" s="13">
        <f t="shared" si="37"/>
        <v>6.8458763626470418</v>
      </c>
      <c r="BG25" s="20">
        <f t="shared" si="7"/>
        <v>48.839508110420148</v>
      </c>
      <c r="BH25" s="59">
        <f t="shared" si="8"/>
        <v>342.17284144375344</v>
      </c>
      <c r="BI25" s="59">
        <f ca="1">AVERAGE(OFFSET($BH$3,0,0,'Données projet'!$E$11+1,1))-AVERAGE(OFFSET($H$3,0,0,'Données projet'!$E$11+1,1))</f>
        <v>293.82673322742102</v>
      </c>
      <c r="BJ25" s="59">
        <f t="shared" si="38"/>
        <v>138.78566015867693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10.064285714285713</v>
      </c>
      <c r="N26" s="13">
        <f>IF('Données projet'!$A$36&gt;35,N25+M26-V25,IF(A26&lt;'Données projet'!$A$36,$K$205^A26,IF(A26='Données projet'!$A$36,'Données projet'!$B$36,N25+M26-V25)))</f>
        <v>231.47857142857146</v>
      </c>
      <c r="O26" s="13">
        <f>N26*VLOOKUP('Données projet'!$B$9,Paramètres!$A$1:$I$89,3,0)*VLOOKUP('Données projet'!$B$9,Paramètres!$A$1:$I$89,5,0)</f>
        <v>108.33197142857144</v>
      </c>
      <c r="P26" s="13">
        <f t="shared" si="33"/>
        <v>28.937635219722093</v>
      </c>
      <c r="Q26" s="20">
        <f t="shared" si="2"/>
        <v>239.07789824577785</v>
      </c>
      <c r="R26" s="59">
        <f t="shared" si="0"/>
        <v>532.41123157911113</v>
      </c>
      <c r="S26" s="59">
        <f ca="1">AVERAGE(OFFSET($R$3,0,0,'Données projet'!$E$9+1,1))-AVERAGE(OFFSET($H$3,0,0,'Données projet'!$E$9+1,1))</f>
        <v>263.84804661819163</v>
      </c>
      <c r="T26" s="59">
        <f t="shared" si="34"/>
        <v>271.81541836379307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15.782</v>
      </c>
      <c r="AI26" s="13">
        <f>IF('Données projet'!$A$62&gt;35,AI25+AH26-AQ25,IF(A26&lt;'Données projet'!$A$62,$AF$205^A26,IF(A26='Données projet'!$A$62,'Données projet'!$B$62,AI25+AH26-AQ25)))</f>
        <v>92.722000000000008</v>
      </c>
      <c r="AJ26" s="13">
        <f>AI26*VLOOKUP('Données projet'!$B$10,Paramètres!$A$1:$I$89,3,0)*VLOOKUP('Données projet'!$B$10,Paramètres!$A$1:$I$89,5,0)</f>
        <v>55.447756000000005</v>
      </c>
      <c r="AK26" s="13">
        <f t="shared" si="35"/>
        <v>16.012087139856263</v>
      </c>
      <c r="AL26" s="20">
        <f t="shared" si="4"/>
        <v>124.45922680191636</v>
      </c>
      <c r="AM26" s="59">
        <f t="shared" si="5"/>
        <v>417.79256013524969</v>
      </c>
      <c r="AN26" s="59">
        <f ca="1">AVERAGE(OFFSET($AM$3,0,0,'Données projet'!$E$10+1,1))-AVERAGE(OFFSET($H$3,0,0,'Données projet'!$E$10+1,1))</f>
        <v>270.04187128233121</v>
      </c>
      <c r="AO26" s="59">
        <f t="shared" si="36"/>
        <v>183.82555940776064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4.6039653837875161</v>
      </c>
      <c r="AV26" s="21">
        <f>EXP(-LN(2)/25)*AV25+(1-EXP(-LN(2)/25))/(LN(2)/25)*Calculateur!AQ26*Calculateur!AS26*VLOOKUP('Données projet'!$B$10,Paramètres!$A$1:$I$89,3,0)*0.475*44/12</f>
        <v>6.733487590093258</v>
      </c>
      <c r="AW26" s="21">
        <f>EXP(-LN(2)/2)*AW25+(1-EXP(-LN(2)/2))/(LN(2)/2)*AQ26*AT26*VLOOKUP('Données projet'!$B$10,Paramètres!$A$1:$I$89,3,0)*0.475*44/12</f>
        <v>9.5731786973370685</v>
      </c>
      <c r="AX26" s="21">
        <f t="shared" si="6"/>
        <v>20.910631671217843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8.1011764705882356</v>
      </c>
      <c r="BD26" s="12">
        <f>IF('Données projet'!$A$88&gt;35,BD25+BC26-BL25,IF(A26&lt;'Données projet'!$A$88,$BA$205^A26,IF(A26='Données projet'!$A$88,'Données projet'!$B$88,BD25+BC26-BL25)))</f>
        <v>44.730783629858735</v>
      </c>
      <c r="BE26" s="13">
        <f>BD26*VLOOKUP('Données projet'!$B$11,Paramètres!$A$1:$I$89,3,0)*VLOOKUP('Données projet'!$B$11,Paramètres!$A$1:$I$89,5,0)</f>
        <v>25.004508049091033</v>
      </c>
      <c r="BF26" s="13">
        <f t="shared" si="37"/>
        <v>7.9221132677994763</v>
      </c>
      <c r="BG26" s="20">
        <f t="shared" si="7"/>
        <v>57.347198793584305</v>
      </c>
      <c r="BH26" s="59">
        <f t="shared" si="8"/>
        <v>350.68053212691763</v>
      </c>
      <c r="BI26" s="59">
        <f ca="1">AVERAGE(OFFSET($BH$3,0,0,'Données projet'!$E$11+1,1))-AVERAGE(OFFSET($H$3,0,0,'Données projet'!$E$11+1,1))</f>
        <v>293.82673322742102</v>
      </c>
      <c r="BJ26" s="59">
        <f t="shared" si="38"/>
        <v>138.78566015867693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10.064285714285713</v>
      </c>
      <c r="N27" s="13">
        <f>IF('Données projet'!$A$36&gt;35,N26+M27-V26,IF(A27&lt;'Données projet'!$A$36,$K$205^A27,IF(A27='Données projet'!$A$36,'Données projet'!$B$36,N26+M27-V26)))</f>
        <v>241.54285714285717</v>
      </c>
      <c r="O27" s="13">
        <f>N27*VLOOKUP('Données projet'!$B$9,Paramètres!$A$1:$I$89,3,0)*VLOOKUP('Données projet'!$B$9,Paramètres!$A$1:$I$89,5,0)</f>
        <v>113.04205714285716</v>
      </c>
      <c r="P27" s="13">
        <f t="shared" si="33"/>
        <v>30.046575065377333</v>
      </c>
      <c r="Q27" s="20">
        <f t="shared" si="2"/>
        <v>249.21270109600837</v>
      </c>
      <c r="R27" s="59">
        <f t="shared" si="0"/>
        <v>542.54603442934172</v>
      </c>
      <c r="S27" s="59">
        <f ca="1">AVERAGE(OFFSET($R$3,0,0,'Données projet'!$E$9+1,1))-AVERAGE(OFFSET($H$3,0,0,'Données projet'!$E$9+1,1))</f>
        <v>263.84804661819163</v>
      </c>
      <c r="T27" s="59">
        <f t="shared" si="34"/>
        <v>271.81541836379307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15.782</v>
      </c>
      <c r="AI27" s="13">
        <f>IF('Données projet'!$A$62&gt;35,AI26+AH27-AQ26,IF(A27&lt;'Données projet'!$A$62,$AF$205^A27,IF(A27='Données projet'!$A$62,'Données projet'!$B$62,AI26+AH27-AQ26)))</f>
        <v>108.504</v>
      </c>
      <c r="AJ27" s="13">
        <f>AI27*VLOOKUP('Données projet'!$B$10,Paramètres!$A$1:$I$89,3,0)*VLOOKUP('Données projet'!$B$10,Paramètres!$A$1:$I$89,5,0)</f>
        <v>64.88539200000001</v>
      </c>
      <c r="AK27" s="13">
        <f t="shared" si="35"/>
        <v>18.397766162676771</v>
      </c>
      <c r="AL27" s="20">
        <f t="shared" si="4"/>
        <v>145.05150046666205</v>
      </c>
      <c r="AM27" s="59">
        <f t="shared" si="5"/>
        <v>438.38483379999536</v>
      </c>
      <c r="AN27" s="59">
        <f ca="1">AVERAGE(OFFSET($AM$3,0,0,'Données projet'!$E$10+1,1))-AVERAGE(OFFSET($H$3,0,0,'Données projet'!$E$10+1,1))</f>
        <v>270.04187128233121</v>
      </c>
      <c r="AO27" s="59">
        <f t="shared" si="36"/>
        <v>183.82555940776064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4.5136844307530462</v>
      </c>
      <c r="AV27" s="21">
        <f>EXP(-LN(2)/25)*AV26+(1-EXP(-LN(2)/25))/(LN(2)/25)*Calculateur!AQ27*Calculateur!AS27*VLOOKUP('Données projet'!$B$10,Paramètres!$A$1:$I$89,3,0)*0.475*44/12</f>
        <v>6.5493600178434352</v>
      </c>
      <c r="AW27" s="21">
        <f>EXP(-LN(2)/2)*AW26+(1-EXP(-LN(2)/2))/(LN(2)/2)*AQ27*AT27*VLOOKUP('Données projet'!$B$10,Paramètres!$A$1:$I$89,3,0)*0.475*44/12</f>
        <v>6.7692595743976414</v>
      </c>
      <c r="AX27" s="21">
        <f t="shared" si="6"/>
        <v>17.832304022994123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8.1011764705882356</v>
      </c>
      <c r="BD27" s="12">
        <f>IF('Données projet'!$A$88&gt;35,BD26+BC27-BL26,IF(A27&lt;'Données projet'!$A$88,$BA$205^A27,IF(A27='Données projet'!$A$88,'Données projet'!$B$88,BD26+BC27-BL26)))</f>
        <v>52.76816680907163</v>
      </c>
      <c r="BE27" s="13">
        <f>BD27*VLOOKUP('Données projet'!$B$11,Paramètres!$A$1:$I$89,3,0)*VLOOKUP('Données projet'!$B$11,Paramètres!$A$1:$I$89,5,0)</f>
        <v>29.497405246271043</v>
      </c>
      <c r="BF27" s="13">
        <f t="shared" si="37"/>
        <v>9.167544855218166</v>
      </c>
      <c r="BG27" s="20">
        <f t="shared" si="7"/>
        <v>67.341454760093711</v>
      </c>
      <c r="BH27" s="59">
        <f t="shared" si="8"/>
        <v>360.67478809342703</v>
      </c>
      <c r="BI27" s="59">
        <f ca="1">AVERAGE(OFFSET($BH$3,0,0,'Données projet'!$E$11+1,1))-AVERAGE(OFFSET($H$3,0,0,'Données projet'!$E$11+1,1))</f>
        <v>293.82673322742102</v>
      </c>
      <c r="BJ27" s="59">
        <f t="shared" si="38"/>
        <v>138.78566015867693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10.064285714285713</v>
      </c>
      <c r="N28" s="13">
        <f>IF('Données projet'!$A$36&gt;35,N27+M28-V27,IF(A28&lt;'Données projet'!$A$36,$K$205^A28,IF(A28='Données projet'!$A$36,'Données projet'!$B$36,N27+M28-V27)))</f>
        <v>251.60714285714289</v>
      </c>
      <c r="O28" s="13">
        <f>N28*VLOOKUP('Données projet'!$B$9,Paramètres!$A$1:$I$89,3,0)*VLOOKUP('Données projet'!$B$9,Paramètres!$A$1:$I$89,5,0)</f>
        <v>117.75214285714287</v>
      </c>
      <c r="P28" s="13">
        <f t="shared" si="33"/>
        <v>31.150147934205393</v>
      </c>
      <c r="Q28" s="20">
        <f t="shared" si="2"/>
        <v>259.3381564615982</v>
      </c>
      <c r="R28" s="59">
        <f t="shared" si="0"/>
        <v>552.67148979493152</v>
      </c>
      <c r="S28" s="59">
        <f ca="1">AVERAGE(OFFSET($R$3,0,0,'Données projet'!$E$9+1,1))-AVERAGE(OFFSET($H$3,0,0,'Données projet'!$E$9+1,1))</f>
        <v>263.84804661819163</v>
      </c>
      <c r="T28" s="59">
        <f t="shared" si="34"/>
        <v>271.81541836379307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15.782</v>
      </c>
      <c r="AI28" s="13">
        <f>IF('Données projet'!$A$62&gt;35,AI27+AH28-AQ27,IF(A28&lt;'Données projet'!$A$62,$AF$205^A28,IF(A28='Données projet'!$A$62,'Données projet'!$B$62,AI27+AH28-AQ27)))</f>
        <v>124.286</v>
      </c>
      <c r="AJ28" s="13">
        <f>AI28*VLOOKUP('Données projet'!$B$10,Paramètres!$A$1:$I$89,3,0)*VLOOKUP('Données projet'!$B$10,Paramètres!$A$1:$I$89,5,0)</f>
        <v>74.323028000000008</v>
      </c>
      <c r="AK28" s="13">
        <f t="shared" si="35"/>
        <v>20.743244990540482</v>
      </c>
      <c r="AL28" s="20">
        <f t="shared" si="4"/>
        <v>165.57375879185801</v>
      </c>
      <c r="AM28" s="59">
        <f t="shared" si="5"/>
        <v>458.9070921251913</v>
      </c>
      <c r="AN28" s="59">
        <f ca="1">AVERAGE(OFFSET($AM$3,0,0,'Données projet'!$E$10+1,1))-AVERAGE(OFFSET($H$3,0,0,'Données projet'!$E$10+1,1))</f>
        <v>270.04187128233121</v>
      </c>
      <c r="AO28" s="59">
        <f t="shared" si="36"/>
        <v>183.82555940776064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4.4251738321416383</v>
      </c>
      <c r="AV28" s="21">
        <f>EXP(-LN(2)/25)*AV27+(1-EXP(-LN(2)/25))/(LN(2)/25)*Calculateur!AQ28*Calculateur!AS28*VLOOKUP('Données projet'!$B$10,Paramètres!$A$1:$I$89,3,0)*0.475*44/12</f>
        <v>6.370267423739632</v>
      </c>
      <c r="AW28" s="21">
        <f>EXP(-LN(2)/2)*AW27+(1-EXP(-LN(2)/2))/(LN(2)/2)*AQ28*AT28*VLOOKUP('Données projet'!$B$10,Paramètres!$A$1:$I$89,3,0)*0.475*44/12</f>
        <v>4.7865893486685351</v>
      </c>
      <c r="AX28" s="21">
        <f t="shared" si="6"/>
        <v>15.582030604549805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8.1011764705882356</v>
      </c>
      <c r="BD28" s="12">
        <f>IF('Données projet'!$A$88&gt;35,BD27+BC28-BL27,IF(A28&lt;'Données projet'!$A$88,$BA$205^A28,IF(A28='Données projet'!$A$88,'Données projet'!$B$88,BD27+BC28-BL27)))</f>
        <v>62.249735024344858</v>
      </c>
      <c r="BE28" s="13">
        <f>BD28*VLOOKUP('Données projet'!$B$11,Paramètres!$A$1:$I$89,3,0)*VLOOKUP('Données projet'!$B$11,Paramètres!$A$1:$I$89,5,0)</f>
        <v>34.797601878608781</v>
      </c>
      <c r="BF28" s="13">
        <f t="shared" si="37"/>
        <v>10.608770138902839</v>
      </c>
      <c r="BG28" s="20">
        <f t="shared" si="7"/>
        <v>79.082764597166076</v>
      </c>
      <c r="BH28" s="59">
        <f t="shared" si="8"/>
        <v>372.4160979304994</v>
      </c>
      <c r="BI28" s="59">
        <f ca="1">AVERAGE(OFFSET($BH$3,0,0,'Données projet'!$E$11+1,1))-AVERAGE(OFFSET($H$3,0,0,'Données projet'!$E$11+1,1))</f>
        <v>293.82673322742102</v>
      </c>
      <c r="BJ28" s="59">
        <f t="shared" si="38"/>
        <v>138.78566015867693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10.064285714285713</v>
      </c>
      <c r="N29" s="13">
        <f>IF('Données projet'!$A$36&gt;35,N28+M29-V28,IF(A29&lt;'Données projet'!$A$36,$K$205^A29,IF(A29='Données projet'!$A$36,'Données projet'!$B$36,N28+M29-V28)))</f>
        <v>261.67142857142858</v>
      </c>
      <c r="O29" s="13">
        <f>N29*VLOOKUP('Données projet'!$B$9,Paramètres!$A$1:$I$89,3,0)*VLOOKUP('Données projet'!$B$9,Paramètres!$A$1:$I$89,5,0)</f>
        <v>122.46222857142858</v>
      </c>
      <c r="P29" s="13">
        <f t="shared" si="33"/>
        <v>32.248593066851676</v>
      </c>
      <c r="Q29" s="20">
        <f t="shared" si="2"/>
        <v>269.45468102000478</v>
      </c>
      <c r="R29" s="59">
        <f t="shared" si="0"/>
        <v>562.7880143533381</v>
      </c>
      <c r="S29" s="59">
        <f ca="1">AVERAGE(OFFSET($R$3,0,0,'Données projet'!$E$9+1,1))-AVERAGE(OFFSET($H$3,0,0,'Données projet'!$E$9+1,1))</f>
        <v>263.84804661819163</v>
      </c>
      <c r="T29" s="59">
        <f t="shared" si="34"/>
        <v>271.81541836379307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15.782</v>
      </c>
      <c r="AI29" s="13">
        <f>IF('Données projet'!$A$62&gt;35,AI28+AH29-AQ28,IF(A29&lt;'Données projet'!$A$62,$AF$205^A29,IF(A29='Données projet'!$A$62,'Données projet'!$B$62,AI28+AH29-AQ28)))</f>
        <v>140.06800000000001</v>
      </c>
      <c r="AJ29" s="13">
        <f>AI29*VLOOKUP('Données projet'!$B$10,Paramètres!$A$1:$I$89,3,0)*VLOOKUP('Données projet'!$B$10,Paramètres!$A$1:$I$89,5,0)</f>
        <v>83.76066400000002</v>
      </c>
      <c r="AK29" s="13">
        <f t="shared" si="35"/>
        <v>23.054213321234659</v>
      </c>
      <c r="AL29" s="20">
        <f t="shared" si="4"/>
        <v>186.0359113344837</v>
      </c>
      <c r="AM29" s="59">
        <f t="shared" si="5"/>
        <v>479.36924466781704</v>
      </c>
      <c r="AN29" s="59">
        <f ca="1">AVERAGE(OFFSET($AM$3,0,0,'Données projet'!$E$10+1,1))-AVERAGE(OFFSET($H$3,0,0,'Données projet'!$E$10+1,1))</f>
        <v>270.04187128233121</v>
      </c>
      <c r="AO29" s="59">
        <f t="shared" si="36"/>
        <v>183.82555940776064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4.3383988723828653</v>
      </c>
      <c r="AV29" s="21">
        <f>EXP(-LN(2)/25)*AV28+(1-EXP(-LN(2)/25))/(LN(2)/25)*Calculateur!AQ29*Calculateur!AS29*VLOOKUP('Données projet'!$B$10,Paramètres!$A$1:$I$89,3,0)*0.475*44/12</f>
        <v>6.1960721260396676</v>
      </c>
      <c r="AW29" s="21">
        <f>EXP(-LN(2)/2)*AW28+(1-EXP(-LN(2)/2))/(LN(2)/2)*AQ29*AT29*VLOOKUP('Données projet'!$B$10,Paramètres!$A$1:$I$89,3,0)*0.475*44/12</f>
        <v>3.3846297871988211</v>
      </c>
      <c r="AX29" s="21">
        <f t="shared" si="6"/>
        <v>13.919100785621353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8.1011764705882356</v>
      </c>
      <c r="BD29" s="12">
        <f>IF('Données projet'!$A$88&gt;35,BD28+BC29-BL28,IF(A29&lt;'Données projet'!$A$88,$BA$205^A29,IF(A29='Données projet'!$A$88,'Données projet'!$B$88,BD28+BC29-BL28)))</f>
        <v>73.434984478842495</v>
      </c>
      <c r="BE29" s="13">
        <f>BD29*VLOOKUP('Données projet'!$B$11,Paramètres!$A$1:$I$89,3,0)*VLOOKUP('Données projet'!$B$11,Paramètres!$A$1:$I$89,5,0)</f>
        <v>41.050156323672958</v>
      </c>
      <c r="BF29" s="13">
        <f t="shared" si="37"/>
        <v>12.276569750953044</v>
      </c>
      <c r="BG29" s="20">
        <f t="shared" si="7"/>
        <v>92.877381246640297</v>
      </c>
      <c r="BH29" s="59">
        <f t="shared" si="8"/>
        <v>386.21071457997363</v>
      </c>
      <c r="BI29" s="59">
        <f ca="1">AVERAGE(OFFSET($BH$3,0,0,'Données projet'!$E$11+1,1))-AVERAGE(OFFSET($H$3,0,0,'Données projet'!$E$11+1,1))</f>
        <v>293.82673322742102</v>
      </c>
      <c r="BJ29" s="59">
        <f t="shared" si="38"/>
        <v>138.78566015867693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10.064285714285713</v>
      </c>
      <c r="N30" s="13">
        <f>IF('Données projet'!$A$36&gt;35,N29+M30-V29,IF(A30&lt;'Données projet'!$A$36,$K$205^A30,IF(A30='Données projet'!$A$36,'Données projet'!$B$36,N29+M30-V29)))</f>
        <v>271.73571428571427</v>
      </c>
      <c r="O30" s="13">
        <f>N30*VLOOKUP('Données projet'!$B$9,Paramètres!$A$1:$I$89,3,0)*VLOOKUP('Données projet'!$B$9,Paramètres!$A$1:$I$89,5,0)</f>
        <v>127.17231428571426</v>
      </c>
      <c r="P30" s="13">
        <f t="shared" si="33"/>
        <v>33.342130258642648</v>
      </c>
      <c r="Q30" s="20">
        <f t="shared" si="2"/>
        <v>279.5626575814216</v>
      </c>
      <c r="R30" s="59">
        <f t="shared" si="0"/>
        <v>572.89599091475498</v>
      </c>
      <c r="S30" s="59">
        <f ca="1">AVERAGE(OFFSET($R$3,0,0,'Données projet'!$E$9+1,1))-AVERAGE(OFFSET($H$3,0,0,'Données projet'!$E$9+1,1))</f>
        <v>263.84804661819163</v>
      </c>
      <c r="T30" s="59">
        <f t="shared" si="34"/>
        <v>271.81541836379307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>
        <f>VLOOKUP(A30,'Données projet'!$A$61:$I$81,2,0)</f>
        <v>155.85</v>
      </c>
      <c r="AG30" s="12">
        <f>VLOOKUP(A30,'Données projet'!$A$61:$I$81,9,0)</f>
        <v>15.782</v>
      </c>
      <c r="AH30" s="12">
        <f t="array" ref="AH30">INDEX(AG:AG,MIN(IF(ISNUMBER(AG30:AG226),ROW(AG30:AG226),"")))</f>
        <v>15.782</v>
      </c>
      <c r="AI30" s="13">
        <f>IF('Données projet'!$A$62&gt;35,AI29+AH30-AQ29,IF(A30&lt;'Données projet'!$A$62,$AF$205^A30,IF(A30='Données projet'!$A$62,'Données projet'!$B$62,AI29+AH30-AQ29)))</f>
        <v>155.85000000000002</v>
      </c>
      <c r="AJ30" s="13">
        <f>AI30*VLOOKUP('Données projet'!$B$10,Paramètres!$A$1:$I$89,3,0)*VLOOKUP('Données projet'!$B$10,Paramètres!$A$1:$I$89,5,0)</f>
        <v>93.198300000000032</v>
      </c>
      <c r="AK30" s="13">
        <f t="shared" si="35"/>
        <v>25.335003309876146</v>
      </c>
      <c r="AL30" s="20">
        <f t="shared" si="4"/>
        <v>206.44550326470099</v>
      </c>
      <c r="AM30" s="59">
        <f t="shared" si="5"/>
        <v>499.77883659803433</v>
      </c>
      <c r="AN30" s="59">
        <f ca="1">AVERAGE(OFFSET($AM$3,0,0,'Données projet'!$E$10+1,1))-AVERAGE(OFFSET($H$3,0,0,'Données projet'!$E$10+1,1))</f>
        <v>270.04187128233121</v>
      </c>
      <c r="AO30" s="59">
        <f t="shared" si="36"/>
        <v>183.82555940776064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37.929999999999993</v>
      </c>
      <c r="AR30" s="16">
        <f>IF(ISNA(VLOOKUP(A30,'Données projet'!$A$61:$I$81,5,0)),0%,VLOOKUP(A30,'Données projet'!$A$61:$I$81,5,0)*VLOOKUP('Données projet'!$B$10,Paramètres!$A$1:$I$89,7,0))</f>
        <v>0.1125</v>
      </c>
      <c r="AS30" s="16">
        <f>IF(ISNA(VLOOKUP(A30,'Données projet'!$A$61:$I$81,6,0)),0%,VLOOKUP(A30,'Données projet'!$A$61:$I$81,6,0)*VLOOKUP('Données projet'!$B$10,Paramètres!$A$1:$I$89,7,0))</f>
        <v>0.16650000000000001</v>
      </c>
      <c r="AT30" s="16">
        <f>IF(ISNA(VLOOKUP(A30,'Données projet'!$A$61:$I$81,7,0)),0%,VLOOKUP(A30,'Données projet'!$A$61:$I$81,7,0))</f>
        <v>0.38</v>
      </c>
      <c r="AU30" s="21">
        <f>EXP(-LN(2)/35)*AU29+(1-EXP(-LN(2)/35))/(LN(2)/35)*AQ30*AR30*VLOOKUP('Données projet'!$B$10,Paramètres!$A$1:$I$89,3,0)*0.475*44/12</f>
        <v>7.6383740951040968</v>
      </c>
      <c r="AV30" s="21">
        <f>EXP(-LN(2)/25)*AV29+(1-EXP(-LN(2)/25))/(LN(2)/25)*Calculateur!AQ30*Calculateur!AS30*VLOOKUP('Données projet'!$B$10,Paramètres!$A$1:$I$89,3,0)*0.475*44/12</f>
        <v>11.016786329451062</v>
      </c>
      <c r="AW30" s="21">
        <f>EXP(-LN(2)/2)*AW29+(1-EXP(-LN(2)/2))/(LN(2)/2)*AQ30*AT30*VLOOKUP('Données projet'!$B$10,Paramètres!$A$1:$I$89,3,0)*0.475*44/12</f>
        <v>12.152246238640709</v>
      </c>
      <c r="AX30" s="21">
        <f t="shared" si="6"/>
        <v>30.80740666319587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8.1011764705882356</v>
      </c>
      <c r="BD30" s="12">
        <f>IF('Données projet'!$A$88&gt;35,BD29+BC30-BL29,IF(A30&lt;'Données projet'!$A$88,$BA$205^A30,IF(A30='Données projet'!$A$88,'Données projet'!$B$88,BD29+BC30-BL29)))</f>
        <v>86.630038558378459</v>
      </c>
      <c r="BE30" s="13">
        <f>BD30*VLOOKUP('Données projet'!$B$11,Paramètres!$A$1:$I$89,3,0)*VLOOKUP('Données projet'!$B$11,Paramètres!$A$1:$I$89,5,0)</f>
        <v>48.42619155413356</v>
      </c>
      <c r="BF30" s="13">
        <f t="shared" si="37"/>
        <v>14.206563331723023</v>
      </c>
      <c r="BG30" s="20">
        <f t="shared" si="7"/>
        <v>109.08538142620021</v>
      </c>
      <c r="BH30" s="59">
        <f t="shared" si="8"/>
        <v>402.41871475953354</v>
      </c>
      <c r="BI30" s="59">
        <f ca="1">AVERAGE(OFFSET($BH$3,0,0,'Données projet'!$E$11+1,1))-AVERAGE(OFFSET($H$3,0,0,'Données projet'!$E$11+1,1))</f>
        <v>293.82673322742102</v>
      </c>
      <c r="BJ30" s="59">
        <f t="shared" si="38"/>
        <v>138.78566015867693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10.064285714285713</v>
      </c>
      <c r="N31" s="13">
        <f>IF('Données projet'!$A$36&gt;35,N30+M31-V30,IF(A31&lt;'Données projet'!$A$36,$K$205^A31,IF(A31='Données projet'!$A$36,'Données projet'!$B$36,N30+M31-V30)))</f>
        <v>281.79999999999995</v>
      </c>
      <c r="O31" s="13">
        <f>N31*VLOOKUP('Données projet'!$B$9,Paramètres!$A$1:$I$89,3,0)*VLOOKUP('Données projet'!$B$9,Paramètres!$A$1:$I$89,5,0)</f>
        <v>131.88239999999999</v>
      </c>
      <c r="P31" s="13">
        <f t="shared" si="33"/>
        <v>34.430962101284734</v>
      </c>
      <c r="Q31" s="20">
        <f t="shared" si="2"/>
        <v>289.66243899307091</v>
      </c>
      <c r="R31" s="59">
        <f t="shared" si="0"/>
        <v>582.99577232640422</v>
      </c>
      <c r="S31" s="59">
        <f ca="1">AVERAGE(OFFSET($R$3,0,0,'Données projet'!$E$9+1,1))-AVERAGE(OFFSET($H$3,0,0,'Données projet'!$E$9+1,1))</f>
        <v>263.84804661819163</v>
      </c>
      <c r="T31" s="59">
        <f t="shared" si="34"/>
        <v>271.81541836379307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16.621666666666666</v>
      </c>
      <c r="AI31" s="13">
        <f>IF('Données projet'!$A$62&gt;35,AI30+AH31-AQ30,IF(A31&lt;'Données projet'!$A$62,$AF$205^A31,IF(A31='Données projet'!$A$62,'Données projet'!$B$62,AI30+AH31-AQ30)))</f>
        <v>134.54166666666669</v>
      </c>
      <c r="AJ31" s="13">
        <f>AI31*VLOOKUP('Données projet'!$B$10,Paramètres!$A$1:$I$89,3,0)*VLOOKUP('Données projet'!$B$10,Paramètres!$A$1:$I$89,5,0)</f>
        <v>80.455916666666681</v>
      </c>
      <c r="AK31" s="13">
        <f t="shared" si="35"/>
        <v>22.248621228387805</v>
      </c>
      <c r="AL31" s="20">
        <f t="shared" si="4"/>
        <v>178.8770701672199</v>
      </c>
      <c r="AM31" s="59">
        <f t="shared" si="5"/>
        <v>472.21040350055318</v>
      </c>
      <c r="AN31" s="59">
        <f ca="1">AVERAGE(OFFSET($AM$3,0,0,'Données projet'!$E$10+1,1))-AVERAGE(OFFSET($H$3,0,0,'Données projet'!$E$10+1,1))</f>
        <v>270.04187128233121</v>
      </c>
      <c r="AO31" s="59">
        <f t="shared" si="36"/>
        <v>183.82555940776064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7.4885902380472702</v>
      </c>
      <c r="AV31" s="21">
        <f>EXP(-LN(2)/25)*AV30+(1-EXP(-LN(2)/25))/(LN(2)/25)*Calculateur!AQ31*Calculateur!AS31*VLOOKUP('Données projet'!$B$10,Paramètres!$A$1:$I$89,3,0)*0.475*44/12</f>
        <v>10.715531727924608</v>
      </c>
      <c r="AW31" s="21">
        <f>EXP(-LN(2)/2)*AW30+(1-EXP(-LN(2)/2))/(LN(2)/2)*AQ31*AT31*VLOOKUP('Données projet'!$B$10,Paramètres!$A$1:$I$89,3,0)*0.475*44/12</f>
        <v>8.5929357219915623</v>
      </c>
      <c r="AX31" s="21">
        <f t="shared" si="6"/>
        <v>26.797057687963441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8.1011764705882356</v>
      </c>
      <c r="BD31" s="12">
        <f>IF('Données projet'!$A$88&gt;35,BD30+BC31-BL30,IF(A31&lt;'Données projet'!$A$88,$BA$205^A31,IF(A31='Données projet'!$A$88,'Données projet'!$B$88,BD30+BC31-BL30)))</f>
        <v>102.19602596618446</v>
      </c>
      <c r="BE31" s="13">
        <f>BD31*VLOOKUP('Données projet'!$B$11,Paramètres!$A$1:$I$89,3,0)*VLOOKUP('Données projet'!$B$11,Paramètres!$A$1:$I$89,5,0)</f>
        <v>57.127578515097113</v>
      </c>
      <c r="BF31" s="13">
        <f t="shared" si="37"/>
        <v>16.439970267964245</v>
      </c>
      <c r="BG31" s="20">
        <f t="shared" si="7"/>
        <v>128.13014746383186</v>
      </c>
      <c r="BH31" s="59">
        <f t="shared" si="8"/>
        <v>421.46348079716518</v>
      </c>
      <c r="BI31" s="59">
        <f ca="1">AVERAGE(OFFSET($BH$3,0,0,'Données projet'!$E$11+1,1))-AVERAGE(OFFSET($H$3,0,0,'Données projet'!$E$11+1,1))</f>
        <v>293.82673322742102</v>
      </c>
      <c r="BJ31" s="59">
        <f t="shared" si="38"/>
        <v>138.78566015867693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10.064285714285713</v>
      </c>
      <c r="N32" s="13">
        <f>IF('Données projet'!$A$36&gt;35,N31+M32-V31,IF(A32&lt;'Données projet'!$A$36,$K$205^A32,IF(A32='Données projet'!$A$36,'Données projet'!$B$36,N31+M32-V31)))</f>
        <v>291.86428571428564</v>
      </c>
      <c r="O32" s="13">
        <f>N32*VLOOKUP('Données projet'!$B$9,Paramètres!$A$1:$I$89,3,0)*VLOOKUP('Données projet'!$B$9,Paramètres!$A$1:$I$89,5,0)</f>
        <v>136.59248571428569</v>
      </c>
      <c r="P32" s="13">
        <f t="shared" si="33"/>
        <v>35.515275895321146</v>
      </c>
      <c r="Q32" s="20">
        <f t="shared" si="2"/>
        <v>299.75435147006522</v>
      </c>
      <c r="R32" s="59">
        <f t="shared" si="0"/>
        <v>593.08768480339859</v>
      </c>
      <c r="S32" s="59">
        <f ca="1">AVERAGE(OFFSET($R$3,0,0,'Données projet'!$E$9+1,1))-AVERAGE(OFFSET($H$3,0,0,'Données projet'!$E$9+1,1))</f>
        <v>263.84804661819163</v>
      </c>
      <c r="T32" s="59">
        <f t="shared" si="34"/>
        <v>271.81541836379307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16.621666666666666</v>
      </c>
      <c r="AI32" s="13">
        <f>IF('Données projet'!$A$62&gt;35,AI31+AH32-AQ31,IF(A32&lt;'Données projet'!$A$62,$AF$205^A32,IF(A32='Données projet'!$A$62,'Données projet'!$B$62,AI31+AH32-AQ31)))</f>
        <v>151.16333333333336</v>
      </c>
      <c r="AJ32" s="13">
        <f>AI32*VLOOKUP('Données projet'!$B$10,Paramètres!$A$1:$I$89,3,0)*VLOOKUP('Données projet'!$B$10,Paramètres!$A$1:$I$89,5,0)</f>
        <v>90.395673333333363</v>
      </c>
      <c r="AK32" s="13">
        <f t="shared" si="35"/>
        <v>24.660627497212822</v>
      </c>
      <c r="AL32" s="20">
        <f t="shared" si="4"/>
        <v>200.38972394653459</v>
      </c>
      <c r="AM32" s="59">
        <f t="shared" si="5"/>
        <v>493.72305727986793</v>
      </c>
      <c r="AN32" s="59">
        <f ca="1">AVERAGE(OFFSET($AM$3,0,0,'Données projet'!$E$10+1,1))-AVERAGE(OFFSET($H$3,0,0,'Données projet'!$E$10+1,1))</f>
        <v>270.04187128233121</v>
      </c>
      <c r="AO32" s="59">
        <f t="shared" si="36"/>
        <v>183.82555940776064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7.3417435510681965</v>
      </c>
      <c r="AV32" s="21">
        <f>EXP(-LN(2)/25)*AV31+(1-EXP(-LN(2)/25))/(LN(2)/25)*Calculateur!AQ32*Calculateur!AS32*VLOOKUP('Données projet'!$B$10,Paramètres!$A$1:$I$89,3,0)*0.475*44/12</f>
        <v>10.422514949319186</v>
      </c>
      <c r="AW32" s="21">
        <f>EXP(-LN(2)/2)*AW31+(1-EXP(-LN(2)/2))/(LN(2)/2)*AQ32*AT32*VLOOKUP('Données projet'!$B$10,Paramètres!$A$1:$I$89,3,0)*0.475*44/12</f>
        <v>6.0761231193203562</v>
      </c>
      <c r="AX32" s="21">
        <f t="shared" si="6"/>
        <v>23.840381619707742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8.1011764705882356</v>
      </c>
      <c r="BD32" s="12">
        <f>IF('Données projet'!$A$88&gt;35,BD31+BC32-BL31,IF(A32&lt;'Données projet'!$A$88,$BA$205^A32,IF(A32='Données projet'!$A$88,'Données projet'!$B$88,BD31+BC32-BL31)))</f>
        <v>120.55896427014747</v>
      </c>
      <c r="BE32" s="13">
        <f>BD32*VLOOKUP('Données projet'!$B$11,Paramètres!$A$1:$I$89,3,0)*VLOOKUP('Données projet'!$B$11,Paramètres!$A$1:$I$89,5,0)</f>
        <v>67.39246102701243</v>
      </c>
      <c r="BF32" s="13">
        <f t="shared" si="37"/>
        <v>19.024490026242582</v>
      </c>
      <c r="BG32" s="20">
        <f t="shared" si="7"/>
        <v>150.50952308441916</v>
      </c>
      <c r="BH32" s="59">
        <f t="shared" si="8"/>
        <v>443.8428564177525</v>
      </c>
      <c r="BI32" s="59">
        <f ca="1">AVERAGE(OFFSET($BH$3,0,0,'Données projet'!$E$11+1,1))-AVERAGE(OFFSET($H$3,0,0,'Données projet'!$E$11+1,1))</f>
        <v>293.82673322742102</v>
      </c>
      <c r="BJ32" s="59">
        <f t="shared" si="38"/>
        <v>138.78566015867693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10.064285714285713</v>
      </c>
      <c r="N33" s="13">
        <f>IF('Données projet'!$A$36&gt;35,N32+M33-V32,IF(A33&lt;'Données projet'!$A$36,$K$205^A33,IF(A33='Données projet'!$A$36,'Données projet'!$B$36,N32+M33-V32)))</f>
        <v>301.92857142857133</v>
      </c>
      <c r="O33" s="13">
        <f>N33*VLOOKUP('Données projet'!$B$9,Paramètres!$A$1:$I$89,3,0)*VLOOKUP('Données projet'!$B$9,Paramètres!$A$1:$I$89,5,0)</f>
        <v>141.30257142857138</v>
      </c>
      <c r="P33" s="13">
        <f t="shared" si="33"/>
        <v>36.595245291390874</v>
      </c>
      <c r="Q33" s="20">
        <f t="shared" si="2"/>
        <v>309.83869745393423</v>
      </c>
      <c r="R33" s="59">
        <f t="shared" si="0"/>
        <v>603.17203078726754</v>
      </c>
      <c r="S33" s="59">
        <f ca="1">AVERAGE(OFFSET($R$3,0,0,'Données projet'!$E$9+1,1))-AVERAGE(OFFSET($H$3,0,0,'Données projet'!$E$9+1,1))</f>
        <v>263.84804661819163</v>
      </c>
      <c r="T33" s="59">
        <f t="shared" si="34"/>
        <v>271.81541836379307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16.621666666666666</v>
      </c>
      <c r="AI33" s="13">
        <f>IF('Données projet'!$A$62&gt;35,AI32+AH33-AQ32,IF(A33&lt;'Données projet'!$A$62,$AF$205^A33,IF(A33='Données projet'!$A$62,'Données projet'!$B$62,AI32+AH33-AQ32)))</f>
        <v>167.78500000000003</v>
      </c>
      <c r="AJ33" s="13">
        <f>AI33*VLOOKUP('Données projet'!$B$10,Paramètres!$A$1:$I$89,3,0)*VLOOKUP('Données projet'!$B$10,Paramètres!$A$1:$I$89,5,0)</f>
        <v>100.33543000000002</v>
      </c>
      <c r="AK33" s="13">
        <f t="shared" si="35"/>
        <v>27.041893539465132</v>
      </c>
      <c r="AL33" s="20">
        <f t="shared" si="4"/>
        <v>221.84883849790182</v>
      </c>
      <c r="AM33" s="59">
        <f t="shared" si="5"/>
        <v>515.18217183123511</v>
      </c>
      <c r="AN33" s="59">
        <f ca="1">AVERAGE(OFFSET($AM$3,0,0,'Données projet'!$E$10+1,1))-AVERAGE(OFFSET($H$3,0,0,'Données projet'!$E$10+1,1))</f>
        <v>270.04187128233121</v>
      </c>
      <c r="AO33" s="59">
        <f t="shared" si="36"/>
        <v>183.82555940776064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7.1977764380531477</v>
      </c>
      <c r="AV33" s="21">
        <f>EXP(-LN(2)/25)*AV32+(1-EXP(-LN(2)/25))/(LN(2)/25)*Calculateur!AQ33*Calculateur!AS33*VLOOKUP('Données projet'!$B$10,Paramètres!$A$1:$I$89,3,0)*0.475*44/12</f>
        <v>10.137510729933814</v>
      </c>
      <c r="AW33" s="21">
        <f>EXP(-LN(2)/2)*AW32+(1-EXP(-LN(2)/2))/(LN(2)/2)*AQ33*AT33*VLOOKUP('Données projet'!$B$10,Paramètres!$A$1:$I$89,3,0)*0.475*44/12</f>
        <v>4.296467860995782</v>
      </c>
      <c r="AX33" s="21">
        <f t="shared" si="6"/>
        <v>21.631755028982745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8.1011764705882356</v>
      </c>
      <c r="BD33" s="12">
        <f>IF('Données projet'!$A$88&gt;35,BD32+BC33-BL32,IF(A33&lt;'Données projet'!$A$88,$BA$205^A33,IF(A33='Données projet'!$A$88,'Données projet'!$B$88,BD32+BC33-BL32)))</f>
        <v>142.22141936027916</v>
      </c>
      <c r="BE33" s="13">
        <f>BD33*VLOOKUP('Données projet'!$B$11,Paramètres!$A$1:$I$89,3,0)*VLOOKUP('Données projet'!$B$11,Paramètres!$A$1:$I$89,5,0)</f>
        <v>79.501773422396042</v>
      </c>
      <c r="BF33" s="13">
        <f t="shared" si="37"/>
        <v>22.015320883145442</v>
      </c>
      <c r="BG33" s="20">
        <f t="shared" si="7"/>
        <v>176.80893924881809</v>
      </c>
      <c r="BH33" s="59">
        <f t="shared" si="8"/>
        <v>470.14227258215141</v>
      </c>
      <c r="BI33" s="59">
        <f ca="1">AVERAGE(OFFSET($BH$3,0,0,'Données projet'!$E$11+1,1))-AVERAGE(OFFSET($H$3,0,0,'Données projet'!$E$11+1,1))</f>
        <v>293.82673322742102</v>
      </c>
      <c r="BJ33" s="59">
        <f t="shared" si="38"/>
        <v>138.78566015867693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10.064285714285713</v>
      </c>
      <c r="N34" s="13">
        <f>IF('Données projet'!$A$36&gt;35,N33+M34-V33,IF(A34&lt;'Données projet'!$A$36,$K$205^A34,IF(A34='Données projet'!$A$36,'Données projet'!$B$36,N33+M34-V33)))</f>
        <v>311.99285714285702</v>
      </c>
      <c r="O34" s="13">
        <f>N34*VLOOKUP('Données projet'!$B$9,Paramètres!$A$1:$I$89,3,0)*VLOOKUP('Données projet'!$B$9,Paramètres!$A$1:$I$89,5,0)</f>
        <v>146.01265714285708</v>
      </c>
      <c r="P34" s="13">
        <f t="shared" si="33"/>
        <v>37.671031706505445</v>
      </c>
      <c r="Q34" s="20">
        <f t="shared" si="2"/>
        <v>319.91575807930639</v>
      </c>
      <c r="R34" s="59">
        <f t="shared" si="0"/>
        <v>613.2490914126397</v>
      </c>
      <c r="S34" s="59">
        <f ca="1">AVERAGE(OFFSET($R$3,0,0,'Données projet'!$E$9+1,1))-AVERAGE(OFFSET($H$3,0,0,'Données projet'!$E$9+1,1))</f>
        <v>263.84804661819163</v>
      </c>
      <c r="T34" s="59">
        <f t="shared" si="34"/>
        <v>271.81541836379307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16.621666666666666</v>
      </c>
      <c r="AI34" s="13">
        <f>IF('Données projet'!$A$62&gt;35,AI33+AH34-AQ33,IF(A34&lt;'Données projet'!$A$62,$AF$205^A34,IF(A34='Données projet'!$A$62,'Données projet'!$B$62,AI33+AH34-AQ33)))</f>
        <v>184.40666666666669</v>
      </c>
      <c r="AJ34" s="13">
        <f>AI34*VLOOKUP('Données projet'!$B$10,Paramètres!$A$1:$I$89,3,0)*VLOOKUP('Données projet'!$B$10,Paramètres!$A$1:$I$89,5,0)</f>
        <v>110.27518666666668</v>
      </c>
      <c r="AK34" s="13">
        <f t="shared" si="35"/>
        <v>29.395811266319566</v>
      </c>
      <c r="AL34" s="20">
        <f t="shared" si="4"/>
        <v>243.26032139995104</v>
      </c>
      <c r="AM34" s="59">
        <f t="shared" si="5"/>
        <v>536.59365473328432</v>
      </c>
      <c r="AN34" s="59">
        <f ca="1">AVERAGE(OFFSET($AM$3,0,0,'Données projet'!$E$10+1,1))-AVERAGE(OFFSET($H$3,0,0,'Données projet'!$E$10+1,1))</f>
        <v>270.04187128233121</v>
      </c>
      <c r="AO34" s="59">
        <f t="shared" si="36"/>
        <v>183.82555940776064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7.0566324323130551</v>
      </c>
      <c r="AV34" s="21">
        <f>EXP(-LN(2)/25)*AV33+(1-EXP(-LN(2)/25))/(LN(2)/25)*Calculateur!AQ34*Calculateur!AS34*VLOOKUP('Données projet'!$B$10,Paramètres!$A$1:$I$89,3,0)*0.475*44/12</f>
        <v>9.860299965915253</v>
      </c>
      <c r="AW34" s="21">
        <f>EXP(-LN(2)/2)*AW33+(1-EXP(-LN(2)/2))/(LN(2)/2)*AQ34*AT34*VLOOKUP('Données projet'!$B$10,Paramètres!$A$1:$I$89,3,0)*0.475*44/12</f>
        <v>3.0380615596601785</v>
      </c>
      <c r="AX34" s="21">
        <f t="shared" si="6"/>
        <v>19.954993957888487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8.1011764705882356</v>
      </c>
      <c r="BD34" s="12">
        <f>IF('Données projet'!$A$88&gt;35,BD33+BC34-BL33,IF(A34&lt;'Données projet'!$A$88,$BA$205^A34,IF(A34='Données projet'!$A$88,'Données projet'!$B$88,BD33+BC34-BL33)))</f>
        <v>167.77625991815964</v>
      </c>
      <c r="BE34" s="13">
        <f>BD34*VLOOKUP('Données projet'!$B$11,Paramètres!$A$1:$I$89,3,0)*VLOOKUP('Données projet'!$B$11,Paramètres!$A$1:$I$89,5,0)</f>
        <v>93.786929294251237</v>
      </c>
      <c r="BF34" s="13">
        <f t="shared" si="37"/>
        <v>25.47633880957099</v>
      </c>
      <c r="BG34" s="20">
        <f t="shared" si="7"/>
        <v>207.71685861415708</v>
      </c>
      <c r="BH34" s="59">
        <f t="shared" si="8"/>
        <v>501.05019194749036</v>
      </c>
      <c r="BI34" s="59">
        <f ca="1">AVERAGE(OFFSET($BH$3,0,0,'Données projet'!$E$11+1,1))-AVERAGE(OFFSET($H$3,0,0,'Données projet'!$E$11+1,1))</f>
        <v>293.82673322742102</v>
      </c>
      <c r="BJ34" s="59">
        <f t="shared" si="38"/>
        <v>138.78566015867693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10.064285714285713</v>
      </c>
      <c r="N35" s="13">
        <f>IF('Données projet'!$A$36&gt;35,N34+M35-V34,IF(A35&lt;'Données projet'!$A$36,$K$205^A35,IF(A35='Données projet'!$A$36,'Données projet'!$B$36,N34+M35-V34)))</f>
        <v>322.05714285714271</v>
      </c>
      <c r="O35" s="13">
        <f>N35*VLOOKUP('Données projet'!$B$9,Paramètres!$A$1:$I$89,3,0)*VLOOKUP('Données projet'!$B$9,Paramètres!$A$1:$I$89,5,0)</f>
        <v>150.7227428571428</v>
      </c>
      <c r="P35" s="13">
        <f t="shared" si="33"/>
        <v>38.742785552446897</v>
      </c>
      <c r="Q35" s="20">
        <f t="shared" ref="Q35:Q66" si="53">(O35+P35)*0.475*44/12</f>
        <v>329.98579531336867</v>
      </c>
      <c r="R35" s="59">
        <f t="shared" si="0"/>
        <v>623.31912864670198</v>
      </c>
      <c r="S35" s="59">
        <f ca="1">AVERAGE(OFFSET($R$3,0,0,'Données projet'!$E$9+1,1))-AVERAGE(OFFSET($H$3,0,0,'Données projet'!$E$9+1,1))</f>
        <v>263.84804661819163</v>
      </c>
      <c r="T35" s="59">
        <f t="shared" si="34"/>
        <v>271.81541836379307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16.621666666666666</v>
      </c>
      <c r="AI35" s="13">
        <f>IF('Données projet'!$A$62&gt;35,AI34+AH35-AQ34,IF(A35&lt;'Données projet'!$A$62,$AF$205^A35,IF(A35='Données projet'!$A$62,'Données projet'!$B$62,AI34+AH35-AQ34)))</f>
        <v>201.02833333333336</v>
      </c>
      <c r="AJ35" s="13">
        <f>AI35*VLOOKUP('Données projet'!$B$10,Paramètres!$A$1:$I$89,3,0)*VLOOKUP('Données projet'!$B$10,Paramètres!$A$1:$I$89,5,0)</f>
        <v>120.21494333333335</v>
      </c>
      <c r="AK35" s="13">
        <f t="shared" si="35"/>
        <v>31.725126074196275</v>
      </c>
      <c r="AL35" s="20">
        <f t="shared" si="4"/>
        <v>264.62895421811407</v>
      </c>
      <c r="AM35" s="59">
        <f t="shared" si="5"/>
        <v>557.96228755144739</v>
      </c>
      <c r="AN35" s="59">
        <f ca="1">AVERAGE(OFFSET($AM$3,0,0,'Données projet'!$E$10+1,1))-AVERAGE(OFFSET($H$3,0,0,'Données projet'!$E$10+1,1))</f>
        <v>270.04187128233121</v>
      </c>
      <c r="AO35" s="59">
        <f t="shared" si="36"/>
        <v>183.82555940776064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6.9182561744361832</v>
      </c>
      <c r="AV35" s="21">
        <f>EXP(-LN(2)/25)*AV34+(1-EXP(-LN(2)/25))/(LN(2)/25)*Calculateur!AQ35*Calculateur!AS35*VLOOKUP('Données projet'!$B$10,Paramètres!$A$1:$I$89,3,0)*0.475*44/12</f>
        <v>9.5906695448166612</v>
      </c>
      <c r="AW35" s="21">
        <f>EXP(-LN(2)/2)*AW34+(1-EXP(-LN(2)/2))/(LN(2)/2)*AQ35*AT35*VLOOKUP('Données projet'!$B$10,Paramètres!$A$1:$I$89,3,0)*0.475*44/12</f>
        <v>2.1482339304978915</v>
      </c>
      <c r="AX35" s="21">
        <f t="shared" si="6"/>
        <v>18.657159649750735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8.1011764705882356</v>
      </c>
      <c r="BD35" s="12">
        <f>IF('Données projet'!$A$88&gt;35,BD34+BC35-BL34,IF(A35&lt;'Données projet'!$A$88,$BA$205^A35,IF(A35='Données projet'!$A$88,'Données projet'!$B$88,BD34+BC35-BL34)))</f>
        <v>197.92288333741328</v>
      </c>
      <c r="BE35" s="13">
        <f>BD35*VLOOKUP('Données projet'!$B$11,Paramètres!$A$1:$I$89,3,0)*VLOOKUP('Données projet'!$B$11,Paramètres!$A$1:$I$89,5,0)</f>
        <v>110.63889178561404</v>
      </c>
      <c r="BF35" s="13">
        <f t="shared" si="37"/>
        <v>29.481461686845066</v>
      </c>
      <c r="BG35" s="20">
        <f t="shared" si="7"/>
        <v>244.04294896453294</v>
      </c>
      <c r="BH35" s="59">
        <f t="shared" si="8"/>
        <v>537.37628229786628</v>
      </c>
      <c r="BI35" s="59">
        <f ca="1">AVERAGE(OFFSET($BH$3,0,0,'Données projet'!$E$11+1,1))-AVERAGE(OFFSET($H$3,0,0,'Données projet'!$E$11+1,1))</f>
        <v>293.82673322742102</v>
      </c>
      <c r="BJ35" s="59">
        <f t="shared" si="38"/>
        <v>138.78566015867693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10.064285714285713</v>
      </c>
      <c r="N36" s="13">
        <f>IF('Données projet'!$A$36&gt;35,N35+M36-V35,IF(A36&lt;'Données projet'!$A$36,$K$205^A36,IF(A36='Données projet'!$A$36,'Données projet'!$B$36,N35+M36-V35)))</f>
        <v>332.1214285714284</v>
      </c>
      <c r="O36" s="13">
        <f>N36*VLOOKUP('Données projet'!$B$9,Paramètres!$A$1:$I$89,3,0)*VLOOKUP('Données projet'!$B$9,Paramètres!$A$1:$I$89,5,0)</f>
        <v>155.43282857142847</v>
      </c>
      <c r="P36" s="13">
        <f t="shared" si="33"/>
        <v>39.810647306302705</v>
      </c>
      <c r="Q36" s="20">
        <f t="shared" si="53"/>
        <v>340.0490538203818</v>
      </c>
      <c r="R36" s="59">
        <f t="shared" si="0"/>
        <v>633.38238715371517</v>
      </c>
      <c r="S36" s="59">
        <f ca="1">AVERAGE(OFFSET($R$3,0,0,'Données projet'!$E$9+1,1))-AVERAGE(OFFSET($H$3,0,0,'Données projet'!$E$9+1,1))</f>
        <v>263.84804661819163</v>
      </c>
      <c r="T36" s="59">
        <f t="shared" si="34"/>
        <v>271.81541836379307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217.65</v>
      </c>
      <c r="AG36" s="12">
        <f>VLOOKUP(A36,'Données projet'!$A$61:$I$81,9,0)</f>
        <v>16.621666666666666</v>
      </c>
      <c r="AH36" s="12">
        <f t="array" ref="AH36">INDEX(AG:AG,MIN(IF(ISNUMBER(AG36:AG232),ROW(AG36:AG232),"")))</f>
        <v>16.621666666666666</v>
      </c>
      <c r="AI36" s="13">
        <f>IF('Données projet'!$A$62&gt;35,AI35+AH36-AQ35,IF(A36&lt;'Données projet'!$A$62,$AF$205^A36,IF(A36='Données projet'!$A$62,'Données projet'!$B$62,AI35+AH36-AQ35)))</f>
        <v>217.65000000000003</v>
      </c>
      <c r="AJ36" s="13">
        <f>AI36*VLOOKUP('Données projet'!$B$10,Paramètres!$A$1:$I$89,3,0)*VLOOKUP('Données projet'!$B$10,Paramètres!$A$1:$I$89,5,0)</f>
        <v>130.15470000000002</v>
      </c>
      <c r="AK36" s="13">
        <f t="shared" si="35"/>
        <v>34.032103485601695</v>
      </c>
      <c r="AL36" s="20">
        <f t="shared" si="4"/>
        <v>285.95868273742298</v>
      </c>
      <c r="AM36" s="59">
        <f t="shared" si="5"/>
        <v>579.29201607075629</v>
      </c>
      <c r="AN36" s="59">
        <f ca="1">AVERAGE(OFFSET($AM$3,0,0,'Données projet'!$E$10+1,1))-AVERAGE(OFFSET($H$3,0,0,'Données projet'!$E$10+1,1))</f>
        <v>270.04187128233121</v>
      </c>
      <c r="AO36" s="59">
        <f t="shared" si="36"/>
        <v>183.82555940776064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50.460000000000008</v>
      </c>
      <c r="AR36" s="16">
        <f>IF(ISNA(VLOOKUP(A36,'Données projet'!$A$61:$I$81,5,0)),0%,VLOOKUP(A36,'Données projet'!$A$61:$I$81,5,0)*VLOOKUP('Données projet'!$B$10,Paramètres!$A$1:$I$89,7,0))</f>
        <v>0.1125</v>
      </c>
      <c r="AS36" s="16">
        <f>IF(ISNA(VLOOKUP(A36,'Données projet'!$A$61:$I$81,6,0)),0%,VLOOKUP(A36,'Données projet'!$A$61:$I$81,6,0)*VLOOKUP('Données projet'!$B$10,Paramètres!$A$1:$I$89,7,0))</f>
        <v>0.16650000000000001</v>
      </c>
      <c r="AT36" s="16">
        <f>IF(ISNA(VLOOKUP(A36,'Données projet'!$A$61:$I$81,7,0)),0%,VLOOKUP(A36,'Données projet'!$A$61:$I$81,7,0))</f>
        <v>0.38</v>
      </c>
      <c r="AU36" s="21">
        <f>EXP(-LN(2)/35)*AU35+(1-EXP(-LN(2)/35))/(LN(2)/35)*AQ36*AR36*VLOOKUP('Données projet'!$B$10,Paramètres!$A$1:$I$89,3,0)*0.475*44/12</f>
        <v>11.285877104480107</v>
      </c>
      <c r="AV36" s="21">
        <f>EXP(-LN(2)/25)*AV35+(1-EXP(-LN(2)/25))/(LN(2)/25)*Calculateur!AQ36*Calculateur!AS36*VLOOKUP('Données projet'!$B$10,Paramètres!$A$1:$I$89,3,0)*0.475*44/12</f>
        <v>15.967029985418133</v>
      </c>
      <c r="AW36" s="21">
        <f>EXP(-LN(2)/2)*AW35+(1-EXP(-LN(2)/2))/(LN(2)/2)*AQ36*AT36*VLOOKUP('Données projet'!$B$10,Paramètres!$A$1:$I$89,3,0)*0.475*44/12</f>
        <v>14.501806839279157</v>
      </c>
      <c r="AX36" s="21">
        <f t="shared" si="6"/>
        <v>41.754713929177399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8.1011764705882356</v>
      </c>
      <c r="BD36" s="12">
        <f>IF('Données projet'!$A$88&gt;35,BD35+BC36-BL35,IF(A36&lt;'Données projet'!$A$88,$BA$205^A36,IF(A36='Données projet'!$A$88,'Données projet'!$B$88,BD35+BC36-BL35)))</f>
        <v>233.48635717415513</v>
      </c>
      <c r="BE36" s="13">
        <f>BD36*VLOOKUP('Données projet'!$B$11,Paramètres!$A$1:$I$89,3,0)*VLOOKUP('Données projet'!$B$11,Paramètres!$A$1:$I$89,5,0)</f>
        <v>130.51887366035271</v>
      </c>
      <c r="BF36" s="13">
        <f t="shared" si="37"/>
        <v>34.116227990592911</v>
      </c>
      <c r="BG36" s="20">
        <f t="shared" si="7"/>
        <v>286.73946870873027</v>
      </c>
      <c r="BH36" s="59">
        <f t="shared" si="8"/>
        <v>580.07280204206359</v>
      </c>
      <c r="BI36" s="59">
        <f ca="1">AVERAGE(OFFSET($BH$3,0,0,'Données projet'!$E$11+1,1))-AVERAGE(OFFSET($H$3,0,0,'Données projet'!$E$11+1,1))</f>
        <v>293.82673322742102</v>
      </c>
      <c r="BJ36" s="59">
        <f t="shared" si="38"/>
        <v>138.78566015867693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10.064285714285713</v>
      </c>
      <c r="N37" s="13">
        <f>IF('Données projet'!$A$36&gt;35,N36+M37-V36,IF(A37&lt;'Données projet'!$A$36,$K$205^A37,IF(A37='Données projet'!$A$36,'Données projet'!$B$36,N36+M37-V36)))</f>
        <v>342.18571428571408</v>
      </c>
      <c r="O37" s="13">
        <f>N37*VLOOKUP('Données projet'!$B$9,Paramètres!$A$1:$I$89,3,0)*VLOOKUP('Données projet'!$B$9,Paramètres!$A$1:$I$89,5,0)</f>
        <v>160.1429142857142</v>
      </c>
      <c r="P37" s="13">
        <f t="shared" si="33"/>
        <v>40.8747484475928</v>
      </c>
      <c r="Q37" s="20">
        <f t="shared" si="53"/>
        <v>350.10576259384294</v>
      </c>
      <c r="R37" s="59">
        <f t="shared" si="0"/>
        <v>643.43909592717625</v>
      </c>
      <c r="S37" s="59">
        <f ca="1">AVERAGE(OFFSET($R$3,0,0,'Données projet'!$E$9+1,1))-AVERAGE(OFFSET($H$3,0,0,'Données projet'!$E$9+1,1))</f>
        <v>263.84804661819163</v>
      </c>
      <c r="T37" s="59">
        <f t="shared" si="34"/>
        <v>271.81541836379307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16.693750000000001</v>
      </c>
      <c r="AI37" s="13">
        <f>IF('Données projet'!$A$62&gt;35,AI36+AH37-AQ36,IF(A37&lt;'Données projet'!$A$62,$AF$205^A37,IF(A37='Données projet'!$A$62,'Données projet'!$B$62,AI36+AH37-AQ36)))</f>
        <v>183.88375000000002</v>
      </c>
      <c r="AJ37" s="13">
        <f>AI37*VLOOKUP('Données projet'!$B$10,Paramètres!$A$1:$I$89,3,0)*VLOOKUP('Données projet'!$B$10,Paramètres!$A$1:$I$89,5,0)</f>
        <v>109.96248250000002</v>
      </c>
      <c r="AK37" s="13">
        <f t="shared" si="35"/>
        <v>29.322144981447174</v>
      </c>
      <c r="AL37" s="20">
        <f t="shared" si="4"/>
        <v>242.58739286352048</v>
      </c>
      <c r="AM37" s="59">
        <f t="shared" si="5"/>
        <v>535.92072619685382</v>
      </c>
      <c r="AN37" s="59">
        <f ca="1">AVERAGE(OFFSET($AM$3,0,0,'Données projet'!$E$10+1,1))-AVERAGE(OFFSET($H$3,0,0,'Données projet'!$E$10+1,1))</f>
        <v>270.04187128233121</v>
      </c>
      <c r="AO37" s="59">
        <f t="shared" si="36"/>
        <v>183.82555940776064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11.064567938166578</v>
      </c>
      <c r="AV37" s="21">
        <f>EXP(-LN(2)/25)*AV36+(1-EXP(-LN(2)/25))/(LN(2)/25)*Calculateur!AQ37*Calculateur!AS37*VLOOKUP('Données projet'!$B$10,Paramètres!$A$1:$I$89,3,0)*0.475*44/12</f>
        <v>15.530410710797261</v>
      </c>
      <c r="AW37" s="21">
        <f>EXP(-LN(2)/2)*AW36+(1-EXP(-LN(2)/2))/(LN(2)/2)*AQ37*AT37*VLOOKUP('Données projet'!$B$10,Paramètres!$A$1:$I$89,3,0)*0.475*44/12</f>
        <v>10.254325955511746</v>
      </c>
      <c r="AX37" s="21">
        <f t="shared" si="6"/>
        <v>36.849304604475584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275.44</v>
      </c>
      <c r="BB37" s="12">
        <f>VLOOKUP(A37,'Données projet'!$A$87:$I$107,9,0)</f>
        <v>8.1011764705882356</v>
      </c>
      <c r="BC37" s="12">
        <f t="array" ref="BC37">INDEX(BB:BB,MIN(IF(ISNUMBER(BB37:BB233),ROW(BB37:BB233),"")))</f>
        <v>8.1011764705882356</v>
      </c>
      <c r="BD37" s="12">
        <f>IF('Données projet'!$A$88&gt;35,BD36+BC37-BL36,IF(A37&lt;'Données projet'!$A$88,$BA$205^A37,IF(A37='Données projet'!$A$88,'Données projet'!$B$88,BD36+BC37-BL36)))</f>
        <v>275.44</v>
      </c>
      <c r="BE37" s="13">
        <f>BD37*VLOOKUP('Données projet'!$B$11,Paramètres!$A$1:$I$89,3,0)*VLOOKUP('Données projet'!$B$11,Paramètres!$A$1:$I$89,5,0)</f>
        <v>153.97095999999999</v>
      </c>
      <c r="BF37" s="13">
        <f t="shared" si="37"/>
        <v>39.479623658736905</v>
      </c>
      <c r="BG37" s="20">
        <f t="shared" si="7"/>
        <v>336.92643320563343</v>
      </c>
      <c r="BH37" s="59">
        <f t="shared" si="8"/>
        <v>630.25976653896669</v>
      </c>
      <c r="BI37" s="59">
        <f ca="1">AVERAGE(OFFSET($BH$3,0,0,'Données projet'!$E$11+1,1))-AVERAGE(OFFSET($H$3,0,0,'Données projet'!$E$11+1,1))</f>
        <v>293.82673322742102</v>
      </c>
      <c r="BJ37" s="59">
        <f t="shared" si="38"/>
        <v>138.78566015867693</v>
      </c>
      <c r="BK37" s="15">
        <f>IF(ISNA(VLOOKUP(A37,'Données projet'!$A$87:$I$107,3,0)),0,VLOOKUP(A37,'Données projet'!$A$87:$I$107,3,0))</f>
        <v>1</v>
      </c>
      <c r="BL37" s="15">
        <f>IF(ISNA(VLOOKUP(A37,'Données projet'!$A$87:$I$107,4,0)),0,VLOOKUP(A37,'Données projet'!$A$87:$I$107,4,0))</f>
        <v>94.509999999999991</v>
      </c>
      <c r="BM37" s="16">
        <f>IF(ISNA(VLOOKUP(A37,'Données projet'!$A$87:$I$107,5,0)),0%,VLOOKUP(A37,'Données projet'!$A$87:$I$107,5,0)*VLOOKUP('Données projet'!$B$11,Paramètres!$A$1:$I$89,7,0))</f>
        <v>0.13750000000000001</v>
      </c>
      <c r="BN37" s="16">
        <f>IF(ISNA(VLOOKUP(A37,'Données projet'!$A$87:$I$107,6,0)),0%,VLOOKUP(A37,'Données projet'!$A$87:$I$107,6,0)*VLOOKUP('Données projet'!$B$11,Paramètres!$A$1:$I$89,7,0))</f>
        <v>0.20350000000000001</v>
      </c>
      <c r="BO37" s="16">
        <f>IF(ISNA(VLOOKUP(A37,'Données projet'!$A$87:$I$107,7,0)),0%,VLOOKUP(A37,'Données projet'!$A$87:$I$107,7,0))</f>
        <v>0.38</v>
      </c>
      <c r="BP37" s="21">
        <f>EXP(-LN(2)/35)*BP36+(1-EXP(-LN(2)/35))/(LN(2)/35)*BL37*BM37*VLOOKUP('Données projet'!$B$11,Paramètres!$A$1:$I$89,3,0)*0.475*44/12</f>
        <v>9.6365288437175085</v>
      </c>
      <c r="BQ37" s="21">
        <f>EXP(-LN(2)/25)*BQ36+(1-EXP(-LN(2)/25))/(LN(2)/25)*Calculateur!BL37*Calculateur!BN37*VLOOKUP('Données projet'!$B$11,Paramètres!$A$1:$I$89,3,0)*0.475*44/12</f>
        <v>14.205907513624572</v>
      </c>
      <c r="BR37" s="21">
        <f>EXP(-LN(2)/2)*BR36+(1-EXP(-LN(2)/2))/(LN(2)/2)*BL37*BO37*VLOOKUP('Données projet'!$B$11,Paramètres!$A$1:$I$89,3,0)*0.475*44/12</f>
        <v>22.730485236380446</v>
      </c>
      <c r="BS37" s="22">
        <f t="shared" si="9"/>
        <v>46.572921593722526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10.064285714285713</v>
      </c>
      <c r="N38" s="13">
        <f>IF('Données projet'!$A$36&gt;35,N37+M38-V37,IF(A38&lt;'Données projet'!$A$36,$K$205^A38,IF(A38='Données projet'!$A$36,'Données projet'!$B$36,N37+M38-V37)))</f>
        <v>352.24999999999977</v>
      </c>
      <c r="O38" s="13">
        <f>N38*VLOOKUP('Données projet'!$B$9,Paramètres!$A$1:$I$89,3,0)*VLOOKUP('Données projet'!$B$9,Paramètres!$A$1:$I$89,5,0)</f>
        <v>164.85299999999989</v>
      </c>
      <c r="P38" s="13">
        <f t="shared" si="33"/>
        <v>41.935212282048305</v>
      </c>
      <c r="Q38" s="20">
        <f t="shared" si="53"/>
        <v>360.15613639123393</v>
      </c>
      <c r="R38" s="59">
        <f t="shared" si="0"/>
        <v>653.48946972456724</v>
      </c>
      <c r="S38" s="59">
        <f ca="1">AVERAGE(OFFSET($R$3,0,0,'Données projet'!$E$9+1,1))-AVERAGE(OFFSET($H$3,0,0,'Données projet'!$E$9+1,1))</f>
        <v>263.84804661819163</v>
      </c>
      <c r="T38" s="59">
        <f t="shared" si="34"/>
        <v>271.81541836379307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16.693750000000001</v>
      </c>
      <c r="AI38" s="13">
        <f>IF('Données projet'!$A$62&gt;35,AI37+AH38-AQ37,IF(A38&lt;'Données projet'!$A$62,$AF$205^A38,IF(A38='Données projet'!$A$62,'Données projet'!$B$62,AI37+AH38-AQ37)))</f>
        <v>200.57750000000001</v>
      </c>
      <c r="AJ38" s="13">
        <f>AI38*VLOOKUP('Données projet'!$B$10,Paramètres!$A$1:$I$89,3,0)*VLOOKUP('Données projet'!$B$10,Paramètres!$A$1:$I$89,5,0)</f>
        <v>119.94534500000002</v>
      </c>
      <c r="AK38" s="13">
        <f t="shared" si="35"/>
        <v>31.662251574949313</v>
      </c>
      <c r="AL38" s="20">
        <f t="shared" si="4"/>
        <v>264.04989736803674</v>
      </c>
      <c r="AM38" s="59">
        <f t="shared" si="5"/>
        <v>557.38323070137005</v>
      </c>
      <c r="AN38" s="59">
        <f ca="1">AVERAGE(OFFSET($AM$3,0,0,'Données projet'!$E$10+1,1))-AVERAGE(OFFSET($H$3,0,0,'Données projet'!$E$10+1,1))</f>
        <v>270.04187128233121</v>
      </c>
      <c r="AO38" s="59">
        <f t="shared" si="36"/>
        <v>183.82555940776064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10.847598509619193</v>
      </c>
      <c r="AV38" s="21">
        <f>EXP(-LN(2)/25)*AV37+(1-EXP(-LN(2)/25))/(LN(2)/25)*Calculateur!AQ38*Calculateur!AS38*VLOOKUP('Données projet'!$B$10,Paramètres!$A$1:$I$89,3,0)*0.475*44/12</f>
        <v>15.105730813201706</v>
      </c>
      <c r="AW38" s="21">
        <f>EXP(-LN(2)/2)*AW37+(1-EXP(-LN(2)/2))/(LN(2)/2)*AQ38*AT38*VLOOKUP('Données projet'!$B$10,Paramètres!$A$1:$I$89,3,0)*0.475*44/12</f>
        <v>7.2509034196395792</v>
      </c>
      <c r="AX38" s="21">
        <f t="shared" si="6"/>
        <v>33.204232742460476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14.286666666666665</v>
      </c>
      <c r="BD38" s="12">
        <f>IF('Données projet'!$A$88&gt;35,BD37+BC38-BL37,IF(A38&lt;'Données projet'!$A$88,$BA$205^A38,IF(A38='Données projet'!$A$88,'Données projet'!$B$88,BD37+BC38-BL37)))</f>
        <v>195.2166666666667</v>
      </c>
      <c r="BE38" s="13">
        <f>BD38*VLOOKUP('Données projet'!$B$11,Paramètres!$A$1:$I$89,3,0)*VLOOKUP('Données projet'!$B$11,Paramètres!$A$1:$I$89,5,0)</f>
        <v>109.12611666666669</v>
      </c>
      <c r="BF38" s="13">
        <f t="shared" si="37"/>
        <v>29.12499536276615</v>
      </c>
      <c r="BG38" s="20">
        <f t="shared" si="7"/>
        <v>240.78735345126222</v>
      </c>
      <c r="BH38" s="59">
        <f t="shared" si="8"/>
        <v>534.12068678459559</v>
      </c>
      <c r="BI38" s="59">
        <f ca="1">AVERAGE(OFFSET($BH$3,0,0,'Données projet'!$E$11+1,1))-AVERAGE(OFFSET($H$3,0,0,'Données projet'!$E$11+1,1))</f>
        <v>293.82673322742102</v>
      </c>
      <c r="BJ38" s="59">
        <f t="shared" si="38"/>
        <v>138.78566015867693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9.4475623907944275</v>
      </c>
      <c r="BQ38" s="21">
        <f>EXP(-LN(2)/25)*BQ37+(1-EXP(-LN(2)/25))/(LN(2)/25)*Calculateur!BL38*Calculateur!BN38*VLOOKUP('Données projet'!$B$11,Paramètres!$A$1:$I$89,3,0)*0.475*44/12</f>
        <v>13.8174462256083</v>
      </c>
      <c r="BR38" s="21">
        <f>EXP(-LN(2)/2)*BR37+(1-EXP(-LN(2)/2))/(LN(2)/2)*BL38*BO38*VLOOKUP('Données projet'!$B$11,Paramètres!$A$1:$I$89,3,0)*0.475*44/12</f>
        <v>16.072880250305317</v>
      </c>
      <c r="BS38" s="22">
        <f t="shared" si="9"/>
        <v>39.337888866708042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10.064285714285713</v>
      </c>
      <c r="N39" s="13">
        <f>IF('Données projet'!$A$36&gt;35,N38+M39-V38,IF(A39&lt;'Données projet'!$A$36,$K$205^A39,IF(A39='Données projet'!$A$36,'Données projet'!$B$36,N38+M39-V38)))</f>
        <v>362.31428571428546</v>
      </c>
      <c r="O39" s="13">
        <f>N39*VLOOKUP('Données projet'!$B$9,Paramètres!$A$1:$I$89,3,0)*VLOOKUP('Données projet'!$B$9,Paramètres!$A$1:$I$89,5,0)</f>
        <v>169.56308571428562</v>
      </c>
      <c r="P39" s="13">
        <f t="shared" si="33"/>
        <v>42.992154668598012</v>
      </c>
      <c r="Q39" s="20">
        <f t="shared" si="53"/>
        <v>370.20037700018889</v>
      </c>
      <c r="R39" s="59">
        <f t="shared" si="0"/>
        <v>663.53371033352221</v>
      </c>
      <c r="S39" s="59">
        <f ca="1">AVERAGE(OFFSET($R$3,0,0,'Données projet'!$E$9+1,1))-AVERAGE(OFFSET($H$3,0,0,'Données projet'!$E$9+1,1))</f>
        <v>263.84804661819163</v>
      </c>
      <c r="T39" s="59">
        <f t="shared" si="34"/>
        <v>271.81541836379307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16.693750000000001</v>
      </c>
      <c r="AI39" s="13">
        <f>IF('Données projet'!$A$62&gt;35,AI38+AH39-AQ38,IF(A39&lt;'Données projet'!$A$62,$AF$205^A39,IF(A39='Données projet'!$A$62,'Données projet'!$B$62,AI38+AH39-AQ38)))</f>
        <v>217.27125000000001</v>
      </c>
      <c r="AJ39" s="13">
        <f>AI39*VLOOKUP('Données projet'!$B$10,Paramètres!$A$1:$I$89,3,0)*VLOOKUP('Données projet'!$B$10,Paramètres!$A$1:$I$89,5,0)</f>
        <v>129.92820750000001</v>
      </c>
      <c r="AK39" s="13">
        <f t="shared" si="35"/>
        <v>33.97976966017913</v>
      </c>
      <c r="AL39" s="20">
        <f t="shared" si="4"/>
        <v>285.47306022064532</v>
      </c>
      <c r="AM39" s="59">
        <f t="shared" si="5"/>
        <v>578.80639355397864</v>
      </c>
      <c r="AN39" s="59">
        <f ca="1">AVERAGE(OFFSET($AM$3,0,0,'Données projet'!$E$10+1,1))-AVERAGE(OFFSET($H$3,0,0,'Données projet'!$E$10+1,1))</f>
        <v>270.04187128233121</v>
      </c>
      <c r="AO39" s="59">
        <f t="shared" si="36"/>
        <v>183.82555940776064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10.634883719227338</v>
      </c>
      <c r="AV39" s="21">
        <f>EXP(-LN(2)/25)*AV38+(1-EXP(-LN(2)/25))/(LN(2)/25)*Calculateur!AQ39*Calculateur!AS39*VLOOKUP('Données projet'!$B$10,Paramètres!$A$1:$I$89,3,0)*0.475*44/12</f>
        <v>14.692663809738846</v>
      </c>
      <c r="AW39" s="21">
        <f>EXP(-LN(2)/2)*AW38+(1-EXP(-LN(2)/2))/(LN(2)/2)*AQ39*AT39*VLOOKUP('Données projet'!$B$10,Paramètres!$A$1:$I$89,3,0)*0.475*44/12</f>
        <v>5.1271629777558738</v>
      </c>
      <c r="AX39" s="21">
        <f t="shared" si="6"/>
        <v>30.454710506722058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14.286666666666665</v>
      </c>
      <c r="BD39" s="12">
        <f>IF('Données projet'!$A$88&gt;35,BD38+BC39-BL38,IF(A39&lt;'Données projet'!$A$88,$BA$205^A39,IF(A39='Données projet'!$A$88,'Données projet'!$B$88,BD38+BC39-BL38)))</f>
        <v>209.50333333333336</v>
      </c>
      <c r="BE39" s="13">
        <f>BD39*VLOOKUP('Données projet'!$B$11,Paramètres!$A$1:$I$89,3,0)*VLOOKUP('Données projet'!$B$11,Paramètres!$A$1:$I$89,5,0)</f>
        <v>117.11236333333335</v>
      </c>
      <c r="BF39" s="13">
        <f t="shared" si="37"/>
        <v>31.000553675639388</v>
      </c>
      <c r="BG39" s="20">
        <f t="shared" si="7"/>
        <v>257.96333045729415</v>
      </c>
      <c r="BH39" s="59">
        <f t="shared" si="8"/>
        <v>551.29666379062746</v>
      </c>
      <c r="BI39" s="59">
        <f ca="1">AVERAGE(OFFSET($BH$3,0,0,'Données projet'!$E$11+1,1))-AVERAGE(OFFSET($H$3,0,0,'Données projet'!$E$11+1,1))</f>
        <v>293.82673322742102</v>
      </c>
      <c r="BJ39" s="59">
        <f t="shared" si="38"/>
        <v>138.78566015867693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9.2623014547550131</v>
      </c>
      <c r="BQ39" s="21">
        <f>EXP(-LN(2)/25)*BQ38+(1-EXP(-LN(2)/25))/(LN(2)/25)*Calculateur!BL39*Calculateur!BN39*VLOOKUP('Données projet'!$B$11,Paramètres!$A$1:$I$89,3,0)*0.475*44/12</f>
        <v>13.439607431941125</v>
      </c>
      <c r="BR39" s="21">
        <f>EXP(-LN(2)/2)*BR38+(1-EXP(-LN(2)/2))/(LN(2)/2)*BL39*BO39*VLOOKUP('Données projet'!$B$11,Paramètres!$A$1:$I$89,3,0)*0.475*44/12</f>
        <v>11.365242618190225</v>
      </c>
      <c r="BS39" s="22">
        <f t="shared" si="9"/>
        <v>34.067151504886361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10.064285714285713</v>
      </c>
      <c r="N40" s="13">
        <f>IF('Données projet'!$A$36&gt;35,N39+M40-V39,IF(A40&lt;'Données projet'!$A$36,$K$205^A40,IF(A40='Données projet'!$A$36,'Données projet'!$B$36,N39+M40-V39)))</f>
        <v>372.37857142857115</v>
      </c>
      <c r="O40" s="13">
        <f>N40*VLOOKUP('Données projet'!$B$9,Paramètres!$A$1:$I$89,3,0)*VLOOKUP('Données projet'!$B$9,Paramètres!$A$1:$I$89,5,0)</f>
        <v>174.27317142857132</v>
      </c>
      <c r="P40" s="13">
        <f t="shared" si="33"/>
        <v>44.045684663307739</v>
      </c>
      <c r="Q40" s="20">
        <f t="shared" si="53"/>
        <v>380.23867436002274</v>
      </c>
      <c r="R40" s="59">
        <f t="shared" si="0"/>
        <v>673.572007693356</v>
      </c>
      <c r="S40" s="59">
        <f ca="1">AVERAGE(OFFSET($R$3,0,0,'Données projet'!$E$9+1,1))-AVERAGE(OFFSET($H$3,0,0,'Données projet'!$E$9+1,1))</f>
        <v>263.84804661819163</v>
      </c>
      <c r="T40" s="59">
        <f t="shared" si="34"/>
        <v>271.81541836379307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16.693750000000001</v>
      </c>
      <c r="AI40" s="13">
        <f>IF('Données projet'!$A$62&gt;35,AI39+AH40-AQ39,IF(A40&lt;'Données projet'!$A$62,$AF$205^A40,IF(A40='Données projet'!$A$62,'Données projet'!$B$62,AI39+AH40-AQ39)))</f>
        <v>233.965</v>
      </c>
      <c r="AJ40" s="13">
        <f>AI40*VLOOKUP('Données projet'!$B$10,Paramètres!$A$1:$I$89,3,0)*VLOOKUP('Données projet'!$B$10,Paramètres!$A$1:$I$89,5,0)</f>
        <v>139.91107000000002</v>
      </c>
      <c r="AK40" s="13">
        <f t="shared" si="35"/>
        <v>36.276632127461212</v>
      </c>
      <c r="AL40" s="20">
        <f t="shared" si="4"/>
        <v>306.860247871995</v>
      </c>
      <c r="AM40" s="59">
        <f t="shared" si="5"/>
        <v>600.19358120532831</v>
      </c>
      <c r="AN40" s="59">
        <f ca="1">AVERAGE(OFFSET($AM$3,0,0,'Données projet'!$E$10+1,1))-AVERAGE(OFFSET($H$3,0,0,'Données projet'!$E$10+1,1))</f>
        <v>270.04187128233121</v>
      </c>
      <c r="AO40" s="59">
        <f t="shared" si="36"/>
        <v>183.82555940776064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10.426340136131856</v>
      </c>
      <c r="AV40" s="21">
        <f>EXP(-LN(2)/25)*AV39+(1-EXP(-LN(2)/25))/(LN(2)/25)*Calculateur!AQ40*Calculateur!AS40*VLOOKUP('Données projet'!$B$10,Paramètres!$A$1:$I$89,3,0)*0.475*44/12</f>
        <v>14.290892145207929</v>
      </c>
      <c r="AW40" s="21">
        <f>EXP(-LN(2)/2)*AW39+(1-EXP(-LN(2)/2))/(LN(2)/2)*AQ40*AT40*VLOOKUP('Données projet'!$B$10,Paramètres!$A$1:$I$89,3,0)*0.475*44/12</f>
        <v>3.6254517098197905</v>
      </c>
      <c r="AX40" s="21">
        <f t="shared" si="6"/>
        <v>28.342683991159575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14.286666666666665</v>
      </c>
      <c r="BD40" s="12">
        <f>IF('Données projet'!$A$88&gt;35,BD39+BC40-BL39,IF(A40&lt;'Données projet'!$A$88,$BA$205^A40,IF(A40='Données projet'!$A$88,'Données projet'!$B$88,BD39+BC40-BL39)))</f>
        <v>223.79000000000002</v>
      </c>
      <c r="BE40" s="13">
        <f>BD40*VLOOKUP('Données projet'!$B$11,Paramètres!$A$1:$I$89,3,0)*VLOOKUP('Données projet'!$B$11,Paramètres!$A$1:$I$89,5,0)</f>
        <v>125.09861000000002</v>
      </c>
      <c r="BF40" s="13">
        <f t="shared" si="37"/>
        <v>32.861271221495493</v>
      </c>
      <c r="BG40" s="20">
        <f t="shared" si="7"/>
        <v>275.1134597941047</v>
      </c>
      <c r="BH40" s="59">
        <f t="shared" si="8"/>
        <v>568.44679312743801</v>
      </c>
      <c r="BI40" s="59">
        <f ca="1">AVERAGE(OFFSET($BH$3,0,0,'Données projet'!$E$11+1,1))-AVERAGE(OFFSET($H$3,0,0,'Données projet'!$E$11+1,1))</f>
        <v>293.82673322742102</v>
      </c>
      <c r="BJ40" s="59">
        <f t="shared" si="38"/>
        <v>138.78566015867693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9.0806733726733189</v>
      </c>
      <c r="BQ40" s="21">
        <f>EXP(-LN(2)/25)*BQ39+(1-EXP(-LN(2)/25))/(LN(2)/25)*Calculateur!BL40*Calculateur!BN40*VLOOKUP('Données projet'!$B$11,Paramètres!$A$1:$I$89,3,0)*0.475*44/12</f>
        <v>13.072100659956456</v>
      </c>
      <c r="BR40" s="21">
        <f>EXP(-LN(2)/2)*BR39+(1-EXP(-LN(2)/2))/(LN(2)/2)*BL40*BO40*VLOOKUP('Données projet'!$B$11,Paramètres!$A$1:$I$89,3,0)*0.475*44/12</f>
        <v>8.0364401251526605</v>
      </c>
      <c r="BS40" s="22">
        <f t="shared" si="9"/>
        <v>30.189214157782438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10.064285714285713</v>
      </c>
      <c r="N41" s="13">
        <f>IF('Données projet'!$A$36&gt;35,N40+M41-V40,IF(A41&lt;'Données projet'!$A$36,$K$205^A41,IF(A41='Données projet'!$A$36,'Données projet'!$B$36,N40+M41-V40)))</f>
        <v>382.44285714285684</v>
      </c>
      <c r="O41" s="13">
        <f>N41*VLOOKUP('Données projet'!$B$9,Paramètres!$A$1:$I$89,3,0)*VLOOKUP('Données projet'!$B$9,Paramètres!$A$1:$I$89,5,0)</f>
        <v>178.98325714285698</v>
      </c>
      <c r="P41" s="13">
        <f t="shared" si="33"/>
        <v>45.095905091746801</v>
      </c>
      <c r="Q41" s="20">
        <f t="shared" si="53"/>
        <v>390.27120755860159</v>
      </c>
      <c r="R41" s="59">
        <f t="shared" si="0"/>
        <v>683.6045408919349</v>
      </c>
      <c r="S41" s="59">
        <f ca="1">AVERAGE(OFFSET($R$3,0,0,'Données projet'!$E$9+1,1))-AVERAGE(OFFSET($H$3,0,0,'Données projet'!$E$9+1,1))</f>
        <v>263.84804661819163</v>
      </c>
      <c r="T41" s="59">
        <f t="shared" si="34"/>
        <v>271.81541836379307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16.693750000000001</v>
      </c>
      <c r="AI41" s="13">
        <f>IF('Données projet'!$A$62&gt;35,AI40+AH41-AQ40,IF(A41&lt;'Données projet'!$A$62,$AF$205^A41,IF(A41='Données projet'!$A$62,'Données projet'!$B$62,AI40+AH41-AQ40)))</f>
        <v>250.65875</v>
      </c>
      <c r="AJ41" s="13">
        <f>AI41*VLOOKUP('Données projet'!$B$10,Paramètres!$A$1:$I$89,3,0)*VLOOKUP('Données projet'!$B$10,Paramètres!$A$1:$I$89,5,0)</f>
        <v>149.89393250000001</v>
      </c>
      <c r="AK41" s="13">
        <f t="shared" si="35"/>
        <v>38.554480408619099</v>
      </c>
      <c r="AL41" s="20">
        <f t="shared" si="4"/>
        <v>328.21431914917827</v>
      </c>
      <c r="AM41" s="59">
        <f t="shared" si="5"/>
        <v>621.54765248251158</v>
      </c>
      <c r="AN41" s="59">
        <f ca="1">AVERAGE(OFFSET($AM$3,0,0,'Données projet'!$E$10+1,1))-AVERAGE(OFFSET($H$3,0,0,'Données projet'!$E$10+1,1))</f>
        <v>270.04187128233121</v>
      </c>
      <c r="AO41" s="59">
        <f t="shared" si="36"/>
        <v>183.82555940776064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10.221885965501851</v>
      </c>
      <c r="AV41" s="21">
        <f>EXP(-LN(2)/25)*AV40+(1-EXP(-LN(2)/25))/(LN(2)/25)*Calculateur!AQ41*Calculateur!AS41*VLOOKUP('Données projet'!$B$10,Paramètres!$A$1:$I$89,3,0)*0.475*44/12</f>
        <v>13.900106947971862</v>
      </c>
      <c r="AW41" s="21">
        <f>EXP(-LN(2)/2)*AW40+(1-EXP(-LN(2)/2))/(LN(2)/2)*AQ41*AT41*VLOOKUP('Données projet'!$B$10,Paramètres!$A$1:$I$89,3,0)*0.475*44/12</f>
        <v>2.5635814888779374</v>
      </c>
      <c r="AX41" s="21">
        <f t="shared" si="6"/>
        <v>26.685574402351648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14.286666666666665</v>
      </c>
      <c r="BD41" s="12">
        <f>IF('Données projet'!$A$88&gt;35,BD40+BC41-BL40,IF(A41&lt;'Données projet'!$A$88,$BA$205^A41,IF(A41='Données projet'!$A$88,'Données projet'!$B$88,BD40+BC41-BL40)))</f>
        <v>238.07666666666668</v>
      </c>
      <c r="BE41" s="13">
        <f>BD41*VLOOKUP('Données projet'!$B$11,Paramètres!$A$1:$I$89,3,0)*VLOOKUP('Données projet'!$B$11,Paramètres!$A$1:$I$89,5,0)</f>
        <v>133.08485666666667</v>
      </c>
      <c r="BF41" s="13">
        <f t="shared" si="37"/>
        <v>34.708203268514559</v>
      </c>
      <c r="BG41" s="20">
        <f t="shared" si="7"/>
        <v>292.23957938710726</v>
      </c>
      <c r="BH41" s="59">
        <f t="shared" si="8"/>
        <v>585.57291272044063</v>
      </c>
      <c r="BI41" s="59">
        <f ca="1">AVERAGE(OFFSET($BH$3,0,0,'Données projet'!$E$11+1,1))-AVERAGE(OFFSET($H$3,0,0,'Données projet'!$E$11+1,1))</f>
        <v>293.82673322742102</v>
      </c>
      <c r="BJ41" s="59">
        <f t="shared" si="38"/>
        <v>138.78566015867693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8.9026069064990541</v>
      </c>
      <c r="BQ41" s="21">
        <f>EXP(-LN(2)/25)*BQ40+(1-EXP(-LN(2)/25))/(LN(2)/25)*Calculateur!BL41*Calculateur!BN41*VLOOKUP('Données projet'!$B$11,Paramètres!$A$1:$I$89,3,0)*0.475*44/12</f>
        <v>12.71464337997805</v>
      </c>
      <c r="BR41" s="21">
        <f>EXP(-LN(2)/2)*BR40+(1-EXP(-LN(2)/2))/(LN(2)/2)*BL41*BO41*VLOOKUP('Données projet'!$B$11,Paramètres!$A$1:$I$89,3,0)*0.475*44/12</f>
        <v>5.6826213090951132</v>
      </c>
      <c r="BS41" s="22">
        <f t="shared" si="9"/>
        <v>27.299871595572213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10.064285714285713</v>
      </c>
      <c r="N42" s="13">
        <f>IF('Données projet'!$A$36&gt;35,N41+M42-V41,IF(A42&lt;'Données projet'!$A$36,$K$205^A42,IF(A42='Données projet'!$A$36,'Données projet'!$B$36,N41+M42-V41)))</f>
        <v>392.50714285714253</v>
      </c>
      <c r="O42" s="13">
        <f>N42*VLOOKUP('Données projet'!$B$9,Paramètres!$A$1:$I$89,3,0)*VLOOKUP('Données projet'!$B$9,Paramètres!$A$1:$I$89,5,0)</f>
        <v>183.69334285714268</v>
      </c>
      <c r="P42" s="13">
        <f t="shared" si="33"/>
        <v>46.142913059410738</v>
      </c>
      <c r="Q42" s="20">
        <f t="shared" si="53"/>
        <v>400.29814572133051</v>
      </c>
      <c r="R42" s="59">
        <f t="shared" si="0"/>
        <v>693.63147905466383</v>
      </c>
      <c r="S42" s="59">
        <f ca="1">AVERAGE(OFFSET($R$3,0,0,'Données projet'!$E$9+1,1))-AVERAGE(OFFSET($H$3,0,0,'Données projet'!$E$9+1,1))</f>
        <v>263.84804661819163</v>
      </c>
      <c r="T42" s="59">
        <f t="shared" si="34"/>
        <v>271.81541836379307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16.693750000000001</v>
      </c>
      <c r="AI42" s="13">
        <f>IF('Données projet'!$A$62&gt;35,AI41+AH42-AQ41,IF(A42&lt;'Données projet'!$A$62,$AF$205^A42,IF(A42='Données projet'!$A$62,'Données projet'!$B$62,AI41+AH42-AQ41)))</f>
        <v>267.35250000000002</v>
      </c>
      <c r="AJ42" s="13">
        <f>AI42*VLOOKUP('Données projet'!$B$10,Paramètres!$A$1:$I$89,3,0)*VLOOKUP('Données projet'!$B$10,Paramètres!$A$1:$I$89,5,0)</f>
        <v>159.87679500000002</v>
      </c>
      <c r="AK42" s="13">
        <f t="shared" si="35"/>
        <v>40.814724929285397</v>
      </c>
      <c r="AL42" s="20">
        <f t="shared" si="4"/>
        <v>349.5377305435054</v>
      </c>
      <c r="AM42" s="59">
        <f t="shared" si="5"/>
        <v>642.87106387683866</v>
      </c>
      <c r="AN42" s="59">
        <f ca="1">AVERAGE(OFFSET($AM$3,0,0,'Données projet'!$E$10+1,1))-AVERAGE(OFFSET($H$3,0,0,'Données projet'!$E$10+1,1))</f>
        <v>270.04187128233121</v>
      </c>
      <c r="AO42" s="59">
        <f t="shared" si="36"/>
        <v>183.82555940776064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10.021441016453171</v>
      </c>
      <c r="AV42" s="21">
        <f>EXP(-LN(2)/25)*AV41+(1-EXP(-LN(2)/25))/(LN(2)/25)*Calculateur!AQ42*Calculateur!AS42*VLOOKUP('Données projet'!$B$10,Paramètres!$A$1:$I$89,3,0)*0.475*44/12</f>
        <v>13.520007792504716</v>
      </c>
      <c r="AW42" s="21">
        <f>EXP(-LN(2)/2)*AW41+(1-EXP(-LN(2)/2))/(LN(2)/2)*AQ42*AT42*VLOOKUP('Données projet'!$B$10,Paramètres!$A$1:$I$89,3,0)*0.475*44/12</f>
        <v>1.8127258549098955</v>
      </c>
      <c r="AX42" s="21">
        <f t="shared" si="6"/>
        <v>25.354174663867784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14.286666666666665</v>
      </c>
      <c r="BD42" s="12">
        <f>IF('Données projet'!$A$88&gt;35,BD41+BC42-BL41,IF(A42&lt;'Données projet'!$A$88,$BA$205^A42,IF(A42='Données projet'!$A$88,'Données projet'!$B$88,BD41+BC42-BL41)))</f>
        <v>252.36333333333334</v>
      </c>
      <c r="BE42" s="13">
        <f>BD42*VLOOKUP('Données projet'!$B$11,Paramètres!$A$1:$I$89,3,0)*VLOOKUP('Données projet'!$B$11,Paramètres!$A$1:$I$89,5,0)</f>
        <v>141.07110333333333</v>
      </c>
      <c r="BF42" s="13">
        <f t="shared" si="37"/>
        <v>36.542271278831187</v>
      </c>
      <c r="BG42" s="20">
        <f t="shared" si="7"/>
        <v>309.34329411618654</v>
      </c>
      <c r="BH42" s="59">
        <f t="shared" si="8"/>
        <v>602.67662744951986</v>
      </c>
      <c r="BI42" s="59">
        <f ca="1">AVERAGE(OFFSET($BH$3,0,0,'Données projet'!$E$11+1,1))-AVERAGE(OFFSET($H$3,0,0,'Données projet'!$E$11+1,1))</f>
        <v>293.82673322742102</v>
      </c>
      <c r="BJ42" s="59">
        <f t="shared" si="38"/>
        <v>138.78566015867693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8.728032215116647</v>
      </c>
      <c r="BQ42" s="21">
        <f>EXP(-LN(2)/25)*BQ41+(1-EXP(-LN(2)/25))/(LN(2)/25)*Calculateur!BL42*Calculateur!BN42*VLOOKUP('Données projet'!$B$11,Paramètres!$A$1:$I$89,3,0)*0.475*44/12</f>
        <v>12.366960788118515</v>
      </c>
      <c r="BR42" s="21">
        <f>EXP(-LN(2)/2)*BR41+(1-EXP(-LN(2)/2))/(LN(2)/2)*BL42*BO42*VLOOKUP('Données projet'!$B$11,Paramètres!$A$1:$I$89,3,0)*0.475*44/12</f>
        <v>4.0182200625763311</v>
      </c>
      <c r="BS42" s="22">
        <f t="shared" si="9"/>
        <v>25.113213065811493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10.064285714285713</v>
      </c>
      <c r="N43" s="13">
        <f>IF('Données projet'!$A$36&gt;35,N42+M43-V42,IF(A43&lt;'Données projet'!$A$36,$K$205^A43,IF(A43='Données projet'!$A$36,'Données projet'!$B$36,N42+M43-V42)))</f>
        <v>402.57142857142821</v>
      </c>
      <c r="O43" s="13">
        <f>N43*VLOOKUP('Données projet'!$B$9,Paramètres!$A$1:$I$89,3,0)*VLOOKUP('Données projet'!$B$9,Paramètres!$A$1:$I$89,5,0)</f>
        <v>188.40342857142841</v>
      </c>
      <c r="P43" s="13">
        <f t="shared" si="33"/>
        <v>47.186800408319471</v>
      </c>
      <c r="Q43" s="20">
        <f t="shared" si="53"/>
        <v>410.31964880639424</v>
      </c>
      <c r="R43" s="59">
        <f t="shared" si="0"/>
        <v>703.65298213972756</v>
      </c>
      <c r="S43" s="59">
        <f ca="1">AVERAGE(OFFSET($R$3,0,0,'Données projet'!$E$9+1,1))-AVERAGE(OFFSET($H$3,0,0,'Données projet'!$E$9+1,1))</f>
        <v>263.84804661819163</v>
      </c>
      <c r="T43" s="59">
        <f t="shared" si="34"/>
        <v>271.81541836379307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16.693750000000001</v>
      </c>
      <c r="AI43" s="13">
        <f>IF('Données projet'!$A$62&gt;35,AI42+AH43-AQ42,IF(A43&lt;'Données projet'!$A$62,$AF$205^A43,IF(A43='Données projet'!$A$62,'Données projet'!$B$62,AI42+AH43-AQ42)))</f>
        <v>284.04625000000004</v>
      </c>
      <c r="AJ43" s="13">
        <f>AI43*VLOOKUP('Données projet'!$B$10,Paramètres!$A$1:$I$89,3,0)*VLOOKUP('Données projet'!$B$10,Paramètres!$A$1:$I$89,5,0)</f>
        <v>169.85965750000003</v>
      </c>
      <c r="AK43" s="13">
        <f t="shared" si="35"/>
        <v>43.058590023226742</v>
      </c>
      <c r="AL43" s="20">
        <f t="shared" si="4"/>
        <v>370.83261443628663</v>
      </c>
      <c r="AM43" s="59">
        <f t="shared" si="5"/>
        <v>664.16594776961995</v>
      </c>
      <c r="AN43" s="59">
        <f ca="1">AVERAGE(OFFSET($AM$3,0,0,'Données projet'!$E$10+1,1))-AVERAGE(OFFSET($H$3,0,0,'Données projet'!$E$10+1,1))</f>
        <v>270.04187128233121</v>
      </c>
      <c r="AO43" s="59">
        <f t="shared" si="36"/>
        <v>183.82555940776064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9.8249266705959872</v>
      </c>
      <c r="AV43" s="21">
        <f>EXP(-LN(2)/25)*AV42+(1-EXP(-LN(2)/25))/(LN(2)/25)*Calculateur!AQ43*Calculateur!AS43*VLOOKUP('Données projet'!$B$10,Paramètres!$A$1:$I$89,3,0)*0.475*44/12</f>
        <v>13.150302468432365</v>
      </c>
      <c r="AW43" s="21">
        <f>EXP(-LN(2)/2)*AW42+(1-EXP(-LN(2)/2))/(LN(2)/2)*AQ43*AT43*VLOOKUP('Données projet'!$B$10,Paramètres!$A$1:$I$89,3,0)*0.475*44/12</f>
        <v>1.2817907444389689</v>
      </c>
      <c r="AX43" s="21">
        <f t="shared" si="6"/>
        <v>24.257019883467319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14.286666666666665</v>
      </c>
      <c r="BD43" s="12">
        <f>IF('Données projet'!$A$88&gt;35,BD42+BC43-BL42,IF(A43&lt;'Données projet'!$A$88,$BA$205^A43,IF(A43='Données projet'!$A$88,'Données projet'!$B$88,BD42+BC43-BL42)))</f>
        <v>266.65000000000003</v>
      </c>
      <c r="BE43" s="13">
        <f>BD43*VLOOKUP('Données projet'!$B$11,Paramètres!$A$1:$I$89,3,0)*VLOOKUP('Données projet'!$B$11,Paramètres!$A$1:$I$89,5,0)</f>
        <v>149.05735000000001</v>
      </c>
      <c r="BF43" s="13">
        <f t="shared" si="37"/>
        <v>38.364286491141797</v>
      </c>
      <c r="BG43" s="20">
        <f t="shared" si="7"/>
        <v>326.42601688873862</v>
      </c>
      <c r="BH43" s="59">
        <f t="shared" si="8"/>
        <v>619.75935022207193</v>
      </c>
      <c r="BI43" s="59">
        <f ca="1">AVERAGE(OFFSET($BH$3,0,0,'Données projet'!$E$11+1,1))-AVERAGE(OFFSET($H$3,0,0,'Données projet'!$E$11+1,1))</f>
        <v>293.82673322742102</v>
      </c>
      <c r="BJ43" s="59">
        <f t="shared" si="38"/>
        <v>138.78566015867693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8.5568808269522023</v>
      </c>
      <c r="BQ43" s="21">
        <f>EXP(-LN(2)/25)*BQ42+(1-EXP(-LN(2)/25))/(LN(2)/25)*Calculateur!BL43*Calculateur!BN43*VLOOKUP('Données projet'!$B$11,Paramètres!$A$1:$I$89,3,0)*0.475*44/12</f>
        <v>12.028785595017212</v>
      </c>
      <c r="BR43" s="21">
        <f>EXP(-LN(2)/2)*BR42+(1-EXP(-LN(2)/2))/(LN(2)/2)*BL43*BO43*VLOOKUP('Données projet'!$B$11,Paramètres!$A$1:$I$89,3,0)*0.475*44/12</f>
        <v>2.8413106545475575</v>
      </c>
      <c r="BS43" s="22">
        <f t="shared" si="9"/>
        <v>23.42697707651697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10.064285714285713</v>
      </c>
      <c r="N44" s="13">
        <f>IF('Données projet'!$A$36&gt;35,N43+M44-V43,IF(A44&lt;'Données projet'!$A$36,$K$205^A44,IF(A44='Données projet'!$A$36,'Données projet'!$B$36,N43+M44-V43)))</f>
        <v>412.6357142857139</v>
      </c>
      <c r="O44" s="13">
        <f>N44*VLOOKUP('Données projet'!$B$9,Paramètres!$A$1:$I$89,3,0)*VLOOKUP('Données projet'!$B$9,Paramètres!$A$1:$I$89,5,0)</f>
        <v>193.1135142857141</v>
      </c>
      <c r="P44" s="13">
        <f t="shared" si="33"/>
        <v>48.227654126671105</v>
      </c>
      <c r="Q44" s="20">
        <f t="shared" si="53"/>
        <v>420.33586831823754</v>
      </c>
      <c r="R44" s="59">
        <f t="shared" si="0"/>
        <v>713.6692016515708</v>
      </c>
      <c r="S44" s="59">
        <f ca="1">AVERAGE(OFFSET($R$3,0,0,'Données projet'!$E$9+1,1))-AVERAGE(OFFSET($H$3,0,0,'Données projet'!$E$9+1,1))</f>
        <v>263.84804661819163</v>
      </c>
      <c r="T44" s="59">
        <f t="shared" si="34"/>
        <v>271.81541836379307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300.74</v>
      </c>
      <c r="AG44" s="12">
        <f>VLOOKUP(A44,'Données projet'!$A$61:$I$81,9,0)</f>
        <v>16.693750000000001</v>
      </c>
      <c r="AH44" s="12">
        <f t="array" ref="AH44">INDEX(AG:AG,MIN(IF(ISNUMBER(AG44:AG240),ROW(AG44:AG240),"")))</f>
        <v>16.693750000000001</v>
      </c>
      <c r="AI44" s="13">
        <f>IF('Données projet'!$A$62&gt;35,AI43+AH44-AQ43,IF(A44&lt;'Données projet'!$A$62,$AF$205^A44,IF(A44='Données projet'!$A$62,'Données projet'!$B$62,AI43+AH44-AQ43)))</f>
        <v>300.74000000000007</v>
      </c>
      <c r="AJ44" s="13">
        <f>AI44*VLOOKUP('Données projet'!$B$10,Paramètres!$A$1:$I$89,3,0)*VLOOKUP('Données projet'!$B$10,Paramètres!$A$1:$I$89,5,0)</f>
        <v>179.84252000000006</v>
      </c>
      <c r="AK44" s="13">
        <f t="shared" si="35"/>
        <v>45.287147983377729</v>
      </c>
      <c r="AL44" s="20">
        <f t="shared" si="4"/>
        <v>392.10083840438301</v>
      </c>
      <c r="AM44" s="59">
        <f t="shared" si="5"/>
        <v>685.43417173771627</v>
      </c>
      <c r="AN44" s="59">
        <f ca="1">AVERAGE(OFFSET($AM$3,0,0,'Données projet'!$E$10+1,1))-AVERAGE(OFFSET($H$3,0,0,'Données projet'!$E$10+1,1))</f>
        <v>270.04187128233121</v>
      </c>
      <c r="AO44" s="59">
        <f t="shared" si="36"/>
        <v>183.82555940776064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72.16</v>
      </c>
      <c r="AR44" s="16">
        <f>IF(ISNA(VLOOKUP(A44,'Données projet'!$A$61:$I$81,5,0)),0%,VLOOKUP(A44,'Données projet'!$A$61:$I$81,5,0)*VLOOKUP('Données projet'!$B$10,Paramètres!$A$1:$I$89,7,0))</f>
        <v>0.27</v>
      </c>
      <c r="AS44" s="16">
        <f>IF(ISNA(VLOOKUP(A44,'Données projet'!$A$61:$I$81,6,0)),0%,VLOOKUP(A44,'Données projet'!$A$61:$I$81,6,0)*VLOOKUP('Données projet'!$B$10,Paramètres!$A$1:$I$89,7,0))</f>
        <v>9.0000000000000011E-2</v>
      </c>
      <c r="AT44" s="16">
        <f>IF(ISNA(VLOOKUP(A44,'Données projet'!$A$61:$I$81,7,0)),0%,VLOOKUP(A44,'Données projet'!$A$61:$I$81,7,0))</f>
        <v>0.2</v>
      </c>
      <c r="AU44" s="21">
        <f>EXP(-LN(2)/35)*AU43+(1-EXP(-LN(2)/35))/(LN(2)/35)*AQ44*AR44*VLOOKUP('Données projet'!$B$10,Paramètres!$A$1:$I$89,3,0)*0.475*44/12</f>
        <v>25.088006768934498</v>
      </c>
      <c r="AV44" s="21">
        <f>EXP(-LN(2)/25)*AV43+(1-EXP(-LN(2)/25))/(LN(2)/25)*Calculateur!AQ44*Calculateur!AS44*VLOOKUP('Données projet'!$B$10,Paramètres!$A$1:$I$89,3,0)*0.475*44/12</f>
        <v>17.922335348103143</v>
      </c>
      <c r="AW44" s="21">
        <f>EXP(-LN(2)/2)*AW43+(1-EXP(-LN(2)/2))/(LN(2)/2)*AQ44*AT44*VLOOKUP('Données projet'!$B$10,Paramètres!$A$1:$I$89,3,0)*0.475*44/12</f>
        <v>10.677908085160318</v>
      </c>
      <c r="AX44" s="21">
        <f t="shared" si="6"/>
        <v>53.688250202197956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14.286666666666665</v>
      </c>
      <c r="BD44" s="12">
        <f>IF('Données projet'!$A$88&gt;35,BD43+BC44-BL43,IF(A44&lt;'Données projet'!$A$88,$BA$205^A44,IF(A44='Données projet'!$A$88,'Données projet'!$B$88,BD43+BC44-BL43)))</f>
        <v>280.93666666666672</v>
      </c>
      <c r="BE44" s="13">
        <f>BD44*VLOOKUP('Données projet'!$B$11,Paramètres!$A$1:$I$89,3,0)*VLOOKUP('Données projet'!$B$11,Paramètres!$A$1:$I$89,5,0)</f>
        <v>157.0435966666667</v>
      </c>
      <c r="BF44" s="13">
        <f t="shared" si="37"/>
        <v>40.174968304842523</v>
      </c>
      <c r="BG44" s="20">
        <f t="shared" si="7"/>
        <v>343.48900065871186</v>
      </c>
      <c r="BH44" s="59">
        <f t="shared" si="8"/>
        <v>636.82233399204517</v>
      </c>
      <c r="BI44" s="59">
        <f ca="1">AVERAGE(OFFSET($BH$3,0,0,'Données projet'!$E$11+1,1))-AVERAGE(OFFSET($H$3,0,0,'Données projet'!$E$11+1,1))</f>
        <v>293.82673322742102</v>
      </c>
      <c r="BJ44" s="59">
        <f t="shared" si="38"/>
        <v>138.78566015867693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8.3890856131176221</v>
      </c>
      <c r="BQ44" s="21">
        <f>EXP(-LN(2)/25)*BQ43+(1-EXP(-LN(2)/25))/(LN(2)/25)*Calculateur!BL44*Calculateur!BN44*VLOOKUP('Données projet'!$B$11,Paramètres!$A$1:$I$89,3,0)*0.475*44/12</f>
        <v>11.699857820355124</v>
      </c>
      <c r="BR44" s="21">
        <f>EXP(-LN(2)/2)*BR43+(1-EXP(-LN(2)/2))/(LN(2)/2)*BL44*BO44*VLOOKUP('Données projet'!$B$11,Paramètres!$A$1:$I$89,3,0)*0.475*44/12</f>
        <v>2.009110031288166</v>
      </c>
      <c r="BS44" s="22">
        <f t="shared" si="9"/>
        <v>22.098053464760913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422.7</v>
      </c>
      <c r="L45" s="12">
        <f>VLOOKUP(A45,'Données projet'!$A$35:$I$55,9,0)</f>
        <v>10.064285714285713</v>
      </c>
      <c r="M45" s="12">
        <f t="array" ref="M45">INDEX(L:L,MIN(IF(ISNUMBER(L45:L241),ROW(L45:L241),"")))</f>
        <v>10.064285714285713</v>
      </c>
      <c r="N45" s="13">
        <f>IF('Données projet'!$A$36&gt;35,N44+M45-V44,IF(A45&lt;'Données projet'!$A$36,$K$205^A45,IF(A45='Données projet'!$A$36,'Données projet'!$B$36,N44+M45-V44)))</f>
        <v>422.69999999999959</v>
      </c>
      <c r="O45" s="13">
        <f>N45*VLOOKUP('Données projet'!$B$9,Paramètres!$A$1:$I$89,3,0)*VLOOKUP('Données projet'!$B$9,Paramètres!$A$1:$I$89,5,0)</f>
        <v>197.82359999999983</v>
      </c>
      <c r="P45" s="13">
        <f t="shared" si="33"/>
        <v>49.265556717403534</v>
      </c>
      <c r="Q45" s="20">
        <f t="shared" si="53"/>
        <v>430.34694794947745</v>
      </c>
      <c r="R45" s="59">
        <f t="shared" si="0"/>
        <v>723.68028128281071</v>
      </c>
      <c r="S45" s="59">
        <f ca="1">AVERAGE(OFFSET($R$3,0,0,'Données projet'!$E$9+1,1))-AVERAGE(OFFSET($H$3,0,0,'Données projet'!$E$9+1,1))</f>
        <v>263.84804661819163</v>
      </c>
      <c r="T45" s="59">
        <f t="shared" si="34"/>
        <v>271.81541836379307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185.17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37.936632366609949</v>
      </c>
      <c r="AA45" s="21">
        <f>EXP(-LN(2)/25)*AA44+(1-EXP(-LN(2)/25))/(LN(2)/25)*Calculateur!V45*Calculateur!X45*VLOOKUP('Données projet'!$B$9,Paramètres!$A$1:$I$89,3,0)*0.475*44/12</f>
        <v>12.595753796664143</v>
      </c>
      <c r="AB45" s="21">
        <f>EXP(-LN(2)/2)*AB44+(1-EXP(-LN(2)/2))/(LN(2)/2)*V45*Y45*VLOOKUP('Données projet'!$B$9,Paramètres!$A$1:$I$89,3,0)*0.475*44/12</f>
        <v>19.623750544286519</v>
      </c>
      <c r="AC45" s="22">
        <f t="shared" si="3"/>
        <v>70.156136707560606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15.714444444444442</v>
      </c>
      <c r="AI45" s="13">
        <f>IF('Données projet'!$A$62&gt;35,AI44+AH45-AQ44,IF(A45&lt;'Données projet'!$A$62,$AF$205^A45,IF(A45='Données projet'!$A$62,'Données projet'!$B$62,AI44+AH45-AQ44)))</f>
        <v>244.29444444444451</v>
      </c>
      <c r="AJ45" s="13">
        <f>AI45*VLOOKUP('Données projet'!$B$10,Paramètres!$A$1:$I$89,3,0)*VLOOKUP('Données projet'!$B$10,Paramètres!$A$1:$I$89,5,0)</f>
        <v>146.08807777777784</v>
      </c>
      <c r="AK45" s="13">
        <f t="shared" si="35"/>
        <v>37.688224634642516</v>
      </c>
      <c r="AL45" s="20">
        <f t="shared" si="4"/>
        <v>320.07706003496543</v>
      </c>
      <c r="AM45" s="59">
        <f t="shared" si="5"/>
        <v>613.41039336829874</v>
      </c>
      <c r="AN45" s="59">
        <f ca="1">AVERAGE(OFFSET($AM$3,0,0,'Données projet'!$E$10+1,1))-AVERAGE(OFFSET($H$3,0,0,'Données projet'!$E$10+1,1))</f>
        <v>270.04187128233121</v>
      </c>
      <c r="AO45" s="59">
        <f t="shared" si="36"/>
        <v>183.82555940776064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24.596046258368858</v>
      </c>
      <c r="AV45" s="21">
        <f>EXP(-LN(2)/25)*AV44+(1-EXP(-LN(2)/25))/(LN(2)/25)*Calculateur!AQ45*Calculateur!AS45*VLOOKUP('Données projet'!$B$10,Paramètres!$A$1:$I$89,3,0)*0.475*44/12</f>
        <v>17.43224814551461</v>
      </c>
      <c r="AW45" s="21">
        <f>EXP(-LN(2)/2)*AW44+(1-EXP(-LN(2)/2))/(LN(2)/2)*AQ45*AT45*VLOOKUP('Données projet'!$B$10,Paramètres!$A$1:$I$89,3,0)*0.475*44/12</f>
        <v>7.5504212159035244</v>
      </c>
      <c r="AX45" s="21">
        <f t="shared" si="6"/>
        <v>49.57871561978699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14.286666666666665</v>
      </c>
      <c r="BD45" s="12">
        <f>IF('Données projet'!$A$88&gt;35,BD44+BC45-BL44,IF(A45&lt;'Données projet'!$A$88,$BA$205^A45,IF(A45='Données projet'!$A$88,'Données projet'!$B$88,BD44+BC45-BL44)))</f>
        <v>295.22333333333341</v>
      </c>
      <c r="BE45" s="13">
        <f>BD45*VLOOKUP('Données projet'!$B$11,Paramètres!$A$1:$I$89,3,0)*VLOOKUP('Données projet'!$B$11,Paramètres!$A$1:$I$89,5,0)</f>
        <v>165.02984333333336</v>
      </c>
      <c r="BF45" s="13">
        <f t="shared" si="37"/>
        <v>41.974958818162669</v>
      </c>
      <c r="BG45" s="20">
        <f t="shared" si="7"/>
        <v>360.53336374718884</v>
      </c>
      <c r="BH45" s="59">
        <f t="shared" si="8"/>
        <v>653.86669708052216</v>
      </c>
      <c r="BI45" s="59">
        <f ca="1">AVERAGE(OFFSET($BH$3,0,0,'Données projet'!$E$11+1,1))-AVERAGE(OFFSET($H$3,0,0,'Données projet'!$E$11+1,1))</f>
        <v>293.82673322742102</v>
      </c>
      <c r="BJ45" s="59">
        <f t="shared" si="38"/>
        <v>138.78566015867693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8.2245807610813646</v>
      </c>
      <c r="BQ45" s="21">
        <f>EXP(-LN(2)/25)*BQ44+(1-EXP(-LN(2)/25))/(LN(2)/25)*Calculateur!BL45*Calculateur!BN45*VLOOKUP('Données projet'!$B$11,Paramètres!$A$1:$I$89,3,0)*0.475*44/12</f>
        <v>11.379924592988731</v>
      </c>
      <c r="BR45" s="21">
        <f>EXP(-LN(2)/2)*BR44+(1-EXP(-LN(2)/2))/(LN(2)/2)*BL45*BO45*VLOOKUP('Données projet'!$B$11,Paramètres!$A$1:$I$89,3,0)*0.475*44/12</f>
        <v>1.420655327273779</v>
      </c>
      <c r="BS45" s="22">
        <f t="shared" si="9"/>
        <v>21.025160681343873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18.28142857142857</v>
      </c>
      <c r="N46" s="13">
        <f>IF('Données projet'!$A$36&gt;35,N45+M46-V45,IF(A46&lt;'Données projet'!$A$36,$K$205^A46,IF(A46='Données projet'!$A$36,'Données projet'!$B$36,N45+M46-V45)))</f>
        <v>255.81142857142819</v>
      </c>
      <c r="O46" s="13">
        <f>N46*VLOOKUP('Données projet'!$B$9,Paramètres!$A$1:$I$89,3,0)*VLOOKUP('Données projet'!$B$9,Paramètres!$A$1:$I$89,5,0)</f>
        <v>119.7197485714284</v>
      </c>
      <c r="P46" s="13">
        <f t="shared" si="33"/>
        <v>31.609626358520941</v>
      </c>
      <c r="Q46" s="20">
        <f t="shared" si="53"/>
        <v>263.56532800299505</v>
      </c>
      <c r="R46" s="59">
        <f t="shared" si="0"/>
        <v>556.89866133632836</v>
      </c>
      <c r="S46" s="59">
        <f ca="1">AVERAGE(OFFSET($R$3,0,0,'Données projet'!$E$9+1,1))-AVERAGE(OFFSET($H$3,0,0,'Données projet'!$E$9+1,1))</f>
        <v>263.84804661819163</v>
      </c>
      <c r="T46" s="59">
        <f t="shared" si="34"/>
        <v>271.81541836379307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37.192718144961681</v>
      </c>
      <c r="AA46" s="21">
        <f>EXP(-LN(2)/25)*AA45+(1-EXP(-LN(2)/25))/(LN(2)/25)*Calculateur!V46*Calculateur!X46*VLOOKUP('Données projet'!$B$9,Paramètres!$A$1:$I$89,3,0)*0.475*44/12</f>
        <v>12.251322246712459</v>
      </c>
      <c r="AB46" s="21">
        <f>EXP(-LN(2)/2)*AB45+(1-EXP(-LN(2)/2))/(LN(2)/2)*V46*Y46*VLOOKUP('Données projet'!$B$9,Paramètres!$A$1:$I$89,3,0)*0.475*44/12</f>
        <v>13.876087082178202</v>
      </c>
      <c r="AC46" s="22">
        <f t="shared" si="3"/>
        <v>63.320127473852338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15.714444444444442</v>
      </c>
      <c r="AI46" s="13">
        <f>IF('Données projet'!$A$62&gt;35,AI45+AH46-AQ45,IF(A46&lt;'Données projet'!$A$62,$AF$205^A46,IF(A46='Données projet'!$A$62,'Données projet'!$B$62,AI45+AH46-AQ45)))</f>
        <v>260.00888888888898</v>
      </c>
      <c r="AJ46" s="13">
        <f>AI46*VLOOKUP('Données projet'!$B$10,Paramètres!$A$1:$I$89,3,0)*VLOOKUP('Données projet'!$B$10,Paramètres!$A$1:$I$89,5,0)</f>
        <v>155.48531555555562</v>
      </c>
      <c r="AK46" s="13">
        <f t="shared" si="35"/>
        <v>39.822525633411466</v>
      </c>
      <c r="AL46" s="20">
        <f t="shared" si="4"/>
        <v>340.16115673745094</v>
      </c>
      <c r="AM46" s="59">
        <f t="shared" si="5"/>
        <v>633.4944900707842</v>
      </c>
      <c r="AN46" s="59">
        <f ca="1">AVERAGE(OFFSET($AM$3,0,0,'Données projet'!$E$10+1,1))-AVERAGE(OFFSET($H$3,0,0,'Données projet'!$E$10+1,1))</f>
        <v>270.04187128233121</v>
      </c>
      <c r="AO46" s="59">
        <f t="shared" si="36"/>
        <v>183.82555940776064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24.113732793349126</v>
      </c>
      <c r="AV46" s="21">
        <f>EXP(-LN(2)/25)*AV45+(1-EXP(-LN(2)/25))/(LN(2)/25)*Calculateur!AQ46*Calculateur!AS46*VLOOKUP('Données projet'!$B$10,Paramètres!$A$1:$I$89,3,0)*0.475*44/12</f>
        <v>16.955562403253424</v>
      </c>
      <c r="AW46" s="21">
        <f>EXP(-LN(2)/2)*AW45+(1-EXP(-LN(2)/2))/(LN(2)/2)*AQ46*AT46*VLOOKUP('Données projet'!$B$10,Paramètres!$A$1:$I$89,3,0)*0.475*44/12</f>
        <v>5.33895404258016</v>
      </c>
      <c r="AX46" s="21">
        <f t="shared" si="6"/>
        <v>46.408249239182716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>
        <f>VLOOKUP(A46,'Données projet'!$A$87:$I$107,2,0)</f>
        <v>309.51</v>
      </c>
      <c r="BB46" s="12">
        <f>VLOOKUP(A46,'Données projet'!$A$87:$I$107,9,0)</f>
        <v>14.286666666666665</v>
      </c>
      <c r="BC46" s="12">
        <f t="array" ref="BC46">INDEX(BB:BB,MIN(IF(ISNUMBER(BB46:BB242),ROW(BB46:BB242),"")))</f>
        <v>14.286666666666665</v>
      </c>
      <c r="BD46" s="12">
        <f>IF('Données projet'!$A$88&gt;35,BD45+BC46-BL45,IF(A46&lt;'Données projet'!$A$88,$BA$205^A46,IF(A46='Données projet'!$A$88,'Données projet'!$B$88,BD45+BC46-BL45)))</f>
        <v>309.5100000000001</v>
      </c>
      <c r="BE46" s="13">
        <f>BD46*VLOOKUP('Données projet'!$B$11,Paramètres!$A$1:$I$89,3,0)*VLOOKUP('Données projet'!$B$11,Paramètres!$A$1:$I$89,5,0)</f>
        <v>173.01609000000005</v>
      </c>
      <c r="BF46" s="13">
        <f t="shared" si="37"/>
        <v>43.764834472329383</v>
      </c>
      <c r="BG46" s="20">
        <f t="shared" si="7"/>
        <v>377.56011012264042</v>
      </c>
      <c r="BH46" s="59">
        <f t="shared" si="8"/>
        <v>670.89344345597374</v>
      </c>
      <c r="BI46" s="59">
        <f ca="1">AVERAGE(OFFSET($BH$3,0,0,'Données projet'!$E$11+1,1))-AVERAGE(OFFSET($H$3,0,0,'Données projet'!$E$11+1,1))</f>
        <v>293.82673322742102</v>
      </c>
      <c r="BJ46" s="59">
        <f t="shared" si="38"/>
        <v>138.78566015867693</v>
      </c>
      <c r="BK46" s="15">
        <f>IF(ISNA(VLOOKUP(A46,'Données projet'!$A$87:$I$107,3,0)),0,VLOOKUP(A46,'Données projet'!$A$87:$I$107,3,0))</f>
        <v>2</v>
      </c>
      <c r="BL46" s="15">
        <f>IF(ISNA(VLOOKUP(A46,'Données projet'!$A$87:$I$107,4,0)),0,VLOOKUP(A46,'Données projet'!$A$87:$I$107,4,0))</f>
        <v>72.429999999999978</v>
      </c>
      <c r="BM46" s="16">
        <f>IF(ISNA(VLOOKUP(A46,'Données projet'!$A$87:$I$107,5,0)),0%,VLOOKUP(A46,'Données projet'!$A$87:$I$107,5,0)*VLOOKUP('Données projet'!$B$11,Paramètres!$A$1:$I$89,7,0))</f>
        <v>0.13750000000000001</v>
      </c>
      <c r="BN46" s="16">
        <f>IF(ISNA(VLOOKUP(A46,'Données projet'!$A$87:$I$107,6,0)),0%,VLOOKUP(A46,'Données projet'!$A$87:$I$107,6,0)*VLOOKUP('Données projet'!$B$11,Paramètres!$A$1:$I$89,7,0))</f>
        <v>0.20350000000000001</v>
      </c>
      <c r="BO46" s="16">
        <f>IF(ISNA(VLOOKUP(A46,'Données projet'!$A$87:$I$107,7,0)),0%,VLOOKUP(A46,'Données projet'!$A$87:$I$107,7,0))</f>
        <v>0.38</v>
      </c>
      <c r="BP46" s="21">
        <f>EXP(-LN(2)/35)*BP45+(1-EXP(-LN(2)/35))/(LN(2)/35)*BL46*BM46*VLOOKUP('Données projet'!$B$11,Paramètres!$A$1:$I$89,3,0)*0.475*44/12</f>
        <v>15.448486217699617</v>
      </c>
      <c r="BQ46" s="21">
        <f>EXP(-LN(2)/25)*BQ45+(1-EXP(-LN(2)/25))/(LN(2)/25)*Calculateur!BL46*Calculateur!BN46*VLOOKUP('Données projet'!$B$11,Paramètres!$A$1:$I$89,3,0)*0.475*44/12</f>
        <v>21.955777108298538</v>
      </c>
      <c r="BR46" s="21">
        <f>EXP(-LN(2)/2)*BR45+(1-EXP(-LN(2)/2))/(LN(2)/2)*BL46*BO46*VLOOKUP('Données projet'!$B$11,Paramètres!$A$1:$I$89,3,0)*0.475*44/12</f>
        <v>18.424606287160699</v>
      </c>
      <c r="BS46" s="22">
        <f t="shared" si="9"/>
        <v>55.828869613158858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18.28142857142857</v>
      </c>
      <c r="N47" s="13">
        <f>IF('Données projet'!$A$36&gt;35,N46+M47-V46,IF(A47&lt;'Données projet'!$A$36,$K$205^A47,IF(A47='Données projet'!$A$36,'Données projet'!$B$36,N46+M47-V46)))</f>
        <v>274.09285714285676</v>
      </c>
      <c r="O47" s="13">
        <f>N47*VLOOKUP('Données projet'!$B$9,Paramètres!$A$1:$I$89,3,0)*VLOOKUP('Données projet'!$B$9,Paramètres!$A$1:$I$89,5,0)</f>
        <v>128.27545714285696</v>
      </c>
      <c r="P47" s="13">
        <f t="shared" si="33"/>
        <v>33.597558921382294</v>
      </c>
      <c r="Q47" s="20">
        <f t="shared" si="53"/>
        <v>281.92883631188334</v>
      </c>
      <c r="R47" s="59">
        <f t="shared" si="0"/>
        <v>575.26216964521666</v>
      </c>
      <c r="S47" s="59">
        <f ca="1">AVERAGE(OFFSET($R$3,0,0,'Données projet'!$E$9+1,1))-AVERAGE(OFFSET($H$3,0,0,'Données projet'!$E$9+1,1))</f>
        <v>263.84804661819163</v>
      </c>
      <c r="T47" s="59">
        <f t="shared" si="34"/>
        <v>271.81541836379307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36.463391627457064</v>
      </c>
      <c r="AA47" s="21">
        <f>EXP(-LN(2)/25)*AA46+(1-EXP(-LN(2)/25))/(LN(2)/25)*Calculateur!V47*Calculateur!X47*VLOOKUP('Données projet'!$B$9,Paramètres!$A$1:$I$89,3,0)*0.475*44/12</f>
        <v>11.91630919560707</v>
      </c>
      <c r="AB47" s="21">
        <f>EXP(-LN(2)/2)*AB46+(1-EXP(-LN(2)/2))/(LN(2)/2)*V47*Y47*VLOOKUP('Données projet'!$B$9,Paramètres!$A$1:$I$89,3,0)*0.475*44/12</f>
        <v>9.8118752721432614</v>
      </c>
      <c r="AC47" s="22">
        <f t="shared" si="3"/>
        <v>58.191576095207395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15.714444444444442</v>
      </c>
      <c r="AI47" s="13">
        <f>IF('Données projet'!$A$62&gt;35,AI46+AH47-AQ46,IF(A47&lt;'Données projet'!$A$62,$AF$205^A47,IF(A47='Données projet'!$A$62,'Données projet'!$B$62,AI46+AH47-AQ46)))</f>
        <v>275.72333333333341</v>
      </c>
      <c r="AJ47" s="13">
        <f>AI47*VLOOKUP('Données projet'!$B$10,Paramètres!$A$1:$I$89,3,0)*VLOOKUP('Données projet'!$B$10,Paramètres!$A$1:$I$89,5,0)</f>
        <v>164.88255333333339</v>
      </c>
      <c r="AK47" s="13">
        <f t="shared" si="35"/>
        <v>41.941854905576896</v>
      </c>
      <c r="AL47" s="20">
        <f t="shared" si="4"/>
        <v>360.2191776827687</v>
      </c>
      <c r="AM47" s="59">
        <f t="shared" si="5"/>
        <v>653.55251101610202</v>
      </c>
      <c r="AN47" s="59">
        <f ca="1">AVERAGE(OFFSET($AM$3,0,0,'Données projet'!$E$10+1,1))-AVERAGE(OFFSET($H$3,0,0,'Données projet'!$E$10+1,1))</f>
        <v>270.04187128233121</v>
      </c>
      <c r="AO47" s="59">
        <f t="shared" si="36"/>
        <v>183.82555940776064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23.640877201196265</v>
      </c>
      <c r="AV47" s="21">
        <f>EXP(-LN(2)/25)*AV46+(1-EXP(-LN(2)/25))/(LN(2)/25)*Calculateur!AQ47*Calculateur!AS47*VLOOKUP('Données projet'!$B$10,Paramètres!$A$1:$I$89,3,0)*0.475*44/12</f>
        <v>16.491911657682184</v>
      </c>
      <c r="AW47" s="21">
        <f>EXP(-LN(2)/2)*AW46+(1-EXP(-LN(2)/2))/(LN(2)/2)*AQ47*AT47*VLOOKUP('Données projet'!$B$10,Paramètres!$A$1:$I$89,3,0)*0.475*44/12</f>
        <v>3.7752106079517627</v>
      </c>
      <c r="AX47" s="21">
        <f t="shared" si="6"/>
        <v>43.907999466830212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13.08111111111111</v>
      </c>
      <c r="BD47" s="12">
        <f>IF('Données projet'!$A$88&gt;35,BD46+BC47-BL46,IF(A47&lt;'Données projet'!$A$88,$BA$205^A47,IF(A47='Données projet'!$A$88,'Données projet'!$B$88,BD46+BC47-BL46)))</f>
        <v>250.16111111111124</v>
      </c>
      <c r="BE47" s="13">
        <f>BD47*VLOOKUP('Données projet'!$B$11,Paramètres!$A$1:$I$89,3,0)*VLOOKUP('Données projet'!$B$11,Paramètres!$A$1:$I$89,5,0)</f>
        <v>139.84006111111117</v>
      </c>
      <c r="BF47" s="13">
        <f t="shared" si="37"/>
        <v>36.260363304326724</v>
      </c>
      <c r="BG47" s="20">
        <f t="shared" si="7"/>
        <v>306.70823919022098</v>
      </c>
      <c r="BH47" s="59">
        <f t="shared" si="8"/>
        <v>600.04157252355435</v>
      </c>
      <c r="BI47" s="59">
        <f ca="1">AVERAGE(OFFSET($BH$3,0,0,'Données projet'!$E$11+1,1))-AVERAGE(OFFSET($H$3,0,0,'Données projet'!$E$11+1,1))</f>
        <v>293.82673322742102</v>
      </c>
      <c r="BJ47" s="59">
        <f t="shared" si="38"/>
        <v>138.78566015867693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15.145550825616711</v>
      </c>
      <c r="BQ47" s="21">
        <f>EXP(-LN(2)/25)*BQ46+(1-EXP(-LN(2)/25))/(LN(2)/25)*Calculateur!BL47*Calculateur!BN47*VLOOKUP('Données projet'!$B$11,Paramètres!$A$1:$I$89,3,0)*0.475*44/12</f>
        <v>21.355395228667977</v>
      </c>
      <c r="BR47" s="21">
        <f>EXP(-LN(2)/2)*BR46+(1-EXP(-LN(2)/2))/(LN(2)/2)*BL47*BO47*VLOOKUP('Données projet'!$B$11,Paramètres!$A$1:$I$89,3,0)*0.475*44/12</f>
        <v>13.02816404634363</v>
      </c>
      <c r="BS47" s="22">
        <f t="shared" si="9"/>
        <v>49.529110100628316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18.28142857142857</v>
      </c>
      <c r="N48" s="13">
        <f>IF('Données projet'!$A$36&gt;35,N47+M48-V47,IF(A48&lt;'Données projet'!$A$36,$K$205^A48,IF(A48='Données projet'!$A$36,'Données projet'!$B$36,N47+M48-V47)))</f>
        <v>292.37428571428535</v>
      </c>
      <c r="O48" s="13">
        <f>N48*VLOOKUP('Données projet'!$B$9,Paramètres!$A$1:$I$89,3,0)*VLOOKUP('Données projet'!$B$9,Paramètres!$A$1:$I$89,5,0)</f>
        <v>136.83116571428553</v>
      </c>
      <c r="P48" s="13">
        <f t="shared" si="33"/>
        <v>35.570105609294572</v>
      </c>
      <c r="Q48" s="20">
        <f t="shared" si="53"/>
        <v>300.26554755523534</v>
      </c>
      <c r="R48" s="59">
        <f t="shared" si="0"/>
        <v>593.5988808885686</v>
      </c>
      <c r="S48" s="59">
        <f ca="1">AVERAGE(OFFSET($R$3,0,0,'Données projet'!$E$9+1,1))-AVERAGE(OFFSET($H$3,0,0,'Données projet'!$E$9+1,1))</f>
        <v>263.84804661819163</v>
      </c>
      <c r="T48" s="59">
        <f t="shared" si="34"/>
        <v>271.81541836379307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35.748366758115459</v>
      </c>
      <c r="AA48" s="21">
        <f>EXP(-LN(2)/25)*AA47+(1-EXP(-LN(2)/25))/(LN(2)/25)*Calculateur!V48*Calculateur!X48*VLOOKUP('Données projet'!$B$9,Paramètres!$A$1:$I$89,3,0)*0.475*44/12</f>
        <v>11.59045709400173</v>
      </c>
      <c r="AB48" s="21">
        <f>EXP(-LN(2)/2)*AB47+(1-EXP(-LN(2)/2))/(LN(2)/2)*V48*Y48*VLOOKUP('Données projet'!$B$9,Paramètres!$A$1:$I$89,3,0)*0.475*44/12</f>
        <v>6.9380435410891019</v>
      </c>
      <c r="AC48" s="22">
        <f t="shared" si="3"/>
        <v>54.276867393206288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15.714444444444442</v>
      </c>
      <c r="AI48" s="13">
        <f>IF('Données projet'!$A$62&gt;35,AI47+AH48-AQ47,IF(A48&lt;'Données projet'!$A$62,$AF$205^A48,IF(A48='Données projet'!$A$62,'Données projet'!$B$62,AI47+AH48-AQ47)))</f>
        <v>291.43777777777785</v>
      </c>
      <c r="AJ48" s="13">
        <f>AI48*VLOOKUP('Données projet'!$B$10,Paramètres!$A$1:$I$89,3,0)*VLOOKUP('Données projet'!$B$10,Paramètres!$A$1:$I$89,5,0)</f>
        <v>174.27979111111117</v>
      </c>
      <c r="AK48" s="13">
        <f t="shared" si="35"/>
        <v>44.047162970671543</v>
      </c>
      <c r="AL48" s="20">
        <f t="shared" si="4"/>
        <v>380.25277835910487</v>
      </c>
      <c r="AM48" s="59">
        <f t="shared" si="5"/>
        <v>673.58611169243818</v>
      </c>
      <c r="AN48" s="59">
        <f ca="1">AVERAGE(OFFSET($AM$3,0,0,'Données projet'!$E$10+1,1))-AVERAGE(OFFSET($H$3,0,0,'Données projet'!$E$10+1,1))</f>
        <v>270.04187128233121</v>
      </c>
      <c r="AO48" s="59">
        <f t="shared" si="36"/>
        <v>183.82555940776064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23.17729401879209</v>
      </c>
      <c r="AV48" s="21">
        <f>EXP(-LN(2)/25)*AV47+(1-EXP(-LN(2)/25))/(LN(2)/25)*Calculateur!AQ48*Calculateur!AS48*VLOOKUP('Données projet'!$B$10,Paramètres!$A$1:$I$89,3,0)*0.475*44/12</f>
        <v>16.040939466130922</v>
      </c>
      <c r="AW48" s="21">
        <f>EXP(-LN(2)/2)*AW47+(1-EXP(-LN(2)/2))/(LN(2)/2)*AQ48*AT48*VLOOKUP('Données projet'!$B$10,Paramètres!$A$1:$I$89,3,0)*0.475*44/12</f>
        <v>2.6694770212900805</v>
      </c>
      <c r="AX48" s="21">
        <f t="shared" si="6"/>
        <v>41.887710506213089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13.08111111111111</v>
      </c>
      <c r="BD48" s="12">
        <f>IF('Données projet'!$A$88&gt;35,BD47+BC48-BL47,IF(A48&lt;'Données projet'!$A$88,$BA$205^A48,IF(A48='Données projet'!$A$88,'Données projet'!$B$88,BD47+BC48-BL47)))</f>
        <v>263.24222222222232</v>
      </c>
      <c r="BE48" s="13">
        <f>BD48*VLOOKUP('Données projet'!$B$11,Paramètres!$A$1:$I$89,3,0)*VLOOKUP('Données projet'!$B$11,Paramètres!$A$1:$I$89,5,0)</f>
        <v>147.15240222222229</v>
      </c>
      <c r="BF48" s="13">
        <f t="shared" si="37"/>
        <v>37.930738715528179</v>
      </c>
      <c r="BG48" s="20">
        <f t="shared" si="7"/>
        <v>322.35313713324871</v>
      </c>
      <c r="BH48" s="59">
        <f t="shared" si="8"/>
        <v>615.68647046658202</v>
      </c>
      <c r="BI48" s="59">
        <f ca="1">AVERAGE(OFFSET($BH$3,0,0,'Données projet'!$E$11+1,1))-AVERAGE(OFFSET($H$3,0,0,'Données projet'!$E$11+1,1))</f>
        <v>293.82673322742102</v>
      </c>
      <c r="BJ48" s="59">
        <f t="shared" si="38"/>
        <v>138.78566015867693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14.848555811800207</v>
      </c>
      <c r="BQ48" s="21">
        <f>EXP(-LN(2)/25)*BQ47+(1-EXP(-LN(2)/25))/(LN(2)/25)*Calculateur!BL48*Calculateur!BN48*VLOOKUP('Données projet'!$B$11,Paramètres!$A$1:$I$89,3,0)*0.475*44/12</f>
        <v>20.771430823108624</v>
      </c>
      <c r="BR48" s="21">
        <f>EXP(-LN(2)/2)*BR47+(1-EXP(-LN(2)/2))/(LN(2)/2)*BL48*BO48*VLOOKUP('Données projet'!$B$11,Paramètres!$A$1:$I$89,3,0)*0.475*44/12</f>
        <v>9.2123031435803515</v>
      </c>
      <c r="BS48" s="22">
        <f t="shared" si="9"/>
        <v>44.832289778489177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18.28142857142857</v>
      </c>
      <c r="N49" s="13">
        <f>IF('Données projet'!$A$36&gt;35,N48+M49-V48,IF(A49&lt;'Données projet'!$A$36,$K$205^A49,IF(A49='Données projet'!$A$36,'Données projet'!$B$36,N48+M49-V48)))</f>
        <v>310.65571428571394</v>
      </c>
      <c r="O49" s="13">
        <f>N49*VLOOKUP('Données projet'!$B$9,Paramètres!$A$1:$I$89,3,0)*VLOOKUP('Données projet'!$B$9,Paramètres!$A$1:$I$89,5,0)</f>
        <v>145.38687428571413</v>
      </c>
      <c r="P49" s="13">
        <f t="shared" si="33"/>
        <v>37.528337984329553</v>
      </c>
      <c r="Q49" s="20">
        <f t="shared" si="53"/>
        <v>318.5773280369927</v>
      </c>
      <c r="R49" s="59">
        <f t="shared" si="0"/>
        <v>611.91066137032601</v>
      </c>
      <c r="S49" s="59">
        <f ca="1">AVERAGE(OFFSET($R$3,0,0,'Données projet'!$E$9+1,1))-AVERAGE(OFFSET($H$3,0,0,'Données projet'!$E$9+1,1))</f>
        <v>263.84804661819163</v>
      </c>
      <c r="T49" s="59">
        <f t="shared" si="34"/>
        <v>271.81541836379307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35.047363090339537</v>
      </c>
      <c r="AA49" s="21">
        <f>EXP(-LN(2)/25)*AA48+(1-EXP(-LN(2)/25))/(LN(2)/25)*Calculateur!V49*Calculateur!X49*VLOOKUP('Données projet'!$B$9,Paramètres!$A$1:$I$89,3,0)*0.475*44/12</f>
        <v>11.273515435250605</v>
      </c>
      <c r="AB49" s="21">
        <f>EXP(-LN(2)/2)*AB48+(1-EXP(-LN(2)/2))/(LN(2)/2)*V49*Y49*VLOOKUP('Données projet'!$B$9,Paramètres!$A$1:$I$89,3,0)*0.475*44/12</f>
        <v>4.9059376360716316</v>
      </c>
      <c r="AC49" s="22">
        <f t="shared" si="3"/>
        <v>51.22681616166178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15.714444444444442</v>
      </c>
      <c r="AI49" s="13">
        <f>IF('Données projet'!$A$62&gt;35,AI48+AH49-AQ48,IF(A49&lt;'Données projet'!$A$62,$AF$205^A49,IF(A49='Données projet'!$A$62,'Données projet'!$B$62,AI48+AH49-AQ48)))</f>
        <v>307.15222222222229</v>
      </c>
      <c r="AJ49" s="13">
        <f>AI49*VLOOKUP('Données projet'!$B$10,Paramètres!$A$1:$I$89,3,0)*VLOOKUP('Données projet'!$B$10,Paramètres!$A$1:$I$89,5,0)</f>
        <v>183.67702888888894</v>
      </c>
      <c r="AK49" s="13">
        <f t="shared" si="35"/>
        <v>46.139292054148385</v>
      </c>
      <c r="AL49" s="20">
        <f t="shared" si="4"/>
        <v>400.2634256424567</v>
      </c>
      <c r="AM49" s="59">
        <f t="shared" si="5"/>
        <v>693.59675897578995</v>
      </c>
      <c r="AN49" s="59">
        <f ca="1">AVERAGE(OFFSET($AM$3,0,0,'Données projet'!$E$10+1,1))-AVERAGE(OFFSET($H$3,0,0,'Données projet'!$E$10+1,1))</f>
        <v>270.04187128233121</v>
      </c>
      <c r="AO49" s="59">
        <f t="shared" si="36"/>
        <v>183.82555940776064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22.72280141983704</v>
      </c>
      <c r="AV49" s="21">
        <f>EXP(-LN(2)/25)*AV48+(1-EXP(-LN(2)/25))/(LN(2)/25)*Calculateur!AQ49*Calculateur!AS49*VLOOKUP('Données projet'!$B$10,Paramètres!$A$1:$I$89,3,0)*0.475*44/12</f>
        <v>15.602299132873227</v>
      </c>
      <c r="AW49" s="21">
        <f>EXP(-LN(2)/2)*AW48+(1-EXP(-LN(2)/2))/(LN(2)/2)*AQ49*AT49*VLOOKUP('Données projet'!$B$10,Paramètres!$A$1:$I$89,3,0)*0.475*44/12</f>
        <v>1.8876053039758818</v>
      </c>
      <c r="AX49" s="21">
        <f t="shared" si="6"/>
        <v>40.212705856686149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13.08111111111111</v>
      </c>
      <c r="BD49" s="12">
        <f>IF('Données projet'!$A$88&gt;35,BD48+BC49-BL48,IF(A49&lt;'Données projet'!$A$88,$BA$205^A49,IF(A49='Données projet'!$A$88,'Données projet'!$B$88,BD48+BC49-BL48)))</f>
        <v>276.32333333333344</v>
      </c>
      <c r="BE49" s="13">
        <f>BD49*VLOOKUP('Données projet'!$B$11,Paramètres!$A$1:$I$89,3,0)*VLOOKUP('Données projet'!$B$11,Paramètres!$A$1:$I$89,5,0)</f>
        <v>154.46474333333339</v>
      </c>
      <c r="BF49" s="13">
        <f t="shared" si="37"/>
        <v>39.591476069818206</v>
      </c>
      <c r="BG49" s="20">
        <f t="shared" si="7"/>
        <v>337.98124879382232</v>
      </c>
      <c r="BH49" s="59">
        <f t="shared" si="8"/>
        <v>631.31458212715563</v>
      </c>
      <c r="BI49" s="59">
        <f ca="1">AVERAGE(OFFSET($BH$3,0,0,'Données projet'!$E$11+1,1))-AVERAGE(OFFSET($H$3,0,0,'Données projet'!$E$11+1,1))</f>
        <v>293.82673322742102</v>
      </c>
      <c r="BJ49" s="59">
        <f t="shared" si="38"/>
        <v>138.78566015867693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14.557384689055572</v>
      </c>
      <c r="BQ49" s="21">
        <f>EXP(-LN(2)/25)*BQ48+(1-EXP(-LN(2)/25))/(LN(2)/25)*Calculateur!BL49*Calculateur!BN49*VLOOKUP('Données projet'!$B$11,Paramètres!$A$1:$I$89,3,0)*0.475*44/12</f>
        <v>20.203434954928646</v>
      </c>
      <c r="BR49" s="21">
        <f>EXP(-LN(2)/2)*BR48+(1-EXP(-LN(2)/2))/(LN(2)/2)*BL49*BO49*VLOOKUP('Données projet'!$B$11,Paramètres!$A$1:$I$89,3,0)*0.475*44/12</f>
        <v>6.5140820231718157</v>
      </c>
      <c r="BS49" s="22">
        <f t="shared" si="9"/>
        <v>41.274901667156037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18.28142857142857</v>
      </c>
      <c r="N50" s="13">
        <f>IF('Données projet'!$A$36&gt;35,N49+M50-V49,IF(A50&lt;'Données projet'!$A$36,$K$205^A50,IF(A50='Données projet'!$A$36,'Données projet'!$B$36,N49+M50-V49)))</f>
        <v>328.93714285714253</v>
      </c>
      <c r="O50" s="13">
        <f>N50*VLOOKUP('Données projet'!$B$9,Paramètres!$A$1:$I$89,3,0)*VLOOKUP('Données projet'!$B$9,Paramètres!$A$1:$I$89,5,0)</f>
        <v>153.9425828571427</v>
      </c>
      <c r="P50" s="13">
        <f t="shared" si="33"/>
        <v>39.473194365725568</v>
      </c>
      <c r="Q50" s="20">
        <f t="shared" si="53"/>
        <v>336.86581199649555</v>
      </c>
      <c r="R50" s="59">
        <f t="shared" si="0"/>
        <v>630.19914532982887</v>
      </c>
      <c r="S50" s="59">
        <f ca="1">AVERAGE(OFFSET($R$3,0,0,'Données projet'!$E$9+1,1))-AVERAGE(OFFSET($H$3,0,0,'Données projet'!$E$9+1,1))</f>
        <v>263.84804661819163</v>
      </c>
      <c r="T50" s="59">
        <f t="shared" si="34"/>
        <v>271.81541836379307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34.360105676918685</v>
      </c>
      <c r="AA50" s="21">
        <f>EXP(-LN(2)/25)*AA49+(1-EXP(-LN(2)/25))/(LN(2)/25)*Calculateur!V50*Calculateur!X50*VLOOKUP('Données projet'!$B$9,Paramètres!$A$1:$I$89,3,0)*0.475*44/12</f>
        <v>10.965240562825267</v>
      </c>
      <c r="AB50" s="21">
        <f>EXP(-LN(2)/2)*AB49+(1-EXP(-LN(2)/2))/(LN(2)/2)*V50*Y50*VLOOKUP('Données projet'!$B$9,Paramètres!$A$1:$I$89,3,0)*0.475*44/12</f>
        <v>3.4690217705445519</v>
      </c>
      <c r="AC50" s="22">
        <f t="shared" si="3"/>
        <v>48.794368010288501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15.714444444444442</v>
      </c>
      <c r="AI50" s="13">
        <f>IF('Données projet'!$A$62&gt;35,AI49+AH50-AQ49,IF(A50&lt;'Données projet'!$A$62,$AF$205^A50,IF(A50='Données projet'!$A$62,'Données projet'!$B$62,AI49+AH50-AQ49)))</f>
        <v>322.86666666666673</v>
      </c>
      <c r="AJ50" s="13">
        <f>AI50*VLOOKUP('Données projet'!$B$10,Paramètres!$A$1:$I$89,3,0)*VLOOKUP('Données projet'!$B$10,Paramètres!$A$1:$I$89,5,0)</f>
        <v>193.07426666666672</v>
      </c>
      <c r="AK50" s="13">
        <f t="shared" si="35"/>
        <v>48.218993334236252</v>
      </c>
      <c r="AL50" s="20">
        <f t="shared" si="4"/>
        <v>420.25242783490597</v>
      </c>
      <c r="AM50" s="59">
        <f t="shared" si="5"/>
        <v>713.58576116823929</v>
      </c>
      <c r="AN50" s="59">
        <f ca="1">AVERAGE(OFFSET($AM$3,0,0,'Données projet'!$E$10+1,1))-AVERAGE(OFFSET($H$3,0,0,'Données projet'!$E$10+1,1))</f>
        <v>270.04187128233121</v>
      </c>
      <c r="AO50" s="59">
        <f t="shared" si="36"/>
        <v>183.82555940776064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22.277221143534387</v>
      </c>
      <c r="AV50" s="21">
        <f>EXP(-LN(2)/25)*AV49+(1-EXP(-LN(2)/25))/(LN(2)/25)*Calculateur!AQ50*Calculateur!AS50*VLOOKUP('Données projet'!$B$10,Paramètres!$A$1:$I$89,3,0)*0.475*44/12</f>
        <v>15.175653442595557</v>
      </c>
      <c r="AW50" s="21">
        <f>EXP(-LN(2)/2)*AW49+(1-EXP(-LN(2)/2))/(LN(2)/2)*AQ50*AT50*VLOOKUP('Données projet'!$B$10,Paramètres!$A$1:$I$89,3,0)*0.475*44/12</f>
        <v>1.3347385106450405</v>
      </c>
      <c r="AX50" s="21">
        <f t="shared" si="6"/>
        <v>38.787613096774983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13.08111111111111</v>
      </c>
      <c r="BD50" s="12">
        <f>IF('Données projet'!$A$88&gt;35,BD49+BC50-BL49,IF(A50&lt;'Données projet'!$A$88,$BA$205^A50,IF(A50='Données projet'!$A$88,'Données projet'!$B$88,BD49+BC50-BL49)))</f>
        <v>289.40444444444455</v>
      </c>
      <c r="BE50" s="13">
        <f>BD50*VLOOKUP('Données projet'!$B$11,Paramètres!$A$1:$I$89,3,0)*VLOOKUP('Données projet'!$B$11,Paramètres!$A$1:$I$89,5,0)</f>
        <v>161.77708444444451</v>
      </c>
      <c r="BF50" s="13">
        <f t="shared" si="37"/>
        <v>41.243083728282301</v>
      </c>
      <c r="BG50" s="20">
        <f t="shared" si="7"/>
        <v>353.59345956749917</v>
      </c>
      <c r="BH50" s="59">
        <f t="shared" si="8"/>
        <v>646.92679290083242</v>
      </c>
      <c r="BI50" s="59">
        <f ca="1">AVERAGE(OFFSET($BH$3,0,0,'Données projet'!$E$11+1,1))-AVERAGE(OFFSET($H$3,0,0,'Données projet'!$E$11+1,1))</f>
        <v>293.82673322742102</v>
      </c>
      <c r="BJ50" s="59">
        <f t="shared" si="38"/>
        <v>138.78566015867693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14.271923254431112</v>
      </c>
      <c r="BQ50" s="21">
        <f>EXP(-LN(2)/25)*BQ49+(1-EXP(-LN(2)/25))/(LN(2)/25)*Calculateur!BL50*Calculateur!BN50*VLOOKUP('Données projet'!$B$11,Paramètres!$A$1:$I$89,3,0)*0.475*44/12</f>
        <v>19.650970963633654</v>
      </c>
      <c r="BR50" s="21">
        <f>EXP(-LN(2)/2)*BR49+(1-EXP(-LN(2)/2))/(LN(2)/2)*BL50*BO50*VLOOKUP('Données projet'!$B$11,Paramètres!$A$1:$I$89,3,0)*0.475*44/12</f>
        <v>4.6061515717901766</v>
      </c>
      <c r="BS50" s="22">
        <f t="shared" si="9"/>
        <v>38.529045789854948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18.28142857142857</v>
      </c>
      <c r="N51" s="13">
        <f>IF('Données projet'!$A$36&gt;35,N50+M51-V50,IF(A51&lt;'Données projet'!$A$36,$K$205^A51,IF(A51='Données projet'!$A$36,'Données projet'!$B$36,N50+M51-V50)))</f>
        <v>347.21857142857112</v>
      </c>
      <c r="O51" s="13">
        <f>N51*VLOOKUP('Données projet'!$B$9,Paramètres!$A$1:$I$89,3,0)*VLOOKUP('Données projet'!$B$9,Paramètres!$A$1:$I$89,5,0)</f>
        <v>162.49829142857129</v>
      </c>
      <c r="P51" s="13">
        <f t="shared" si="33"/>
        <v>41.405502883606893</v>
      </c>
      <c r="Q51" s="20">
        <f t="shared" si="53"/>
        <v>355.13244176037705</v>
      </c>
      <c r="R51" s="59">
        <f t="shared" si="0"/>
        <v>648.46577509371036</v>
      </c>
      <c r="S51" s="59">
        <f ca="1">AVERAGE(OFFSET($R$3,0,0,'Données projet'!$E$9+1,1))-AVERAGE(OFFSET($H$3,0,0,'Données projet'!$E$9+1,1))</f>
        <v>263.84804661819163</v>
      </c>
      <c r="T51" s="59">
        <f t="shared" si="34"/>
        <v>271.81541836379307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33.686324962189381</v>
      </c>
      <c r="AA51" s="21">
        <f>EXP(-LN(2)/25)*AA50+(1-EXP(-LN(2)/25))/(LN(2)/25)*Calculateur!V51*Calculateur!X51*VLOOKUP('Données projet'!$B$9,Paramètres!$A$1:$I$89,3,0)*0.475*44/12</f>
        <v>10.665395482997869</v>
      </c>
      <c r="AB51" s="21">
        <f>EXP(-LN(2)/2)*AB50+(1-EXP(-LN(2)/2))/(LN(2)/2)*V51*Y51*VLOOKUP('Données projet'!$B$9,Paramètres!$A$1:$I$89,3,0)*0.475*44/12</f>
        <v>2.4529688180358162</v>
      </c>
      <c r="AC51" s="22">
        <f t="shared" si="3"/>
        <v>46.804689263223068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15.714444444444442</v>
      </c>
      <c r="AI51" s="13">
        <f>IF('Données projet'!$A$62&gt;35,AI50+AH51-AQ50,IF(A51&lt;'Données projet'!$A$62,$AF$205^A51,IF(A51='Données projet'!$A$62,'Données projet'!$B$62,AI50+AH51-AQ50)))</f>
        <v>338.58111111111117</v>
      </c>
      <c r="AJ51" s="13">
        <f>AI51*VLOOKUP('Données projet'!$B$10,Paramètres!$A$1:$I$89,3,0)*VLOOKUP('Données projet'!$B$10,Paramètres!$A$1:$I$89,5,0)</f>
        <v>202.47150444444449</v>
      </c>
      <c r="AK51" s="13">
        <f t="shared" si="35"/>
        <v>50.28694073581002</v>
      </c>
      <c r="AL51" s="20">
        <f t="shared" si="4"/>
        <v>440.22095868894326</v>
      </c>
      <c r="AM51" s="59">
        <f t="shared" si="5"/>
        <v>733.55429202227651</v>
      </c>
      <c r="AN51" s="59">
        <f ca="1">AVERAGE(OFFSET($AM$3,0,0,'Données projet'!$E$10+1,1))-AVERAGE(OFFSET($H$3,0,0,'Données projet'!$E$10+1,1))</f>
        <v>270.04187128233121</v>
      </c>
      <c r="AO51" s="59">
        <f t="shared" si="36"/>
        <v>183.82555940776064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21.840378424672895</v>
      </c>
      <c r="AV51" s="21">
        <f>EXP(-LN(2)/25)*AV50+(1-EXP(-LN(2)/25))/(LN(2)/25)*Calculateur!AQ51*Calculateur!AS51*VLOOKUP('Données projet'!$B$10,Paramètres!$A$1:$I$89,3,0)*0.475*44/12</f>
        <v>14.760674401154851</v>
      </c>
      <c r="AW51" s="21">
        <f>EXP(-LN(2)/2)*AW50+(1-EXP(-LN(2)/2))/(LN(2)/2)*AQ51*AT51*VLOOKUP('Données projet'!$B$10,Paramètres!$A$1:$I$89,3,0)*0.475*44/12</f>
        <v>0.943802651987941</v>
      </c>
      <c r="AX51" s="21">
        <f t="shared" si="6"/>
        <v>37.544855477815695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13.08111111111111</v>
      </c>
      <c r="BD51" s="12">
        <f>IF('Données projet'!$A$88&gt;35,BD50+BC51-BL50,IF(A51&lt;'Données projet'!$A$88,$BA$205^A51,IF(A51='Données projet'!$A$88,'Données projet'!$B$88,BD50+BC51-BL50)))</f>
        <v>302.48555555555566</v>
      </c>
      <c r="BE51" s="13">
        <f>BD51*VLOOKUP('Données projet'!$B$11,Paramètres!$A$1:$I$89,3,0)*VLOOKUP('Données projet'!$B$11,Paramètres!$A$1:$I$89,5,0)</f>
        <v>169.08942555555564</v>
      </c>
      <c r="BF51" s="13">
        <f t="shared" si="37"/>
        <v>42.88602149821061</v>
      </c>
      <c r="BG51" s="20">
        <f t="shared" si="7"/>
        <v>369.19057028530955</v>
      </c>
      <c r="BH51" s="59">
        <f t="shared" si="8"/>
        <v>662.52390361864286</v>
      </c>
      <c r="BI51" s="59">
        <f ca="1">AVERAGE(OFFSET($BH$3,0,0,'Données projet'!$E$11+1,1))-AVERAGE(OFFSET($H$3,0,0,'Données projet'!$E$11+1,1))</f>
        <v>293.82673322742102</v>
      </c>
      <c r="BJ51" s="59">
        <f t="shared" si="38"/>
        <v>138.78566015867693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13.992059544425354</v>
      </c>
      <c r="BQ51" s="21">
        <f>EXP(-LN(2)/25)*BQ50+(1-EXP(-LN(2)/25))/(LN(2)/25)*Calculateur!BL51*Calculateur!BN51*VLOOKUP('Données projet'!$B$11,Paramètres!$A$1:$I$89,3,0)*0.475*44/12</f>
        <v>19.11361412923344</v>
      </c>
      <c r="BR51" s="21">
        <f>EXP(-LN(2)/2)*BR50+(1-EXP(-LN(2)/2))/(LN(2)/2)*BL51*BO51*VLOOKUP('Données projet'!$B$11,Paramètres!$A$1:$I$89,3,0)*0.475*44/12</f>
        <v>3.2570410115859088</v>
      </c>
      <c r="BS51" s="22">
        <f t="shared" si="9"/>
        <v>36.362714685244704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365.5</v>
      </c>
      <c r="L52" s="12">
        <f>VLOOKUP(A52,'Données projet'!$A$35:$I$55,9,0)</f>
        <v>18.28142857142857</v>
      </c>
      <c r="M52" s="12">
        <f t="array" ref="M52">INDEX(L:L,MIN(IF(ISNUMBER(L52:L248),ROW(L52:L248),"")))</f>
        <v>18.28142857142857</v>
      </c>
      <c r="N52" s="13">
        <f>IF('Données projet'!$A$36&gt;35,N51+M52-V51,IF(A52&lt;'Données projet'!$A$36,$K$205^A52,IF(A52='Données projet'!$A$36,'Données projet'!$B$36,N51+M52-V51)))</f>
        <v>365.49999999999972</v>
      </c>
      <c r="O52" s="13">
        <f>N52*VLOOKUP('Données projet'!$B$9,Paramètres!$A$1:$I$89,3,0)*VLOOKUP('Données projet'!$B$9,Paramètres!$A$1:$I$89,5,0)</f>
        <v>171.05399999999989</v>
      </c>
      <c r="P52" s="13">
        <f t="shared" si="33"/>
        <v>43.325999538979005</v>
      </c>
      <c r="Q52" s="20">
        <f t="shared" si="53"/>
        <v>373.37849919705485</v>
      </c>
      <c r="R52" s="59">
        <f t="shared" si="0"/>
        <v>666.71183253038816</v>
      </c>
      <c r="S52" s="59">
        <f ca="1">AVERAGE(OFFSET($R$3,0,0,'Données projet'!$E$9+1,1))-AVERAGE(OFFSET($H$3,0,0,'Données projet'!$E$9+1,1))</f>
        <v>263.84804661819163</v>
      </c>
      <c r="T52" s="59">
        <f t="shared" si="34"/>
        <v>271.81541836379307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101.22000000000003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53.763165155806192</v>
      </c>
      <c r="AA52" s="21">
        <f>EXP(-LN(2)/25)*AA51+(1-EXP(-LN(2)/25))/(LN(2)/25)*Calculateur!V52*Calculateur!X52*VLOOKUP('Données projet'!$B$9,Paramètres!$A$1:$I$89,3,0)*0.475*44/12</f>
        <v>17.259002149559869</v>
      </c>
      <c r="AB52" s="21">
        <f>EXP(-LN(2)/2)*AB51+(1-EXP(-LN(2)/2))/(LN(2)/2)*V52*Y52*VLOOKUP('Données projet'!$B$9,Paramètres!$A$1:$I$89,3,0)*0.475*44/12</f>
        <v>12.461497060639143</v>
      </c>
      <c r="AC52" s="22">
        <f t="shared" si="3"/>
        <v>83.4836643660052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15.714444444444442</v>
      </c>
      <c r="AI52" s="13">
        <f>IF('Données projet'!$A$62&gt;35,AI51+AH52-AQ51,IF(A52&lt;'Données projet'!$A$62,$AF$205^A52,IF(A52='Données projet'!$A$62,'Données projet'!$B$62,AI51+AH52-AQ51)))</f>
        <v>354.29555555555561</v>
      </c>
      <c r="AJ52" s="13">
        <f>AI52*VLOOKUP('Données projet'!$B$10,Paramètres!$A$1:$I$89,3,0)*VLOOKUP('Données projet'!$B$10,Paramètres!$A$1:$I$89,5,0)</f>
        <v>211.86874222222229</v>
      </c>
      <c r="AK52" s="13">
        <f t="shared" si="35"/>
        <v>52.343742090960504</v>
      </c>
      <c r="AL52" s="20">
        <f t="shared" si="4"/>
        <v>460.17007684546002</v>
      </c>
      <c r="AM52" s="59">
        <f t="shared" si="5"/>
        <v>753.50341017879327</v>
      </c>
      <c r="AN52" s="59">
        <f ca="1">AVERAGE(OFFSET($AM$3,0,0,'Données projet'!$E$10+1,1))-AVERAGE(OFFSET($H$3,0,0,'Données projet'!$E$10+1,1))</f>
        <v>270.04187128233121</v>
      </c>
      <c r="AO52" s="59">
        <f t="shared" si="36"/>
        <v>183.82555940776064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21.412101925080528</v>
      </c>
      <c r="AV52" s="21">
        <f>EXP(-LN(2)/25)*AV51+(1-EXP(-LN(2)/25))/(LN(2)/25)*Calculateur!AQ52*Calculateur!AS52*VLOOKUP('Données projet'!$B$10,Paramètres!$A$1:$I$89,3,0)*0.475*44/12</f>
        <v>14.357042983425142</v>
      </c>
      <c r="AW52" s="21">
        <f>EXP(-LN(2)/2)*AW51+(1-EXP(-LN(2)/2))/(LN(2)/2)*AQ52*AT52*VLOOKUP('Données projet'!$B$10,Paramètres!$A$1:$I$89,3,0)*0.475*44/12</f>
        <v>0.66736925532252034</v>
      </c>
      <c r="AX52" s="21">
        <f t="shared" si="6"/>
        <v>36.436514163828186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13.08111111111111</v>
      </c>
      <c r="BD52" s="12">
        <f>IF('Données projet'!$A$88&gt;35,BD51+BC52-BL51,IF(A52&lt;'Données projet'!$A$88,$BA$205^A52,IF(A52='Données projet'!$A$88,'Données projet'!$B$88,BD51+BC52-BL51)))</f>
        <v>315.56666666666678</v>
      </c>
      <c r="BE52" s="13">
        <f>BD52*VLOOKUP('Données projet'!$B$11,Paramètres!$A$1:$I$89,3,0)*VLOOKUP('Données projet'!$B$11,Paramètres!$A$1:$I$89,5,0)</f>
        <v>176.40176666666673</v>
      </c>
      <c r="BF52" s="13">
        <f t="shared" si="37"/>
        <v>44.520707168717585</v>
      </c>
      <c r="BG52" s="20">
        <f t="shared" si="7"/>
        <v>384.77330859662766</v>
      </c>
      <c r="BH52" s="59">
        <f t="shared" si="8"/>
        <v>678.10664192996092</v>
      </c>
      <c r="BI52" s="59">
        <f ca="1">AVERAGE(OFFSET($BH$3,0,0,'Données projet'!$E$11+1,1))-AVERAGE(OFFSET($H$3,0,0,'Données projet'!$E$11+1,1))</f>
        <v>293.82673322742102</v>
      </c>
      <c r="BJ52" s="59">
        <f t="shared" si="38"/>
        <v>138.78566015867693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13.717683791072801</v>
      </c>
      <c r="BQ52" s="21">
        <f>EXP(-LN(2)/25)*BQ51+(1-EXP(-LN(2)/25))/(LN(2)/25)*Calculateur!BL52*Calculateur!BN52*VLOOKUP('Données projet'!$B$11,Paramètres!$A$1:$I$89,3,0)*0.475*44/12</f>
        <v>18.590951345728268</v>
      </c>
      <c r="BR52" s="21">
        <f>EXP(-LN(2)/2)*BR51+(1-EXP(-LN(2)/2))/(LN(2)/2)*BL52*BO52*VLOOKUP('Données projet'!$B$11,Paramètres!$A$1:$I$89,3,0)*0.475*44/12</f>
        <v>2.3030757858950888</v>
      </c>
      <c r="BS52" s="22">
        <f t="shared" si="9"/>
        <v>34.611710922696162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17.124285714285715</v>
      </c>
      <c r="N53" s="13">
        <f>IF('Données projet'!$A$36&gt;35,N52+M53-V52,IF(A53&lt;'Données projet'!$A$36,$K$205^A53,IF(A53='Données projet'!$A$36,'Données projet'!$B$36,N52+M53-V52)))</f>
        <v>281.40428571428538</v>
      </c>
      <c r="O53" s="13">
        <f>N53*VLOOKUP('Données projet'!$B$9,Paramètres!$A$1:$I$89,3,0)*VLOOKUP('Données projet'!$B$9,Paramètres!$A$1:$I$89,5,0)</f>
        <v>131.69720571428556</v>
      </c>
      <c r="P53" s="13">
        <f t="shared" si="33"/>
        <v>34.388237195240038</v>
      </c>
      <c r="Q53" s="20">
        <f t="shared" si="53"/>
        <v>289.26547973409038</v>
      </c>
      <c r="R53" s="59">
        <f t="shared" si="0"/>
        <v>582.59881306742363</v>
      </c>
      <c r="S53" s="59">
        <f ca="1">AVERAGE(OFFSET($R$3,0,0,'Données projet'!$E$9+1,1))-AVERAGE(OFFSET($H$3,0,0,'Données projet'!$E$9+1,1))</f>
        <v>263.84804661819163</v>
      </c>
      <c r="T53" s="59">
        <f t="shared" si="34"/>
        <v>271.81541836379307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52.708902279393605</v>
      </c>
      <c r="AA53" s="21">
        <f>EXP(-LN(2)/25)*AA52+(1-EXP(-LN(2)/25))/(LN(2)/25)*Calculateur!V53*Calculateur!X53*VLOOKUP('Données projet'!$B$9,Paramètres!$A$1:$I$89,3,0)*0.475*44/12</f>
        <v>16.787053828168677</v>
      </c>
      <c r="AB53" s="21">
        <f>EXP(-LN(2)/2)*AB52+(1-EXP(-LN(2)/2))/(LN(2)/2)*V53*Y53*VLOOKUP('Données projet'!$B$9,Paramètres!$A$1:$I$89,3,0)*0.475*44/12</f>
        <v>8.811609075314168</v>
      </c>
      <c r="AC53" s="22">
        <f t="shared" si="3"/>
        <v>78.307565182876445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370.01</v>
      </c>
      <c r="AG53" s="12">
        <f>VLOOKUP(A53,'Données projet'!$A$61:$I$81,9,0)</f>
        <v>15.714444444444442</v>
      </c>
      <c r="AH53" s="12">
        <f t="array" ref="AH53">INDEX(AG:AG,MIN(IF(ISNUMBER(AG53:AG249),ROW(AG53:AG249),"")))</f>
        <v>15.714444444444442</v>
      </c>
      <c r="AI53" s="13">
        <f>IF('Données projet'!$A$62&gt;35,AI52+AH53-AQ52,IF(A53&lt;'Données projet'!$A$62,$AF$205^A53,IF(A53='Données projet'!$A$62,'Données projet'!$B$62,AI52+AH53-AQ52)))</f>
        <v>370.01000000000005</v>
      </c>
      <c r="AJ53" s="13">
        <f>AI53*VLOOKUP('Données projet'!$B$10,Paramètres!$A$1:$I$89,3,0)*VLOOKUP('Données projet'!$B$10,Paramètres!$A$1:$I$89,5,0)</f>
        <v>221.26598000000004</v>
      </c>
      <c r="AK53" s="13">
        <f t="shared" si="35"/>
        <v>54.389948263584252</v>
      </c>
      <c r="AL53" s="20">
        <f t="shared" si="4"/>
        <v>480.10074172574264</v>
      </c>
      <c r="AM53" s="59">
        <f t="shared" si="5"/>
        <v>773.43407505907589</v>
      </c>
      <c r="AN53" s="59">
        <f ca="1">AVERAGE(OFFSET($AM$3,0,0,'Données projet'!$E$10+1,1))-AVERAGE(OFFSET($H$3,0,0,'Données projet'!$E$10+1,1))</f>
        <v>270.04187128233121</v>
      </c>
      <c r="AO53" s="59">
        <f t="shared" si="36"/>
        <v>183.82555940776064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70.20999999999998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9.0000000000000011E-2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36.030299745055871</v>
      </c>
      <c r="AV53" s="21">
        <f>EXP(-LN(2)/25)*AV52+(1-EXP(-LN(2)/25))/(LN(2)/25)*Calculateur!AQ53*Calculateur!AS53*VLOOKUP('Données projet'!$B$10,Paramètres!$A$1:$I$89,3,0)*0.475*44/12</f>
        <v>18.9574040357579</v>
      </c>
      <c r="AW53" s="21">
        <f>EXP(-LN(2)/2)*AW52+(1-EXP(-LN(2)/2))/(LN(2)/2)*AQ53*AT53*VLOOKUP('Données projet'!$B$10,Paramètres!$A$1:$I$89,3,0)*0.475*44/12</f>
        <v>9.9793872672702157</v>
      </c>
      <c r="AX53" s="21">
        <f t="shared" si="6"/>
        <v>64.967091048083986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13.08111111111111</v>
      </c>
      <c r="BD53" s="12">
        <f>IF('Données projet'!$A$88&gt;35,BD52+BC53-BL52,IF(A53&lt;'Données projet'!$A$88,$BA$205^A53,IF(A53='Données projet'!$A$88,'Données projet'!$B$88,BD52+BC53-BL52)))</f>
        <v>328.64777777777789</v>
      </c>
      <c r="BE53" s="13">
        <f>BD53*VLOOKUP('Données projet'!$B$11,Paramètres!$A$1:$I$89,3,0)*VLOOKUP('Données projet'!$B$11,Paramètres!$A$1:$I$89,5,0)</f>
        <v>183.71410777777783</v>
      </c>
      <c r="BF53" s="13">
        <f t="shared" si="37"/>
        <v>46.147521932152173</v>
      </c>
      <c r="BG53" s="20">
        <f t="shared" si="7"/>
        <v>400.34233841146147</v>
      </c>
      <c r="BH53" s="59">
        <f t="shared" si="8"/>
        <v>693.67567174479473</v>
      </c>
      <c r="BI53" s="59">
        <f ca="1">AVERAGE(OFFSET($BH$3,0,0,'Données projet'!$E$11+1,1))-AVERAGE(OFFSET($H$3,0,0,'Données projet'!$E$11+1,1))</f>
        <v>293.82673322742102</v>
      </c>
      <c r="BJ53" s="59">
        <f t="shared" si="38"/>
        <v>138.78566015867693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13.448688378890807</v>
      </c>
      <c r="BQ53" s="21">
        <f>EXP(-LN(2)/25)*BQ52+(1-EXP(-LN(2)/25))/(LN(2)/25)*Calculateur!BL53*Calculateur!BN53*VLOOKUP('Données projet'!$B$11,Paramètres!$A$1:$I$89,3,0)*0.475*44/12</f>
        <v>18.082580803523687</v>
      </c>
      <c r="BR53" s="21">
        <f>EXP(-LN(2)/2)*BR52+(1-EXP(-LN(2)/2))/(LN(2)/2)*BL53*BO53*VLOOKUP('Données projet'!$B$11,Paramètres!$A$1:$I$89,3,0)*0.475*44/12</f>
        <v>1.6285205057929546</v>
      </c>
      <c r="BS53" s="22">
        <f t="shared" si="9"/>
        <v>33.159789688207447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17.124285714285715</v>
      </c>
      <c r="N54" s="13">
        <f>IF('Données projet'!$A$36&gt;35,N53+M54-V53,IF(A54&lt;'Données projet'!$A$36,$K$205^A54,IF(A54='Données projet'!$A$36,'Données projet'!$B$36,N53+M54-V53)))</f>
        <v>298.52857142857107</v>
      </c>
      <c r="O54" s="13">
        <f>N54*VLOOKUP('Données projet'!$B$9,Paramètres!$A$1:$I$89,3,0)*VLOOKUP('Données projet'!$B$9,Paramètres!$A$1:$I$89,5,0)</f>
        <v>139.71137142857125</v>
      </c>
      <c r="P54" s="13">
        <f t="shared" si="33"/>
        <v>36.230876802623818</v>
      </c>
      <c r="Q54" s="20">
        <f t="shared" si="53"/>
        <v>306.43274900266471</v>
      </c>
      <c r="R54" s="59">
        <f t="shared" si="0"/>
        <v>599.76608233599802</v>
      </c>
      <c r="S54" s="59">
        <f ca="1">AVERAGE(OFFSET($R$3,0,0,'Données projet'!$E$9+1,1))-AVERAGE(OFFSET($H$3,0,0,'Données projet'!$E$9+1,1))</f>
        <v>263.84804661819163</v>
      </c>
      <c r="T54" s="59">
        <f t="shared" si="34"/>
        <v>271.81541836379307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51.675312854950612</v>
      </c>
      <c r="AA54" s="21">
        <f>EXP(-LN(2)/25)*AA53+(1-EXP(-LN(2)/25))/(LN(2)/25)*Calculateur!V54*Calculateur!X54*VLOOKUP('Données projet'!$B$9,Paramètres!$A$1:$I$89,3,0)*0.475*44/12</f>
        <v>16.328010958444612</v>
      </c>
      <c r="AB54" s="21">
        <f>EXP(-LN(2)/2)*AB53+(1-EXP(-LN(2)/2))/(LN(2)/2)*V54*Y54*VLOOKUP('Données projet'!$B$9,Paramètres!$A$1:$I$89,3,0)*0.475*44/12</f>
        <v>6.2307485303195724</v>
      </c>
      <c r="AC54" s="22">
        <f t="shared" si="3"/>
        <v>74.2340723437148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14.113999999999999</v>
      </c>
      <c r="AI54" s="13">
        <f>IF('Données projet'!$A$62&gt;35,AI53+AH54-AQ53,IF(A54&lt;'Données projet'!$A$62,$AF$205^A54,IF(A54='Données projet'!$A$62,'Données projet'!$B$62,AI53+AH54-AQ53)))</f>
        <v>313.91400000000004</v>
      </c>
      <c r="AJ54" s="13">
        <f>AI54*VLOOKUP('Données projet'!$B$10,Paramètres!$A$1:$I$89,3,0)*VLOOKUP('Données projet'!$B$10,Paramètres!$A$1:$I$89,5,0)</f>
        <v>187.72057200000006</v>
      </c>
      <c r="AK54" s="13">
        <f t="shared" si="35"/>
        <v>47.035650233472225</v>
      </c>
      <c r="AL54" s="20">
        <f t="shared" si="4"/>
        <v>408.86708705663085</v>
      </c>
      <c r="AM54" s="59">
        <f t="shared" si="5"/>
        <v>702.20042038996417</v>
      </c>
      <c r="AN54" s="59">
        <f ca="1">AVERAGE(OFFSET($AM$3,0,0,'Données projet'!$E$10+1,1))-AVERAGE(OFFSET($H$3,0,0,'Données projet'!$E$10+1,1))</f>
        <v>270.04187128233121</v>
      </c>
      <c r="AO54" s="59">
        <f t="shared" si="36"/>
        <v>183.82555940776064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35.323767543368191</v>
      </c>
      <c r="AV54" s="21">
        <f>EXP(-LN(2)/25)*AV53+(1-EXP(-LN(2)/25))/(LN(2)/25)*Calculateur!AQ54*Calculateur!AS54*VLOOKUP('Données projet'!$B$10,Paramètres!$A$1:$I$89,3,0)*0.475*44/12</f>
        <v>18.439012825473551</v>
      </c>
      <c r="AW54" s="21">
        <f>EXP(-LN(2)/2)*AW53+(1-EXP(-LN(2)/2))/(LN(2)/2)*AQ54*AT54*VLOOKUP('Données projet'!$B$10,Paramètres!$A$1:$I$89,3,0)*0.475*44/12</f>
        <v>7.0564924087734591</v>
      </c>
      <c r="AX54" s="21">
        <f t="shared" si="6"/>
        <v>60.819272777615204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13.08111111111111</v>
      </c>
      <c r="BD54" s="12">
        <f>IF('Données projet'!$A$88&gt;35,BD53+BC54-BL53,IF(A54&lt;'Données projet'!$A$88,$BA$205^A54,IF(A54='Données projet'!$A$88,'Données projet'!$B$88,BD53+BC54-BL53)))</f>
        <v>341.728888888889</v>
      </c>
      <c r="BE54" s="13">
        <f>BD54*VLOOKUP('Données projet'!$B$11,Paramètres!$A$1:$I$89,3,0)*VLOOKUP('Données projet'!$B$11,Paramètres!$A$1:$I$89,5,0)</f>
        <v>191.02644888888895</v>
      </c>
      <c r="BF54" s="13">
        <f t="shared" si="37"/>
        <v>47.766814918063808</v>
      </c>
      <c r="BG54" s="20">
        <f t="shared" si="7"/>
        <v>415.89826779710933</v>
      </c>
      <c r="BH54" s="59">
        <f t="shared" si="8"/>
        <v>709.23160113044264</v>
      </c>
      <c r="BI54" s="59">
        <f ca="1">AVERAGE(OFFSET($BH$3,0,0,'Données projet'!$E$11+1,1))-AVERAGE(OFFSET($H$3,0,0,'Données projet'!$E$11+1,1))</f>
        <v>293.82673322742102</v>
      </c>
      <c r="BJ54" s="59">
        <f t="shared" si="38"/>
        <v>138.78566015867693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13.184967802670702</v>
      </c>
      <c r="BQ54" s="21">
        <f>EXP(-LN(2)/25)*BQ53+(1-EXP(-LN(2)/25))/(LN(2)/25)*Calculateur!BL54*Calculateur!BN54*VLOOKUP('Données projet'!$B$11,Paramètres!$A$1:$I$89,3,0)*0.475*44/12</f>
        <v>17.588111680529735</v>
      </c>
      <c r="BR54" s="21">
        <f>EXP(-LN(2)/2)*BR53+(1-EXP(-LN(2)/2))/(LN(2)/2)*BL54*BO54*VLOOKUP('Données projet'!$B$11,Paramètres!$A$1:$I$89,3,0)*0.475*44/12</f>
        <v>1.1515378929475446</v>
      </c>
      <c r="BS54" s="22">
        <f t="shared" si="9"/>
        <v>31.924617376147982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17.124285714285715</v>
      </c>
      <c r="N55" s="13">
        <f>IF('Données projet'!$A$36&gt;35,N54+M55-V54,IF(A55&lt;'Données projet'!$A$36,$K$205^A55,IF(A55='Données projet'!$A$36,'Données projet'!$B$36,N54+M55-V54)))</f>
        <v>315.65285714285676</v>
      </c>
      <c r="O55" s="13">
        <f>N55*VLOOKUP('Données projet'!$B$9,Paramètres!$A$1:$I$89,3,0)*VLOOKUP('Données projet'!$B$9,Paramètres!$A$1:$I$89,5,0)</f>
        <v>147.72553714285698</v>
      </c>
      <c r="P55" s="13">
        <f t="shared" si="33"/>
        <v>38.061247038135996</v>
      </c>
      <c r="Q55" s="20">
        <f t="shared" si="53"/>
        <v>323.57864911522944</v>
      </c>
      <c r="R55" s="59">
        <f t="shared" si="0"/>
        <v>616.91198244856275</v>
      </c>
      <c r="S55" s="59">
        <f ca="1">AVERAGE(OFFSET($R$3,0,0,'Données projet'!$E$9+1,1))-AVERAGE(OFFSET($H$3,0,0,'Données projet'!$E$9+1,1))</f>
        <v>263.84804661819163</v>
      </c>
      <c r="T55" s="59">
        <f t="shared" si="34"/>
        <v>271.81541836379307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50.661991488693644</v>
      </c>
      <c r="AA55" s="21">
        <f>EXP(-LN(2)/25)*AA54+(1-EXP(-LN(2)/25))/(LN(2)/25)*Calculateur!V55*Calculateur!X55*VLOOKUP('Données projet'!$B$9,Paramètres!$A$1:$I$89,3,0)*0.475*44/12</f>
        <v>15.881520640133166</v>
      </c>
      <c r="AB55" s="21">
        <f>EXP(-LN(2)/2)*AB54+(1-EXP(-LN(2)/2))/(LN(2)/2)*V55*Y55*VLOOKUP('Données projet'!$B$9,Paramètres!$A$1:$I$89,3,0)*0.475*44/12</f>
        <v>4.4058045376570849</v>
      </c>
      <c r="AC55" s="22">
        <f t="shared" si="3"/>
        <v>70.949316666483895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14.113999999999999</v>
      </c>
      <c r="AI55" s="13">
        <f>IF('Données projet'!$A$62&gt;35,AI54+AH55-AQ54,IF(A55&lt;'Données projet'!$A$62,$AF$205^A55,IF(A55='Données projet'!$A$62,'Données projet'!$B$62,AI54+AH55-AQ54)))</f>
        <v>328.02800000000002</v>
      </c>
      <c r="AJ55" s="13">
        <f>AI55*VLOOKUP('Données projet'!$B$10,Paramètres!$A$1:$I$89,3,0)*VLOOKUP('Données projet'!$B$10,Paramètres!$A$1:$I$89,5,0)</f>
        <v>196.16074400000002</v>
      </c>
      <c r="AK55" s="13">
        <f t="shared" si="35"/>
        <v>48.899465996260361</v>
      </c>
      <c r="AL55" s="20">
        <f t="shared" si="4"/>
        <v>426.81319907682013</v>
      </c>
      <c r="AM55" s="59">
        <f t="shared" si="5"/>
        <v>720.14653241015344</v>
      </c>
      <c r="AN55" s="59">
        <f ca="1">AVERAGE(OFFSET($AM$3,0,0,'Données projet'!$E$10+1,1))-AVERAGE(OFFSET($H$3,0,0,'Données projet'!$E$10+1,1))</f>
        <v>270.04187128233121</v>
      </c>
      <c r="AO55" s="59">
        <f t="shared" si="36"/>
        <v>183.82555940776064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34.631090007213515</v>
      </c>
      <c r="AV55" s="21">
        <f>EXP(-LN(2)/25)*AV54+(1-EXP(-LN(2)/25))/(LN(2)/25)*Calculateur!AQ55*Calculateur!AS55*VLOOKUP('Données projet'!$B$10,Paramètres!$A$1:$I$89,3,0)*0.475*44/12</f>
        <v>17.934797050095433</v>
      </c>
      <c r="AW55" s="21">
        <f>EXP(-LN(2)/2)*AW54+(1-EXP(-LN(2)/2))/(LN(2)/2)*AQ55*AT55*VLOOKUP('Données projet'!$B$10,Paramètres!$A$1:$I$89,3,0)*0.475*44/12</f>
        <v>4.9896936336351088</v>
      </c>
      <c r="AX55" s="21">
        <f t="shared" si="6"/>
        <v>57.555580690944055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354.81</v>
      </c>
      <c r="BB55" s="12">
        <f>VLOOKUP(A55,'Données projet'!$A$87:$I$107,9,0)</f>
        <v>13.08111111111111</v>
      </c>
      <c r="BC55" s="12">
        <f t="array" ref="BC55">INDEX(BB:BB,MIN(IF(ISNUMBER(BB55:BB251),ROW(BB55:BB251),"")))</f>
        <v>13.08111111111111</v>
      </c>
      <c r="BD55" s="12">
        <f>IF('Données projet'!$A$88&gt;35,BD54+BC55-BL54,IF(A55&lt;'Données projet'!$A$88,$BA$205^A55,IF(A55='Données projet'!$A$88,'Données projet'!$B$88,BD54+BC55-BL54)))</f>
        <v>354.81000000000012</v>
      </c>
      <c r="BE55" s="13">
        <f>BD55*VLOOKUP('Données projet'!$B$11,Paramètres!$A$1:$I$89,3,0)*VLOOKUP('Données projet'!$B$11,Paramètres!$A$1:$I$89,5,0)</f>
        <v>198.33879000000007</v>
      </c>
      <c r="BF55" s="13">
        <f t="shared" si="37"/>
        <v>49.378907013416971</v>
      </c>
      <c r="BG55" s="20">
        <f t="shared" si="7"/>
        <v>431.44165563170139</v>
      </c>
      <c r="BH55" s="59">
        <f t="shared" si="8"/>
        <v>724.77498896503471</v>
      </c>
      <c r="BI55" s="59">
        <f ca="1">AVERAGE(OFFSET($BH$3,0,0,'Données projet'!$E$11+1,1))-AVERAGE(OFFSET($H$3,0,0,'Données projet'!$E$11+1,1))</f>
        <v>293.82673322742102</v>
      </c>
      <c r="BJ55" s="59">
        <f t="shared" si="38"/>
        <v>138.78566015867693</v>
      </c>
      <c r="BK55" s="15">
        <f>IF(ISNA(VLOOKUP(A55,'Données projet'!$A$87:$I$107,3,0)),0,VLOOKUP(A55,'Données projet'!$A$87:$I$107,3,0))</f>
        <v>3</v>
      </c>
      <c r="BL55" s="15">
        <f>IF(ISNA(VLOOKUP(A55,'Données projet'!$A$87:$I$107,4,0)),0,VLOOKUP(A55,'Données projet'!$A$87:$I$107,4,0))</f>
        <v>61.259999999999991</v>
      </c>
      <c r="BM55" s="16">
        <f>IF(ISNA(VLOOKUP(A55,'Données projet'!$A$87:$I$107,5,0)),0%,VLOOKUP(A55,'Données projet'!$A$87:$I$107,5,0)*VLOOKUP('Données projet'!$B$11,Paramètres!$A$1:$I$89,7,0))</f>
        <v>0.33</v>
      </c>
      <c r="BN55" s="16">
        <f>IF(ISNA(VLOOKUP(A55,'Données projet'!$A$87:$I$107,6,0)),0%,VLOOKUP(A55,'Données projet'!$A$87:$I$107,6,0)*VLOOKUP('Données projet'!$B$11,Paramètres!$A$1:$I$89,7,0))</f>
        <v>0.11000000000000001</v>
      </c>
      <c r="BO55" s="16">
        <f>IF(ISNA(VLOOKUP(A55,'Données projet'!$A$87:$I$107,7,0)),0%,VLOOKUP(A55,'Données projet'!$A$87:$I$107,7,0))</f>
        <v>0.2</v>
      </c>
      <c r="BP55" s="21">
        <f>EXP(-LN(2)/35)*BP54+(1-EXP(-LN(2)/35))/(LN(2)/35)*BL55*BM55*VLOOKUP('Données projet'!$B$11,Paramètres!$A$1:$I$89,3,0)*0.475*44/12</f>
        <v>27.917435626612139</v>
      </c>
      <c r="BQ55" s="21">
        <f>EXP(-LN(2)/25)*BQ54+(1-EXP(-LN(2)/25))/(LN(2)/25)*Calculateur!BL55*Calculateur!BN55*VLOOKUP('Données projet'!$B$11,Paramètres!$A$1:$I$89,3,0)*0.475*44/12</f>
        <v>22.084494393226791</v>
      </c>
      <c r="BR55" s="21">
        <f>EXP(-LN(2)/2)*BR54+(1-EXP(-LN(2)/2))/(LN(2)/2)*BL55*BO55*VLOOKUP('Données projet'!$B$11,Paramètres!$A$1:$I$89,3,0)*0.475*44/12</f>
        <v>8.5687698039919677</v>
      </c>
      <c r="BS55" s="22">
        <f t="shared" si="9"/>
        <v>58.5706998238309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17.124285714285715</v>
      </c>
      <c r="N56" s="13">
        <f>IF('Données projet'!$A$36&gt;35,N55+M56-V55,IF(A56&lt;'Données projet'!$A$36,$K$205^A56,IF(A56='Données projet'!$A$36,'Données projet'!$B$36,N55+M56-V55)))</f>
        <v>332.77714285714245</v>
      </c>
      <c r="O56" s="13">
        <f>N56*VLOOKUP('Données projet'!$B$9,Paramètres!$A$1:$I$89,3,0)*VLOOKUP('Données projet'!$B$9,Paramètres!$A$1:$I$89,5,0)</f>
        <v>155.73970285714267</v>
      </c>
      <c r="P56" s="13">
        <f t="shared" si="33"/>
        <v>39.880089403039847</v>
      </c>
      <c r="Q56" s="20">
        <f t="shared" si="53"/>
        <v>340.7044715198179</v>
      </c>
      <c r="R56" s="59">
        <f t="shared" si="0"/>
        <v>634.03780485315121</v>
      </c>
      <c r="S56" s="59">
        <f ca="1">AVERAGE(OFFSET($R$3,0,0,'Données projet'!$E$9+1,1))-AVERAGE(OFFSET($H$3,0,0,'Données projet'!$E$9+1,1))</f>
        <v>263.84804661819163</v>
      </c>
      <c r="T56" s="59">
        <f t="shared" si="34"/>
        <v>271.81541836379307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49.668540736363973</v>
      </c>
      <c r="AA56" s="21">
        <f>EXP(-LN(2)/25)*AA55+(1-EXP(-LN(2)/25))/(LN(2)/25)*Calculateur!V56*Calculateur!X56*VLOOKUP('Données projet'!$B$9,Paramètres!$A$1:$I$89,3,0)*0.475*44/12</f>
        <v>15.447239623055852</v>
      </c>
      <c r="AB56" s="21">
        <f>EXP(-LN(2)/2)*AB55+(1-EXP(-LN(2)/2))/(LN(2)/2)*V56*Y56*VLOOKUP('Données projet'!$B$9,Paramètres!$A$1:$I$89,3,0)*0.475*44/12</f>
        <v>3.1153742651597867</v>
      </c>
      <c r="AC56" s="22">
        <f t="shared" si="3"/>
        <v>68.231154624579617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14.113999999999999</v>
      </c>
      <c r="AI56" s="13">
        <f>IF('Données projet'!$A$62&gt;35,AI55+AH56-AQ55,IF(A56&lt;'Données projet'!$A$62,$AF$205^A56,IF(A56='Données projet'!$A$62,'Données projet'!$B$62,AI55+AH56-AQ55)))</f>
        <v>342.142</v>
      </c>
      <c r="AJ56" s="13">
        <f>AI56*VLOOKUP('Données projet'!$B$10,Paramètres!$A$1:$I$89,3,0)*VLOOKUP('Données projet'!$B$10,Paramètres!$A$1:$I$89,5,0)</f>
        <v>204.60091600000001</v>
      </c>
      <c r="AK56" s="13">
        <f t="shared" si="35"/>
        <v>50.753967472357871</v>
      </c>
      <c r="AL56" s="20">
        <f t="shared" si="4"/>
        <v>444.74308871435665</v>
      </c>
      <c r="AM56" s="59">
        <f t="shared" si="5"/>
        <v>738.0764220476899</v>
      </c>
      <c r="AN56" s="59">
        <f ca="1">AVERAGE(OFFSET($AM$3,0,0,'Données projet'!$E$10+1,1))-AVERAGE(OFFSET($H$3,0,0,'Données projet'!$E$10+1,1))</f>
        <v>270.04187128233121</v>
      </c>
      <c r="AO56" s="59">
        <f t="shared" si="36"/>
        <v>183.82555940776064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33.951995455051254</v>
      </c>
      <c r="AV56" s="21">
        <f>EXP(-LN(2)/25)*AV55+(1-EXP(-LN(2)/25))/(LN(2)/25)*Calculateur!AQ56*Calculateur!AS56*VLOOKUP('Données projet'!$B$10,Paramètres!$A$1:$I$89,3,0)*0.475*44/12</f>
        <v>17.444369081610589</v>
      </c>
      <c r="AW56" s="21">
        <f>EXP(-LN(2)/2)*AW55+(1-EXP(-LN(2)/2))/(LN(2)/2)*AQ56*AT56*VLOOKUP('Données projet'!$B$10,Paramètres!$A$1:$I$89,3,0)*0.475*44/12</f>
        <v>3.5282462043867304</v>
      </c>
      <c r="AX56" s="21">
        <f t="shared" si="6"/>
        <v>54.924610741048575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11.968999999999999</v>
      </c>
      <c r="BD56" s="12">
        <f>IF('Données projet'!$A$88&gt;35,BD55+BC56-BL55,IF(A56&lt;'Données projet'!$A$88,$BA$205^A56,IF(A56='Données projet'!$A$88,'Données projet'!$B$88,BD55+BC56-BL55)))</f>
        <v>305.51900000000012</v>
      </c>
      <c r="BE56" s="13">
        <f>BD56*VLOOKUP('Données projet'!$B$11,Paramètres!$A$1:$I$89,3,0)*VLOOKUP('Données projet'!$B$11,Paramètres!$A$1:$I$89,5,0)</f>
        <v>170.78512100000006</v>
      </c>
      <c r="BF56" s="13">
        <f t="shared" si="37"/>
        <v>43.26581738875408</v>
      </c>
      <c r="BG56" s="20">
        <f t="shared" si="7"/>
        <v>372.80538436041343</v>
      </c>
      <c r="BH56" s="59">
        <f t="shared" si="8"/>
        <v>666.13871769374668</v>
      </c>
      <c r="BI56" s="59">
        <f ca="1">AVERAGE(OFFSET($BH$3,0,0,'Données projet'!$E$11+1,1))-AVERAGE(OFFSET($H$3,0,0,'Données projet'!$E$11+1,1))</f>
        <v>293.82673322742102</v>
      </c>
      <c r="BJ56" s="59">
        <f t="shared" si="38"/>
        <v>138.78566015867693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27.369991741928636</v>
      </c>
      <c r="BQ56" s="21">
        <f>EXP(-LN(2)/25)*BQ55+(1-EXP(-LN(2)/25))/(LN(2)/25)*Calculateur!BL56*Calculateur!BN56*VLOOKUP('Données projet'!$B$11,Paramètres!$A$1:$I$89,3,0)*0.475*44/12</f>
        <v>21.480592732670917</v>
      </c>
      <c r="BR56" s="21">
        <f>EXP(-LN(2)/2)*BR55+(1-EXP(-LN(2)/2))/(LN(2)/2)*BL56*BO56*VLOOKUP('Données projet'!$B$11,Paramètres!$A$1:$I$89,3,0)*0.475*44/12</f>
        <v>6.0590352348292447</v>
      </c>
      <c r="BS56" s="22">
        <f t="shared" si="9"/>
        <v>54.909619709428803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17.124285714285715</v>
      </c>
      <c r="N57" s="13">
        <f>IF('Données projet'!$A$36&gt;35,N56+M57-V56,IF(A57&lt;'Données projet'!$A$36,$K$205^A57,IF(A57='Données projet'!$A$36,'Données projet'!$B$36,N56+M57-V56)))</f>
        <v>349.90142857142814</v>
      </c>
      <c r="O57" s="13">
        <f>N57*VLOOKUP('Données projet'!$B$9,Paramètres!$A$1:$I$89,3,0)*VLOOKUP('Données projet'!$B$9,Paramètres!$A$1:$I$89,5,0)</f>
        <v>163.75386857142837</v>
      </c>
      <c r="P57" s="13">
        <f t="shared" si="33"/>
        <v>41.688064774774361</v>
      </c>
      <c r="Q57" s="20">
        <f t="shared" si="53"/>
        <v>357.81136724463641</v>
      </c>
      <c r="R57" s="59">
        <f t="shared" si="0"/>
        <v>651.14470057796973</v>
      </c>
      <c r="S57" s="59">
        <f ca="1">AVERAGE(OFFSET($R$3,0,0,'Données projet'!$E$9+1,1))-AVERAGE(OFFSET($H$3,0,0,'Données projet'!$E$9+1,1))</f>
        <v>263.84804661819163</v>
      </c>
      <c r="T57" s="59">
        <f t="shared" si="34"/>
        <v>271.81541836379307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48.694570947342356</v>
      </c>
      <c r="AA57" s="21">
        <f>EXP(-LN(2)/25)*AA56+(1-EXP(-LN(2)/25))/(LN(2)/25)*Calculateur!V57*Calculateur!X57*VLOOKUP('Données projet'!$B$9,Paramètres!$A$1:$I$89,3,0)*0.475*44/12</f>
        <v>15.024834043228363</v>
      </c>
      <c r="AB57" s="21">
        <f>EXP(-LN(2)/2)*AB56+(1-EXP(-LN(2)/2))/(LN(2)/2)*V57*Y57*VLOOKUP('Données projet'!$B$9,Paramètres!$A$1:$I$89,3,0)*0.475*44/12</f>
        <v>2.2029022688285429</v>
      </c>
      <c r="AC57" s="22">
        <f t="shared" si="3"/>
        <v>65.922307259399261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14.113999999999999</v>
      </c>
      <c r="AI57" s="13">
        <f>IF('Données projet'!$A$62&gt;35,AI56+AH57-AQ56,IF(A57&lt;'Données projet'!$A$62,$AF$205^A57,IF(A57='Données projet'!$A$62,'Données projet'!$B$62,AI56+AH57-AQ56)))</f>
        <v>356.25599999999997</v>
      </c>
      <c r="AJ57" s="13">
        <f>AI57*VLOOKUP('Données projet'!$B$10,Paramètres!$A$1:$I$89,3,0)*VLOOKUP('Données projet'!$B$10,Paramètres!$A$1:$I$89,5,0)</f>
        <v>213.041088</v>
      </c>
      <c r="AK57" s="13">
        <f t="shared" si="35"/>
        <v>52.599582837576946</v>
      </c>
      <c r="AL57" s="20">
        <f t="shared" si="4"/>
        <v>462.65750170877988</v>
      </c>
      <c r="AM57" s="59">
        <f t="shared" si="5"/>
        <v>755.99083504211319</v>
      </c>
      <c r="AN57" s="59">
        <f ca="1">AVERAGE(OFFSET($AM$3,0,0,'Données projet'!$E$10+1,1))-AVERAGE(OFFSET($H$3,0,0,'Données projet'!$E$10+1,1))</f>
        <v>270.04187128233121</v>
      </c>
      <c r="AO57" s="59">
        <f t="shared" si="36"/>
        <v>183.82555940776064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33.286217532850117</v>
      </c>
      <c r="AV57" s="21">
        <f>EXP(-LN(2)/25)*AV56+(1-EXP(-LN(2)/25))/(LN(2)/25)*Calculateur!AQ57*Calculateur!AS57*VLOOKUP('Données projet'!$B$10,Paramètres!$A$1:$I$89,3,0)*0.475*44/12</f>
        <v>16.967351891714447</v>
      </c>
      <c r="AW57" s="21">
        <f>EXP(-LN(2)/2)*AW56+(1-EXP(-LN(2)/2))/(LN(2)/2)*AQ57*AT57*VLOOKUP('Données projet'!$B$10,Paramètres!$A$1:$I$89,3,0)*0.475*44/12</f>
        <v>2.4948468168175548</v>
      </c>
      <c r="AX57" s="21">
        <f t="shared" si="6"/>
        <v>52.748416241382117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11.968999999999999</v>
      </c>
      <c r="BD57" s="12">
        <f>IF('Données projet'!$A$88&gt;35,BD56+BC57-BL56,IF(A57&lt;'Données projet'!$A$88,$BA$205^A57,IF(A57='Données projet'!$A$88,'Données projet'!$B$88,BD56+BC57-BL56)))</f>
        <v>317.48800000000011</v>
      </c>
      <c r="BE57" s="13">
        <f>BD57*VLOOKUP('Données projet'!$B$11,Paramètres!$A$1:$I$89,3,0)*VLOOKUP('Données projet'!$B$11,Paramètres!$A$1:$I$89,5,0)</f>
        <v>177.47579200000007</v>
      </c>
      <c r="BF57" s="13">
        <f t="shared" si="37"/>
        <v>44.760135635076743</v>
      </c>
      <c r="BG57" s="20">
        <f t="shared" si="7"/>
        <v>387.06090729775877</v>
      </c>
      <c r="BH57" s="59">
        <f t="shared" si="8"/>
        <v>680.39424063109209</v>
      </c>
      <c r="BI57" s="59">
        <f ca="1">AVERAGE(OFFSET($BH$3,0,0,'Données projet'!$E$11+1,1))-AVERAGE(OFFSET($H$3,0,0,'Données projet'!$E$11+1,1))</f>
        <v>293.82673322742102</v>
      </c>
      <c r="BJ57" s="59">
        <f t="shared" si="38"/>
        <v>138.78566015867693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26.833282897915979</v>
      </c>
      <c r="BQ57" s="21">
        <f>EXP(-LN(2)/25)*BQ56+(1-EXP(-LN(2)/25))/(LN(2)/25)*Calculateur!BL57*Calculateur!BN57*VLOOKUP('Données projet'!$B$11,Paramètres!$A$1:$I$89,3,0)*0.475*44/12</f>
        <v>20.893204794780754</v>
      </c>
      <c r="BR57" s="21">
        <f>EXP(-LN(2)/2)*BR56+(1-EXP(-LN(2)/2))/(LN(2)/2)*BL57*BO57*VLOOKUP('Données projet'!$B$11,Paramètres!$A$1:$I$89,3,0)*0.475*44/12</f>
        <v>4.2843849019959848</v>
      </c>
      <c r="BS57" s="22">
        <f t="shared" si="9"/>
        <v>52.010872594692721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17.124285714285715</v>
      </c>
      <c r="N58" s="13">
        <f>IF('Données projet'!$A$36&gt;35,N57+M58-V57,IF(A58&lt;'Données projet'!$A$36,$K$205^A58,IF(A58='Données projet'!$A$36,'Données projet'!$B$36,N57+M58-V57)))</f>
        <v>367.02571428571383</v>
      </c>
      <c r="O58" s="13">
        <f>N58*VLOOKUP('Données projet'!$B$9,Paramètres!$A$1:$I$89,3,0)*VLOOKUP('Données projet'!$B$9,Paramètres!$A$1:$I$89,5,0)</f>
        <v>171.76803428571407</v>
      </c>
      <c r="P58" s="13">
        <f t="shared" si="33"/>
        <v>43.485765689129174</v>
      </c>
      <c r="Q58" s="20">
        <f t="shared" si="53"/>
        <v>374.90036828951867</v>
      </c>
      <c r="R58" s="59">
        <f t="shared" si="0"/>
        <v>668.23370162285198</v>
      </c>
      <c r="S58" s="59">
        <f ca="1">AVERAGE(OFFSET($R$3,0,0,'Données projet'!$E$9+1,1))-AVERAGE(OFFSET($H$3,0,0,'Données projet'!$E$9+1,1))</f>
        <v>263.84804661819163</v>
      </c>
      <c r="T58" s="59">
        <f t="shared" si="34"/>
        <v>271.81541836379307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47.739700111820547</v>
      </c>
      <c r="AA58" s="21">
        <f>EXP(-LN(2)/25)*AA57+(1-EXP(-LN(2)/25))/(LN(2)/25)*Calculateur!V58*Calculateur!X58*VLOOKUP('Données projet'!$B$9,Paramètres!$A$1:$I$89,3,0)*0.475*44/12</f>
        <v>14.613979166194602</v>
      </c>
      <c r="AB58" s="21">
        <f>EXP(-LN(2)/2)*AB57+(1-EXP(-LN(2)/2))/(LN(2)/2)*V58*Y58*VLOOKUP('Données projet'!$B$9,Paramètres!$A$1:$I$89,3,0)*0.475*44/12</f>
        <v>1.5576871325798938</v>
      </c>
      <c r="AC58" s="22">
        <f t="shared" si="3"/>
        <v>63.911366410595043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14.113999999999999</v>
      </c>
      <c r="AI58" s="13">
        <f>IF('Données projet'!$A$62&gt;35,AI57+AH58-AQ57,IF(A58&lt;'Données projet'!$A$62,$AF$205^A58,IF(A58='Données projet'!$A$62,'Données projet'!$B$62,AI57+AH58-AQ57)))</f>
        <v>370.36999999999995</v>
      </c>
      <c r="AJ58" s="13">
        <f>AI58*VLOOKUP('Données projet'!$B$10,Paramètres!$A$1:$I$89,3,0)*VLOOKUP('Données projet'!$B$10,Paramètres!$A$1:$I$89,5,0)</f>
        <v>221.48125999999999</v>
      </c>
      <c r="AK58" s="13">
        <f t="shared" si="35"/>
        <v>54.436704420571644</v>
      </c>
      <c r="AL58" s="20">
        <f t="shared" si="4"/>
        <v>480.55712136582889</v>
      </c>
      <c r="AM58" s="59">
        <f t="shared" si="5"/>
        <v>773.89045469916221</v>
      </c>
      <c r="AN58" s="59">
        <f ca="1">AVERAGE(OFFSET($AM$3,0,0,'Données projet'!$E$10+1,1))-AVERAGE(OFFSET($H$3,0,0,'Données projet'!$E$10+1,1))</f>
        <v>270.04187128233121</v>
      </c>
      <c r="AO58" s="59">
        <f t="shared" si="36"/>
        <v>183.82555940776064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32.633495109618906</v>
      </c>
      <c r="AV58" s="21">
        <f>EXP(-LN(2)/25)*AV57+(1-EXP(-LN(2)/25))/(LN(2)/25)*Calculateur!AQ58*Calculateur!AS58*VLOOKUP('Données projet'!$B$10,Paramètres!$A$1:$I$89,3,0)*0.475*44/12</f>
        <v>16.503378761961258</v>
      </c>
      <c r="AW58" s="21">
        <f>EXP(-LN(2)/2)*AW57+(1-EXP(-LN(2)/2))/(LN(2)/2)*AQ58*AT58*VLOOKUP('Données projet'!$B$10,Paramètres!$A$1:$I$89,3,0)*0.475*44/12</f>
        <v>1.7641231021933654</v>
      </c>
      <c r="AX58" s="21">
        <f t="shared" si="6"/>
        <v>50.90099697377353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11.968999999999999</v>
      </c>
      <c r="BD58" s="12">
        <f>IF('Données projet'!$A$88&gt;35,BD57+BC58-BL57,IF(A58&lt;'Données projet'!$A$88,$BA$205^A58,IF(A58='Données projet'!$A$88,'Données projet'!$B$88,BD57+BC58-BL57)))</f>
        <v>329.45700000000011</v>
      </c>
      <c r="BE58" s="13">
        <f>BD58*VLOOKUP('Données projet'!$B$11,Paramètres!$A$1:$I$89,3,0)*VLOOKUP('Données projet'!$B$11,Paramètres!$A$1:$I$89,5,0)</f>
        <v>184.16646300000008</v>
      </c>
      <c r="BF58" s="13">
        <f t="shared" si="37"/>
        <v>46.247909286467753</v>
      </c>
      <c r="BG58" s="20">
        <f t="shared" si="7"/>
        <v>401.30503173226475</v>
      </c>
      <c r="BH58" s="59">
        <f t="shared" si="8"/>
        <v>694.63836506559801</v>
      </c>
      <c r="BI58" s="59">
        <f ca="1">AVERAGE(OFFSET($BH$3,0,0,'Données projet'!$E$11+1,1))-AVERAGE(OFFSET($H$3,0,0,'Données projet'!$E$11+1,1))</f>
        <v>293.82673322742102</v>
      </c>
      <c r="BJ58" s="59">
        <f t="shared" si="38"/>
        <v>138.78566015867693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26.307098586974337</v>
      </c>
      <c r="BQ58" s="21">
        <f>EXP(-LN(2)/25)*BQ57+(1-EXP(-LN(2)/25))/(LN(2)/25)*Calculateur!BL58*Calculateur!BN58*VLOOKUP('Données projet'!$B$11,Paramètres!$A$1:$I$89,3,0)*0.475*44/12</f>
        <v>20.321879010941586</v>
      </c>
      <c r="BR58" s="21">
        <f>EXP(-LN(2)/2)*BR57+(1-EXP(-LN(2)/2))/(LN(2)/2)*BL58*BO58*VLOOKUP('Données projet'!$B$11,Paramètres!$A$1:$I$89,3,0)*0.475*44/12</f>
        <v>3.0295176174146228</v>
      </c>
      <c r="BS58" s="22">
        <f t="shared" si="9"/>
        <v>49.658495215330547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384.15</v>
      </c>
      <c r="L59" s="12">
        <f>VLOOKUP(A59,'Données projet'!$A$35:$I$55,9,0)</f>
        <v>17.124285714285715</v>
      </c>
      <c r="M59" s="12">
        <f t="array" ref="M59">INDEX(L:L,MIN(IF(ISNUMBER(L59:L255),ROW(L59:L255),"")))</f>
        <v>17.124285714285715</v>
      </c>
      <c r="N59" s="13">
        <f>IF('Données projet'!$A$36&gt;35,N58+M59-V58,IF(A59&lt;'Données projet'!$A$36,$K$205^A59,IF(A59='Données projet'!$A$36,'Données projet'!$B$36,N58+M59-V58)))</f>
        <v>384.14999999999952</v>
      </c>
      <c r="O59" s="13">
        <f>N59*VLOOKUP('Données projet'!$B$9,Paramètres!$A$1:$I$89,3,0)*VLOOKUP('Données projet'!$B$9,Paramètres!$A$1:$I$89,5,0)</f>
        <v>179.78219999999976</v>
      </c>
      <c r="P59" s="13">
        <f t="shared" si="33"/>
        <v>45.273726265350561</v>
      </c>
      <c r="Q59" s="20">
        <f t="shared" si="53"/>
        <v>391.97240491215172</v>
      </c>
      <c r="R59" s="59">
        <f t="shared" si="0"/>
        <v>685.30573824548503</v>
      </c>
      <c r="S59" s="59">
        <f ca="1">AVERAGE(OFFSET($R$3,0,0,'Données projet'!$E$9+1,1))-AVERAGE(OFFSET($H$3,0,0,'Données projet'!$E$9+1,1))</f>
        <v>263.84804661819163</v>
      </c>
      <c r="T59" s="59">
        <f t="shared" si="34"/>
        <v>271.81541836379307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80.21999999999997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63.238595286005797</v>
      </c>
      <c r="AA59" s="21">
        <f>EXP(-LN(2)/25)*AA58+(1-EXP(-LN(2)/25))/(LN(2)/25)*Calculateur!V59*Calculateur!X59*VLOOKUP('Données projet'!$B$9,Paramètres!$A$1:$I$89,3,0)*0.475*44/12</f>
        <v>19.671135988750404</v>
      </c>
      <c r="AB59" s="21">
        <f>EXP(-LN(2)/2)*AB58+(1-EXP(-LN(2)/2))/(LN(2)/2)*V59*Y59*VLOOKUP('Données projet'!$B$9,Paramètres!$A$1:$I$89,3,0)*0.475*44/12</f>
        <v>9.6029215057631099</v>
      </c>
      <c r="AC59" s="22">
        <f t="shared" si="3"/>
        <v>92.512652780519304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14.113999999999999</v>
      </c>
      <c r="AI59" s="13">
        <f>IF('Données projet'!$A$62&gt;35,AI58+AH59-AQ58,IF(A59&lt;'Données projet'!$A$62,$AF$205^A59,IF(A59='Données projet'!$A$62,'Données projet'!$B$62,AI58+AH59-AQ58)))</f>
        <v>384.48399999999992</v>
      </c>
      <c r="AJ59" s="13">
        <f>AI59*VLOOKUP('Données projet'!$B$10,Paramètres!$A$1:$I$89,3,0)*VLOOKUP('Données projet'!$B$10,Paramètres!$A$1:$I$89,5,0)</f>
        <v>229.92143199999998</v>
      </c>
      <c r="AK59" s="13">
        <f t="shared" si="35"/>
        <v>56.265692954832708</v>
      </c>
      <c r="AL59" s="20">
        <f t="shared" si="4"/>
        <v>498.44257596300025</v>
      </c>
      <c r="AM59" s="59">
        <f t="shared" si="5"/>
        <v>791.77590929633357</v>
      </c>
      <c r="AN59" s="59">
        <f ca="1">AVERAGE(OFFSET($AM$3,0,0,'Données projet'!$E$10+1,1))-AVERAGE(OFFSET($H$3,0,0,'Données projet'!$E$10+1,1))</f>
        <v>270.04187128233121</v>
      </c>
      <c r="AO59" s="59">
        <f t="shared" si="36"/>
        <v>183.82555940776064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31.993572174985893</v>
      </c>
      <c r="AV59" s="21">
        <f>EXP(-LN(2)/25)*AV58+(1-EXP(-LN(2)/25))/(LN(2)/25)*Calculateur!AQ59*Calculateur!AS59*VLOOKUP('Données projet'!$B$10,Paramètres!$A$1:$I$89,3,0)*0.475*44/12</f>
        <v>16.052093001840458</v>
      </c>
      <c r="AW59" s="21">
        <f>EXP(-LN(2)/2)*AW58+(1-EXP(-LN(2)/2))/(LN(2)/2)*AQ59*AT59*VLOOKUP('Données projet'!$B$10,Paramètres!$A$1:$I$89,3,0)*0.475*44/12</f>
        <v>1.2474234084087776</v>
      </c>
      <c r="AX59" s="21">
        <f t="shared" si="6"/>
        <v>49.293088585235125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11.968999999999999</v>
      </c>
      <c r="BD59" s="12">
        <f>IF('Données projet'!$A$88&gt;35,BD58+BC59-BL58,IF(A59&lt;'Données projet'!$A$88,$BA$205^A59,IF(A59='Données projet'!$A$88,'Données projet'!$B$88,BD58+BC59-BL58)))</f>
        <v>341.4260000000001</v>
      </c>
      <c r="BE59" s="13">
        <f>BD59*VLOOKUP('Données projet'!$B$11,Paramètres!$A$1:$I$89,3,0)*VLOOKUP('Données projet'!$B$11,Paramètres!$A$1:$I$89,5,0)</f>
        <v>190.85713400000006</v>
      </c>
      <c r="BF59" s="13">
        <f t="shared" si="37"/>
        <v>47.72940333821991</v>
      </c>
      <c r="BG59" s="20">
        <f t="shared" si="7"/>
        <v>415.53821919739977</v>
      </c>
      <c r="BH59" s="59">
        <f t="shared" si="8"/>
        <v>708.87155253073308</v>
      </c>
      <c r="BI59" s="59">
        <f ca="1">AVERAGE(OFFSET($BH$3,0,0,'Données projet'!$E$11+1,1))-AVERAGE(OFFSET($H$3,0,0,'Données projet'!$E$11+1,1))</f>
        <v>293.82673322742102</v>
      </c>
      <c r="BJ59" s="59">
        <f t="shared" si="38"/>
        <v>138.78566015867693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25.791232429429524</v>
      </c>
      <c r="BQ59" s="21">
        <f>EXP(-LN(2)/25)*BQ58+(1-EXP(-LN(2)/25))/(LN(2)/25)*Calculateur!BL59*Calculateur!BN59*VLOOKUP('Données projet'!$B$11,Paramètres!$A$1:$I$89,3,0)*0.475*44/12</f>
        <v>19.766176160706216</v>
      </c>
      <c r="BR59" s="21">
        <f>EXP(-LN(2)/2)*BR58+(1-EXP(-LN(2)/2))/(LN(2)/2)*BL59*BO59*VLOOKUP('Données projet'!$B$11,Paramètres!$A$1:$I$89,3,0)*0.475*44/12</f>
        <v>2.1421924509979928</v>
      </c>
      <c r="BS59" s="22">
        <f t="shared" si="9"/>
        <v>47.699601041133732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16.778571428571428</v>
      </c>
      <c r="N60" s="13">
        <f>IF('Données projet'!$A$36&gt;35,N59+M60-V59,IF(A60&lt;'Données projet'!$A$36,$K$205^A60,IF(A60='Données projet'!$A$36,'Données projet'!$B$36,N59+M60-V59)))</f>
        <v>320.70857142857096</v>
      </c>
      <c r="O60" s="13">
        <f>N60*VLOOKUP('Données projet'!$B$9,Paramètres!$A$1:$I$89,3,0)*VLOOKUP('Données projet'!$B$9,Paramètres!$A$1:$I$89,5,0)</f>
        <v>150.09161142857121</v>
      </c>
      <c r="P60" s="13">
        <f t="shared" si="33"/>
        <v>38.599403906882628</v>
      </c>
      <c r="Q60" s="20">
        <f t="shared" si="53"/>
        <v>328.63685170924879</v>
      </c>
      <c r="R60" s="59">
        <f t="shared" si="0"/>
        <v>621.9701850425821</v>
      </c>
      <c r="S60" s="59">
        <f ca="1">AVERAGE(OFFSET($R$3,0,0,'Données projet'!$E$9+1,1))-AVERAGE(OFFSET($H$3,0,0,'Données projet'!$E$9+1,1))</f>
        <v>263.84804661819163</v>
      </c>
      <c r="T60" s="59">
        <f t="shared" si="34"/>
        <v>271.81541836379307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61.998525004181708</v>
      </c>
      <c r="AA60" s="21">
        <f>EXP(-LN(2)/25)*AA59+(1-EXP(-LN(2)/25))/(LN(2)/25)*Calculateur!V60*Calculateur!X60*VLOOKUP('Données projet'!$B$9,Paramètres!$A$1:$I$89,3,0)*0.475*44/12</f>
        <v>19.133227740677942</v>
      </c>
      <c r="AB60" s="21">
        <f>EXP(-LN(2)/2)*AB59+(1-EXP(-LN(2)/2))/(LN(2)/2)*V60*Y60*VLOOKUP('Données projet'!$B$9,Paramètres!$A$1:$I$89,3,0)*0.475*44/12</f>
        <v>6.7902909159272271</v>
      </c>
      <c r="AC60" s="22">
        <f t="shared" si="3"/>
        <v>87.922043660786883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14.113999999999999</v>
      </c>
      <c r="AI60" s="13">
        <f>IF('Données projet'!$A$62&gt;35,AI59+AH60-AQ59,IF(A60&lt;'Données projet'!$A$62,$AF$205^A60,IF(A60='Données projet'!$A$62,'Données projet'!$B$62,AI59+AH60-AQ59)))</f>
        <v>398.5979999999999</v>
      </c>
      <c r="AJ60" s="13">
        <f>AI60*VLOOKUP('Données projet'!$B$10,Paramètres!$A$1:$I$89,3,0)*VLOOKUP('Données projet'!$B$10,Paramètres!$A$1:$I$89,5,0)</f>
        <v>238.36160399999994</v>
      </c>
      <c r="AK60" s="13">
        <f t="shared" si="35"/>
        <v>58.086881188787437</v>
      </c>
      <c r="AL60" s="20">
        <f t="shared" si="4"/>
        <v>516.31444503713794</v>
      </c>
      <c r="AM60" s="59">
        <f t="shared" si="5"/>
        <v>809.64777837047131</v>
      </c>
      <c r="AN60" s="59">
        <f ca="1">AVERAGE(OFFSET($AM$3,0,0,'Données projet'!$E$10+1,1))-AVERAGE(OFFSET($H$3,0,0,'Données projet'!$E$10+1,1))</f>
        <v>270.04187128233121</v>
      </c>
      <c r="AO60" s="59">
        <f t="shared" si="36"/>
        <v>183.82555940776064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31.366197738786585</v>
      </c>
      <c r="AV60" s="21">
        <f>EXP(-LN(2)/25)*AV59+(1-EXP(-LN(2)/25))/(LN(2)/25)*Calculateur!AQ60*Calculateur!AS60*VLOOKUP('Données projet'!$B$10,Paramètres!$A$1:$I$89,3,0)*0.475*44/12</f>
        <v>15.613147674562248</v>
      </c>
      <c r="AW60" s="21">
        <f>EXP(-LN(2)/2)*AW59+(1-EXP(-LN(2)/2))/(LN(2)/2)*AQ60*AT60*VLOOKUP('Données projet'!$B$10,Paramètres!$A$1:$I$89,3,0)*0.475*44/12</f>
        <v>0.88206155109668294</v>
      </c>
      <c r="AX60" s="21">
        <f t="shared" si="6"/>
        <v>47.861406964445514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11.968999999999999</v>
      </c>
      <c r="BD60" s="12">
        <f>IF('Données projet'!$A$88&gt;35,BD59+BC60-BL59,IF(A60&lt;'Données projet'!$A$88,$BA$205^A60,IF(A60='Données projet'!$A$88,'Données projet'!$B$88,BD59+BC60-BL59)))</f>
        <v>353.3950000000001</v>
      </c>
      <c r="BE60" s="13">
        <f>BD60*VLOOKUP('Données projet'!$B$11,Paramètres!$A$1:$I$89,3,0)*VLOOKUP('Données projet'!$B$11,Paramètres!$A$1:$I$89,5,0)</f>
        <v>197.54780500000007</v>
      </c>
      <c r="BF60" s="13">
        <f t="shared" si="37"/>
        <v>49.204863152815349</v>
      </c>
      <c r="BG60" s="20">
        <f t="shared" si="7"/>
        <v>429.76089703282014</v>
      </c>
      <c r="BH60" s="59">
        <f t="shared" si="8"/>
        <v>723.0942303661534</v>
      </c>
      <c r="BI60" s="59">
        <f ca="1">AVERAGE(OFFSET($BH$3,0,0,'Données projet'!$E$11+1,1))-AVERAGE(OFFSET($H$3,0,0,'Données projet'!$E$11+1,1))</f>
        <v>293.82673322742102</v>
      </c>
      <c r="BJ60" s="59">
        <f t="shared" si="38"/>
        <v>138.78566015867693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25.285482092586875</v>
      </c>
      <c r="BQ60" s="21">
        <f>EXP(-LN(2)/25)*BQ59+(1-EXP(-LN(2)/25))/(LN(2)/25)*Calculateur!BL60*Calculateur!BN60*VLOOKUP('Données projet'!$B$11,Paramètres!$A$1:$I$89,3,0)*0.475*44/12</f>
        <v>19.225669034133677</v>
      </c>
      <c r="BR60" s="21">
        <f>EXP(-LN(2)/2)*BR59+(1-EXP(-LN(2)/2))/(LN(2)/2)*BL60*BO60*VLOOKUP('Données projet'!$B$11,Paramètres!$A$1:$I$89,3,0)*0.475*44/12</f>
        <v>1.5147588087073118</v>
      </c>
      <c r="BS60" s="22">
        <f t="shared" si="9"/>
        <v>46.025909935427862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16.778571428571428</v>
      </c>
      <c r="N61" s="13">
        <f>IF('Données projet'!$A$36&gt;35,N60+M61-V60,IF(A61&lt;'Données projet'!$A$36,$K$205^A61,IF(A61='Données projet'!$A$36,'Données projet'!$B$36,N60+M61-V60)))</f>
        <v>337.48714285714237</v>
      </c>
      <c r="O61" s="13">
        <f>N61*VLOOKUP('Données projet'!$B$9,Paramètres!$A$1:$I$89,3,0)*VLOOKUP('Données projet'!$B$9,Paramètres!$A$1:$I$89,5,0)</f>
        <v>157.94398285714263</v>
      </c>
      <c r="P61" s="13">
        <f t="shared" si="33"/>
        <v>40.378426510819843</v>
      </c>
      <c r="Q61" s="20">
        <f t="shared" si="53"/>
        <v>345.41152964920133</v>
      </c>
      <c r="R61" s="59">
        <f t="shared" si="0"/>
        <v>638.74486298253464</v>
      </c>
      <c r="S61" s="59">
        <f ca="1">AVERAGE(OFFSET($R$3,0,0,'Données projet'!$E$9+1,1))-AVERAGE(OFFSET($H$3,0,0,'Données projet'!$E$9+1,1))</f>
        <v>263.84804661819163</v>
      </c>
      <c r="T61" s="59">
        <f t="shared" si="34"/>
        <v>271.81541836379307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60.782771744215999</v>
      </c>
      <c r="AA61" s="21">
        <f>EXP(-LN(2)/25)*AA60+(1-EXP(-LN(2)/25))/(LN(2)/25)*Calculateur!V61*Calculateur!X61*VLOOKUP('Données projet'!$B$9,Paramètres!$A$1:$I$89,3,0)*0.475*44/12</f>
        <v>18.610028621936387</v>
      </c>
      <c r="AB61" s="21">
        <f>EXP(-LN(2)/2)*AB60+(1-EXP(-LN(2)/2))/(LN(2)/2)*V61*Y61*VLOOKUP('Données projet'!$B$9,Paramètres!$A$1:$I$89,3,0)*0.475*44/12</f>
        <v>4.8014607528815558</v>
      </c>
      <c r="AC61" s="22">
        <f t="shared" si="3"/>
        <v>84.194261119033939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14.113999999999999</v>
      </c>
      <c r="AI61" s="13">
        <f>IF('Données projet'!$A$62&gt;35,AI60+AH61-AQ60,IF(A61&lt;'Données projet'!$A$62,$AF$205^A61,IF(A61='Données projet'!$A$62,'Données projet'!$B$62,AI60+AH61-AQ60)))</f>
        <v>412.71199999999988</v>
      </c>
      <c r="AJ61" s="13">
        <f>AI61*VLOOKUP('Données projet'!$B$10,Paramètres!$A$1:$I$89,3,0)*VLOOKUP('Données projet'!$B$10,Paramètres!$A$1:$I$89,5,0)</f>
        <v>246.80177599999993</v>
      </c>
      <c r="AK61" s="13">
        <f t="shared" si="35"/>
        <v>59.900576970210864</v>
      </c>
      <c r="AL61" s="20">
        <f t="shared" si="4"/>
        <v>534.17326475645041</v>
      </c>
      <c r="AM61" s="59">
        <f t="shared" si="5"/>
        <v>827.50659808978367</v>
      </c>
      <c r="AN61" s="59">
        <f ca="1">AVERAGE(OFFSET($AM$3,0,0,'Données projet'!$E$10+1,1))-AVERAGE(OFFSET($H$3,0,0,'Données projet'!$E$10+1,1))</f>
        <v>270.04187128233121</v>
      </c>
      <c r="AO61" s="59">
        <f t="shared" si="36"/>
        <v>183.82555940776064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30.751125732620523</v>
      </c>
      <c r="AV61" s="21">
        <f>EXP(-LN(2)/25)*AV60+(1-EXP(-LN(2)/25))/(LN(2)/25)*Calculateur!AQ61*Calculateur!AS61*VLOOKUP('Données projet'!$B$10,Paramètres!$A$1:$I$89,3,0)*0.475*44/12</f>
        <v>15.186205330341592</v>
      </c>
      <c r="AW61" s="21">
        <f>EXP(-LN(2)/2)*AW60+(1-EXP(-LN(2)/2))/(LN(2)/2)*AQ61*AT61*VLOOKUP('Données projet'!$B$10,Paramètres!$A$1:$I$89,3,0)*0.475*44/12</f>
        <v>0.62371170420438893</v>
      </c>
      <c r="AX61" s="21">
        <f t="shared" si="6"/>
        <v>46.561042767166505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11.968999999999999</v>
      </c>
      <c r="BD61" s="12">
        <f>IF('Données projet'!$A$88&gt;35,BD60+BC61-BL60,IF(A61&lt;'Données projet'!$A$88,$BA$205^A61,IF(A61='Données projet'!$A$88,'Données projet'!$B$88,BD60+BC61-BL60)))</f>
        <v>365.36400000000009</v>
      </c>
      <c r="BE61" s="13">
        <f>BD61*VLOOKUP('Données projet'!$B$11,Paramètres!$A$1:$I$89,3,0)*VLOOKUP('Données projet'!$B$11,Paramètres!$A$1:$I$89,5,0)</f>
        <v>204.23847600000008</v>
      </c>
      <c r="BF61" s="13">
        <f t="shared" si="37"/>
        <v>50.674516529672211</v>
      </c>
      <c r="BG61" s="20">
        <f t="shared" si="7"/>
        <v>443.97346198917921</v>
      </c>
      <c r="BH61" s="59">
        <f t="shared" si="8"/>
        <v>737.30679532251247</v>
      </c>
      <c r="BI61" s="59">
        <f ca="1">AVERAGE(OFFSET($BH$3,0,0,'Données projet'!$E$11+1,1))-AVERAGE(OFFSET($H$3,0,0,'Données projet'!$E$11+1,1))</f>
        <v>293.82673322742102</v>
      </c>
      <c r="BJ61" s="59">
        <f t="shared" si="38"/>
        <v>138.78566015867693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24.789649211372467</v>
      </c>
      <c r="BQ61" s="21">
        <f>EXP(-LN(2)/25)*BQ60+(1-EXP(-LN(2)/25))/(LN(2)/25)*Calculateur!BL61*Calculateur!BN61*VLOOKUP('Données projet'!$B$11,Paramètres!$A$1:$I$89,3,0)*0.475*44/12</f>
        <v>18.699942103361298</v>
      </c>
      <c r="BR61" s="21">
        <f>EXP(-LN(2)/2)*BR60+(1-EXP(-LN(2)/2))/(LN(2)/2)*BL61*BO61*VLOOKUP('Données projet'!$B$11,Paramètres!$A$1:$I$89,3,0)*0.475*44/12</f>
        <v>1.0710962254989966</v>
      </c>
      <c r="BS61" s="22">
        <f t="shared" si="9"/>
        <v>44.560687540232763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16.778571428571428</v>
      </c>
      <c r="N62" s="13">
        <f>IF('Données projet'!$A$36&gt;35,N61+M62-V61,IF(A62&lt;'Données projet'!$A$36,$K$205^A62,IF(A62='Données projet'!$A$36,'Données projet'!$B$36,N61+M62-V61)))</f>
        <v>354.26571428571378</v>
      </c>
      <c r="O62" s="13">
        <f>N62*VLOOKUP('Données projet'!$B$9,Paramètres!$A$1:$I$89,3,0)*VLOOKUP('Données projet'!$B$9,Paramètres!$A$1:$I$89,5,0)</f>
        <v>165.79635428571405</v>
      </c>
      <c r="P62" s="13">
        <f t="shared" si="33"/>
        <v>42.147179240997339</v>
      </c>
      <c r="Q62" s="20">
        <f t="shared" si="53"/>
        <v>362.16832089235567</v>
      </c>
      <c r="R62" s="59">
        <f t="shared" si="0"/>
        <v>655.50165422568898</v>
      </c>
      <c r="S62" s="59">
        <f ca="1">AVERAGE(OFFSET($R$3,0,0,'Données projet'!$E$9+1,1))-AVERAGE(OFFSET($H$3,0,0,'Données projet'!$E$9+1,1))</f>
        <v>263.84804661819163</v>
      </c>
      <c r="T62" s="59">
        <f t="shared" si="34"/>
        <v>271.81541836379307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59.590858664141948</v>
      </c>
      <c r="AA62" s="21">
        <f>EXP(-LN(2)/25)*AA61+(1-EXP(-LN(2)/25))/(LN(2)/25)*Calculateur!V62*Calculateur!X62*VLOOKUP('Données projet'!$B$9,Paramètres!$A$1:$I$89,3,0)*0.475*44/12</f>
        <v>18.101136410610664</v>
      </c>
      <c r="AB62" s="21">
        <f>EXP(-LN(2)/2)*AB61+(1-EXP(-LN(2)/2))/(LN(2)/2)*V62*Y62*VLOOKUP('Données projet'!$B$9,Paramètres!$A$1:$I$89,3,0)*0.475*44/12</f>
        <v>3.3951454579636144</v>
      </c>
      <c r="AC62" s="22">
        <f t="shared" si="3"/>
        <v>81.087140532716219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14.113999999999999</v>
      </c>
      <c r="AI62" s="13">
        <f>IF('Données projet'!$A$62&gt;35,AI61+AH62-AQ61,IF(A62&lt;'Données projet'!$A$62,$AF$205^A62,IF(A62='Données projet'!$A$62,'Données projet'!$B$62,AI61+AH62-AQ61)))</f>
        <v>426.82599999999985</v>
      </c>
      <c r="AJ62" s="13">
        <f>AI62*VLOOKUP('Données projet'!$B$10,Paramètres!$A$1:$I$89,3,0)*VLOOKUP('Données projet'!$B$10,Paramètres!$A$1:$I$89,5,0)</f>
        <v>255.24194799999992</v>
      </c>
      <c r="AK62" s="13">
        <f t="shared" si="35"/>
        <v>61.707065896857912</v>
      </c>
      <c r="AL62" s="20">
        <f t="shared" si="4"/>
        <v>552.01953253702732</v>
      </c>
      <c r="AM62" s="59">
        <f t="shared" si="5"/>
        <v>845.35286587036057</v>
      </c>
      <c r="AN62" s="59">
        <f ca="1">AVERAGE(OFFSET($AM$3,0,0,'Données projet'!$E$10+1,1))-AVERAGE(OFFSET($H$3,0,0,'Données projet'!$E$10+1,1))</f>
        <v>270.04187128233121</v>
      </c>
      <c r="AO62" s="59">
        <f t="shared" si="36"/>
        <v>183.82555940776064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30.148114913338496</v>
      </c>
      <c r="AV62" s="21">
        <f>EXP(-LN(2)/25)*AV61+(1-EXP(-LN(2)/25))/(LN(2)/25)*Calculateur!AQ62*Calculateur!AS62*VLOOKUP('Données projet'!$B$10,Paramètres!$A$1:$I$89,3,0)*0.475*44/12</f>
        <v>14.770937746975571</v>
      </c>
      <c r="AW62" s="21">
        <f>EXP(-LN(2)/2)*AW61+(1-EXP(-LN(2)/2))/(LN(2)/2)*AQ62*AT62*VLOOKUP('Données projet'!$B$10,Paramètres!$A$1:$I$89,3,0)*0.475*44/12</f>
        <v>0.44103077554834152</v>
      </c>
      <c r="AX62" s="21">
        <f t="shared" si="6"/>
        <v>45.360083435862407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11.968999999999999</v>
      </c>
      <c r="BD62" s="12">
        <f>IF('Données projet'!$A$88&gt;35,BD61+BC62-BL61,IF(A62&lt;'Données projet'!$A$88,$BA$205^A62,IF(A62='Données projet'!$A$88,'Données projet'!$B$88,BD61+BC62-BL61)))</f>
        <v>377.33300000000008</v>
      </c>
      <c r="BE62" s="13">
        <f>BD62*VLOOKUP('Données projet'!$B$11,Paramètres!$A$1:$I$89,3,0)*VLOOKUP('Données projet'!$B$11,Paramètres!$A$1:$I$89,5,0)</f>
        <v>210.92914700000006</v>
      </c>
      <c r="BF62" s="13">
        <f t="shared" si="37"/>
        <v>52.138575496060348</v>
      </c>
      <c r="BG62" s="20">
        <f t="shared" si="7"/>
        <v>458.17628334730517</v>
      </c>
      <c r="BH62" s="59">
        <f t="shared" si="8"/>
        <v>751.50961668063849</v>
      </c>
      <c r="BI62" s="59">
        <f ca="1">AVERAGE(OFFSET($BH$3,0,0,'Données projet'!$E$11+1,1))-AVERAGE(OFFSET($H$3,0,0,'Données projet'!$E$11+1,1))</f>
        <v>293.82673322742102</v>
      </c>
      <c r="BJ62" s="59">
        <f t="shared" si="38"/>
        <v>138.78566015867693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24.303539310530478</v>
      </c>
      <c r="BQ62" s="21">
        <f>EXP(-LN(2)/25)*BQ61+(1-EXP(-LN(2)/25))/(LN(2)/25)*Calculateur!BL62*Calculateur!BN62*VLOOKUP('Données projet'!$B$11,Paramètres!$A$1:$I$89,3,0)*0.475*44/12</f>
        <v>18.188591203157667</v>
      </c>
      <c r="BR62" s="21">
        <f>EXP(-LN(2)/2)*BR61+(1-EXP(-LN(2)/2))/(LN(2)/2)*BL62*BO62*VLOOKUP('Données projet'!$B$11,Paramètres!$A$1:$I$89,3,0)*0.475*44/12</f>
        <v>0.75737940435365603</v>
      </c>
      <c r="BS62" s="22">
        <f t="shared" si="9"/>
        <v>43.249509918041802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16.778571428571428</v>
      </c>
      <c r="N63" s="13">
        <f>IF('Données projet'!$A$36&gt;35,N62+M63-V62,IF(A63&lt;'Données projet'!$A$36,$K$205^A63,IF(A63='Données projet'!$A$36,'Données projet'!$B$36,N62+M63-V62)))</f>
        <v>371.04428571428519</v>
      </c>
      <c r="O63" s="13">
        <f>N63*VLOOKUP('Données projet'!$B$9,Paramètres!$A$1:$I$89,3,0)*VLOOKUP('Données projet'!$B$9,Paramètres!$A$1:$I$89,5,0)</f>
        <v>173.64872571428549</v>
      </c>
      <c r="P63" s="13">
        <f t="shared" si="33"/>
        <v>43.90620403149137</v>
      </c>
      <c r="Q63" s="20">
        <f t="shared" si="53"/>
        <v>378.90816930722804</v>
      </c>
      <c r="R63" s="59">
        <f t="shared" si="0"/>
        <v>672.24150264056129</v>
      </c>
      <c r="S63" s="59">
        <f ca="1">AVERAGE(OFFSET($R$3,0,0,'Données projet'!$E$9+1,1))-AVERAGE(OFFSET($H$3,0,0,'Données projet'!$E$9+1,1))</f>
        <v>263.84804661819163</v>
      </c>
      <c r="T63" s="59">
        <f t="shared" si="34"/>
        <v>271.81541836379307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58.422318272572959</v>
      </c>
      <c r="AA63" s="21">
        <f>EXP(-LN(2)/25)*AA62+(1-EXP(-LN(2)/25))/(LN(2)/25)*Calculateur!V63*Calculateur!X63*VLOOKUP('Données projet'!$B$9,Paramètres!$A$1:$I$89,3,0)*0.475*44/12</f>
        <v>17.606159883565123</v>
      </c>
      <c r="AB63" s="21">
        <f>EXP(-LN(2)/2)*AB62+(1-EXP(-LN(2)/2))/(LN(2)/2)*V63*Y63*VLOOKUP('Données projet'!$B$9,Paramètres!$A$1:$I$89,3,0)*0.475*44/12</f>
        <v>2.4007303764407784</v>
      </c>
      <c r="AC63" s="22">
        <f t="shared" si="3"/>
        <v>78.429208532578855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14.113999999999999</v>
      </c>
      <c r="AH63" s="12">
        <f t="array" ref="AH63">INDEX(AG:AG,MIN(IF(ISNUMBER(AG63:AG259),ROW(AG63:AG259),"")))</f>
        <v>14.113999999999999</v>
      </c>
      <c r="AI63" s="13">
        <f>IF('Données projet'!$A$62&gt;35,AI62+AH63-AQ62,IF(A63&lt;'Données projet'!$A$62,$AF$205^A63,IF(A63='Données projet'!$A$62,'Données projet'!$B$62,AI62+AH63-AQ62)))</f>
        <v>440.93999999999983</v>
      </c>
      <c r="AJ63" s="13">
        <f>AI63*VLOOKUP('Données projet'!$B$10,Paramètres!$A$1:$I$89,3,0)*VLOOKUP('Données projet'!$B$10,Paramètres!$A$1:$I$89,5,0)</f>
        <v>263.68211999999988</v>
      </c>
      <c r="AK63" s="13">
        <f t="shared" si="35"/>
        <v>63.506613606650006</v>
      </c>
      <c r="AL63" s="20">
        <f t="shared" si="4"/>
        <v>569.85371103158184</v>
      </c>
      <c r="AM63" s="59">
        <f t="shared" si="5"/>
        <v>863.18704436491521</v>
      </c>
      <c r="AN63" s="59">
        <f ca="1">AVERAGE(OFFSET($AM$3,0,0,'Données projet'!$E$10+1,1))-AVERAGE(OFFSET($H$3,0,0,'Données projet'!$E$10+1,1))</f>
        <v>270.04187128233121</v>
      </c>
      <c r="AO63" s="59">
        <f t="shared" si="36"/>
        <v>183.82555940776064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69.839999999999975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44.515755621175032</v>
      </c>
      <c r="AV63" s="21">
        <f>EXP(-LN(2)/25)*AV62+(1-EXP(-LN(2)/25))/(LN(2)/25)*Calculateur!AQ63*Calculateur!AS63*VLOOKUP('Données projet'!$B$10,Paramètres!$A$1:$I$89,3,0)*0.475*44/12</f>
        <v>19.333668428072521</v>
      </c>
      <c r="AW63" s="21">
        <f>EXP(-LN(2)/2)*AW62+(1-EXP(-LN(2)/2))/(LN(2)/2)*AQ63*AT63*VLOOKUP('Données projet'!$B$10,Paramètres!$A$1:$I$89,3,0)*0.475*44/12</f>
        <v>9.7692382497482964</v>
      </c>
      <c r="AX63" s="21">
        <f t="shared" si="6"/>
        <v>73.618662298995844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11.968999999999999</v>
      </c>
      <c r="BD63" s="12">
        <f>IF('Données projet'!$A$88&gt;35,BD62+BC63-BL62,IF(A63&lt;'Données projet'!$A$88,$BA$205^A63,IF(A63='Données projet'!$A$88,'Données projet'!$B$88,BD62+BC63-BL62)))</f>
        <v>389.30200000000008</v>
      </c>
      <c r="BE63" s="13">
        <f>BD63*VLOOKUP('Données projet'!$B$11,Paramètres!$A$1:$I$89,3,0)*VLOOKUP('Données projet'!$B$11,Paramètres!$A$1:$I$89,5,0)</f>
        <v>217.61981800000004</v>
      </c>
      <c r="BF63" s="13">
        <f t="shared" si="37"/>
        <v>53.597237864402892</v>
      </c>
      <c r="BG63" s="20">
        <f t="shared" si="7"/>
        <v>472.36970563050181</v>
      </c>
      <c r="BH63" s="59">
        <f t="shared" si="8"/>
        <v>765.70303896383507</v>
      </c>
      <c r="BI63" s="59">
        <f ca="1">AVERAGE(OFFSET($BH$3,0,0,'Données projet'!$E$11+1,1))-AVERAGE(OFFSET($H$3,0,0,'Données projet'!$E$11+1,1))</f>
        <v>293.82673322742102</v>
      </c>
      <c r="BJ63" s="59">
        <f t="shared" si="38"/>
        <v>138.78566015867693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23.826961728346237</v>
      </c>
      <c r="BQ63" s="21">
        <f>EXP(-LN(2)/25)*BQ62+(1-EXP(-LN(2)/25))/(LN(2)/25)*Calculateur!BL63*Calculateur!BN63*VLOOKUP('Données projet'!$B$11,Paramètres!$A$1:$I$89,3,0)*0.475*44/12</f>
        <v>17.69122322021088</v>
      </c>
      <c r="BR63" s="21">
        <f>EXP(-LN(2)/2)*BR62+(1-EXP(-LN(2)/2))/(LN(2)/2)*BL63*BO63*VLOOKUP('Données projet'!$B$11,Paramètres!$A$1:$I$89,3,0)*0.475*44/12</f>
        <v>0.53554811274949843</v>
      </c>
      <c r="BS63" s="22">
        <f t="shared" si="9"/>
        <v>42.053733061306616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16.778571428571428</v>
      </c>
      <c r="N64" s="13">
        <f>IF('Données projet'!$A$36&gt;35,N63+M64-V63,IF(A64&lt;'Données projet'!$A$36,$K$205^A64,IF(A64='Données projet'!$A$36,'Données projet'!$B$36,N63+M64-V63)))</f>
        <v>387.82285714285661</v>
      </c>
      <c r="O64" s="13">
        <f>N64*VLOOKUP('Données projet'!$B$9,Paramètres!$A$1:$I$89,3,0)*VLOOKUP('Données projet'!$B$9,Paramètres!$A$1:$I$89,5,0)</f>
        <v>181.50109714285688</v>
      </c>
      <c r="P64" s="13">
        <f t="shared" si="33"/>
        <v>45.655991033396859</v>
      </c>
      <c r="Q64" s="20">
        <f t="shared" si="53"/>
        <v>395.63192857364191</v>
      </c>
      <c r="R64" s="59">
        <f t="shared" si="0"/>
        <v>688.96526190697523</v>
      </c>
      <c r="S64" s="59">
        <f ca="1">AVERAGE(OFFSET($R$3,0,0,'Données projet'!$E$9+1,1))-AVERAGE(OFFSET($H$3,0,0,'Données projet'!$E$9+1,1))</f>
        <v>263.84804661819163</v>
      </c>
      <c r="T64" s="59">
        <f t="shared" si="34"/>
        <v>271.81541836379307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57.276692245343376</v>
      </c>
      <c r="AA64" s="21">
        <f>EXP(-LN(2)/25)*AA63+(1-EXP(-LN(2)/25))/(LN(2)/25)*Calculateur!V64*Calculateur!X64*VLOOKUP('Données projet'!$B$9,Paramètres!$A$1:$I$89,3,0)*0.475*44/12</f>
        <v>17.124718515681327</v>
      </c>
      <c r="AB64" s="21">
        <f>EXP(-LN(2)/2)*AB63+(1-EXP(-LN(2)/2))/(LN(2)/2)*V64*Y64*VLOOKUP('Données projet'!$B$9,Paramètres!$A$1:$I$89,3,0)*0.475*44/12</f>
        <v>1.6975727289818074</v>
      </c>
      <c r="AC64" s="22">
        <f t="shared" si="3"/>
        <v>76.098983490006518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382.99699999999984</v>
      </c>
      <c r="AJ64" s="13">
        <f>AI64*VLOOKUP('Données projet'!$B$10,Paramètres!$A$1:$I$89,3,0)*VLOOKUP('Données projet'!$B$10,Paramètres!$A$1:$I$89,5,0)</f>
        <v>229.03220599999992</v>
      </c>
      <c r="AK64" s="13">
        <f t="shared" si="35"/>
        <v>56.073370514455313</v>
      </c>
      <c r="AL64" s="20">
        <f t="shared" si="4"/>
        <v>496.55887909600943</v>
      </c>
      <c r="AM64" s="59">
        <f t="shared" si="5"/>
        <v>789.89221242934275</v>
      </c>
      <c r="AN64" s="59">
        <f ca="1">AVERAGE(OFFSET($AM$3,0,0,'Données projet'!$E$10+1,1))-AVERAGE(OFFSET($H$3,0,0,'Données projet'!$E$10+1,1))</f>
        <v>270.04187128233121</v>
      </c>
      <c r="AO64" s="59">
        <f t="shared" si="36"/>
        <v>183.82555940776064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43.642828805373689</v>
      </c>
      <c r="AV64" s="21">
        <f>EXP(-LN(2)/25)*AV63+(1-EXP(-LN(2)/25))/(LN(2)/25)*Calculateur!AQ64*Calculateur!AS64*VLOOKUP('Données projet'!$B$10,Paramètres!$A$1:$I$89,3,0)*0.475*44/12</f>
        <v>18.804988248193443</v>
      </c>
      <c r="AW64" s="21">
        <f>EXP(-LN(2)/2)*AW63+(1-EXP(-LN(2)/2))/(LN(2)/2)*AQ64*AT64*VLOOKUP('Données projet'!$B$10,Paramètres!$A$1:$I$89,3,0)*0.475*44/12</f>
        <v>6.9078946134240198</v>
      </c>
      <c r="AX64" s="21">
        <f t="shared" si="6"/>
        <v>69.355711666991155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11.968999999999999</v>
      </c>
      <c r="BD64" s="12">
        <f>IF('Données projet'!$A$88&gt;35,BD63+BC64-BL63,IF(A64&lt;'Données projet'!$A$88,$BA$205^A64,IF(A64='Données projet'!$A$88,'Données projet'!$B$88,BD63+BC64-BL63)))</f>
        <v>401.27100000000007</v>
      </c>
      <c r="BE64" s="13">
        <f>BD64*VLOOKUP('Données projet'!$B$11,Paramètres!$A$1:$I$89,3,0)*VLOOKUP('Données projet'!$B$11,Paramètres!$A$1:$I$89,5,0)</f>
        <v>224.31048900000002</v>
      </c>
      <c r="BF64" s="13">
        <f t="shared" si="37"/>
        <v>55.050688592681482</v>
      </c>
      <c r="BG64" s="20">
        <f t="shared" si="7"/>
        <v>486.55405097392025</v>
      </c>
      <c r="BH64" s="59">
        <f t="shared" si="8"/>
        <v>779.88738430725357</v>
      </c>
      <c r="BI64" s="59">
        <f ca="1">AVERAGE(OFFSET($BH$3,0,0,'Données projet'!$E$11+1,1))-AVERAGE(OFFSET($H$3,0,0,'Données projet'!$E$11+1,1))</f>
        <v>293.82673322742102</v>
      </c>
      <c r="BJ64" s="59">
        <f t="shared" si="38"/>
        <v>138.78566015867693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23.359729541865008</v>
      </c>
      <c r="BQ64" s="21">
        <f>EXP(-LN(2)/25)*BQ63+(1-EXP(-LN(2)/25))/(LN(2)/25)*Calculateur!BL64*Calculateur!BN64*VLOOKUP('Données projet'!$B$11,Paramètres!$A$1:$I$89,3,0)*0.475*44/12</f>
        <v>17.207455790913219</v>
      </c>
      <c r="BR64" s="21">
        <f>EXP(-LN(2)/2)*BR63+(1-EXP(-LN(2)/2))/(LN(2)/2)*BL64*BO64*VLOOKUP('Données projet'!$B$11,Paramètres!$A$1:$I$89,3,0)*0.475*44/12</f>
        <v>0.37868970217682807</v>
      </c>
      <c r="BS64" s="22">
        <f t="shared" si="9"/>
        <v>40.945875034955051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16.778571428571428</v>
      </c>
      <c r="N65" s="13">
        <f>IF('Données projet'!$A$36&gt;35,N64+M65-V64,IF(A65&lt;'Données projet'!$A$36,$K$205^A65,IF(A65='Données projet'!$A$36,'Données projet'!$B$36,N64+M65-V64)))</f>
        <v>404.60142857142802</v>
      </c>
      <c r="O65" s="13">
        <f>N65*VLOOKUP('Données projet'!$B$9,Paramètres!$A$1:$I$89,3,0)*VLOOKUP('Données projet'!$B$9,Paramètres!$A$1:$I$89,5,0)</f>
        <v>189.35346857142832</v>
      </c>
      <c r="P65" s="13">
        <f t="shared" si="33"/>
        <v>47.396985588029786</v>
      </c>
      <c r="Q65" s="20">
        <f t="shared" si="53"/>
        <v>412.34037432772288</v>
      </c>
      <c r="R65" s="59">
        <f t="shared" si="0"/>
        <v>705.67370766105614</v>
      </c>
      <c r="S65" s="59">
        <f ca="1">AVERAGE(OFFSET($R$3,0,0,'Données projet'!$E$9+1,1))-AVERAGE(OFFSET($H$3,0,0,'Données projet'!$E$9+1,1))</f>
        <v>263.84804661819163</v>
      </c>
      <c r="T65" s="59">
        <f t="shared" si="34"/>
        <v>271.81541836379307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56.153531245744887</v>
      </c>
      <c r="AA65" s="21">
        <f>EXP(-LN(2)/25)*AA64+(1-EXP(-LN(2)/25))/(LN(2)/25)*Calculateur!V65*Calculateur!X65*VLOOKUP('Données projet'!$B$9,Paramètres!$A$1:$I$89,3,0)*0.475*44/12</f>
        <v>16.656442187320213</v>
      </c>
      <c r="AB65" s="21">
        <f>EXP(-LN(2)/2)*AB64+(1-EXP(-LN(2)/2))/(LN(2)/2)*V65*Y65*VLOOKUP('Données projet'!$B$9,Paramètres!$A$1:$I$89,3,0)*0.475*44/12</f>
        <v>1.2003651882203894</v>
      </c>
      <c r="AC65" s="22">
        <f t="shared" si="3"/>
        <v>74.010338621285484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394.89399999999983</v>
      </c>
      <c r="AJ65" s="13">
        <f>AI65*VLOOKUP('Données projet'!$B$10,Paramètres!$A$1:$I$89,3,0)*VLOOKUP('Données projet'!$B$10,Paramètres!$A$1:$I$89,5,0)</f>
        <v>236.14661199999995</v>
      </c>
      <c r="AK65" s="13">
        <f t="shared" si="35"/>
        <v>57.609675887529612</v>
      </c>
      <c r="AL65" s="20">
        <f t="shared" si="4"/>
        <v>511.6255347374472</v>
      </c>
      <c r="AM65" s="59">
        <f t="shared" si="5"/>
        <v>804.95886807078045</v>
      </c>
      <c r="AN65" s="59">
        <f ca="1">AVERAGE(OFFSET($AM$3,0,0,'Données projet'!$E$10+1,1))-AVERAGE(OFFSET($H$3,0,0,'Données projet'!$E$10+1,1))</f>
        <v>270.04187128233121</v>
      </c>
      <c r="AO65" s="59">
        <f t="shared" si="36"/>
        <v>183.82555940776064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42.787019551997425</v>
      </c>
      <c r="AV65" s="21">
        <f>EXP(-LN(2)/25)*AV64+(1-EXP(-LN(2)/25))/(LN(2)/25)*Calculateur!AQ65*Calculateur!AS65*VLOOKUP('Données projet'!$B$10,Paramètres!$A$1:$I$89,3,0)*0.475*44/12</f>
        <v>18.290764855635238</v>
      </c>
      <c r="AW65" s="21">
        <f>EXP(-LN(2)/2)*AW64+(1-EXP(-LN(2)/2))/(LN(2)/2)*AQ65*AT65*VLOOKUP('Données projet'!$B$10,Paramètres!$A$1:$I$89,3,0)*0.475*44/12</f>
        <v>4.8846191248741491</v>
      </c>
      <c r="AX65" s="21">
        <f t="shared" si="6"/>
        <v>65.962403532506812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413.24</v>
      </c>
      <c r="BB65" s="12">
        <f>VLOOKUP(A65,'Données projet'!$A$87:$I$107,9,0)</f>
        <v>11.968999999999999</v>
      </c>
      <c r="BC65" s="12">
        <f t="array" ref="BC65">INDEX(BB:BB,MIN(IF(ISNUMBER(BB65:BB261),ROW(BB65:BB261),"")))</f>
        <v>11.968999999999999</v>
      </c>
      <c r="BD65" s="12">
        <f>IF('Données projet'!$A$88&gt;35,BD64+BC65-BL64,IF(A65&lt;'Données projet'!$A$88,$BA$205^A65,IF(A65='Données projet'!$A$88,'Données projet'!$B$88,BD64+BC65-BL64)))</f>
        <v>413.24000000000007</v>
      </c>
      <c r="BE65" s="13">
        <f>BD65*VLOOKUP('Données projet'!$B$11,Paramètres!$A$1:$I$89,3,0)*VLOOKUP('Données projet'!$B$11,Paramètres!$A$1:$I$89,5,0)</f>
        <v>231.00116000000003</v>
      </c>
      <c r="BF65" s="13">
        <f t="shared" si="37"/>
        <v>56.499100977969647</v>
      </c>
      <c r="BG65" s="20">
        <f t="shared" si="7"/>
        <v>500.7296212032972</v>
      </c>
      <c r="BH65" s="59">
        <f t="shared" si="8"/>
        <v>794.06295453663051</v>
      </c>
      <c r="BI65" s="59">
        <f ca="1">AVERAGE(OFFSET($BH$3,0,0,'Données projet'!$E$11+1,1))-AVERAGE(OFFSET($H$3,0,0,'Données projet'!$E$11+1,1))</f>
        <v>293.82673322742102</v>
      </c>
      <c r="BJ65" s="59">
        <f t="shared" si="38"/>
        <v>138.78566015867693</v>
      </c>
      <c r="BK65" s="15">
        <f>IF(ISNA(VLOOKUP(A65,'Données projet'!$A$87:$I$107,3,0)),0,VLOOKUP(A65,'Données projet'!$A$87:$I$107,3,0))</f>
        <v>4</v>
      </c>
      <c r="BL65" s="15">
        <f>IF(ISNA(VLOOKUP(A65,'Données projet'!$A$87:$I$107,4,0)),0,VLOOKUP(A65,'Données projet'!$A$87:$I$107,4,0))</f>
        <v>66.019999999999982</v>
      </c>
      <c r="BM65" s="16">
        <f>IF(ISNA(VLOOKUP(A65,'Données projet'!$A$87:$I$107,5,0)),0%,VLOOKUP(A65,'Données projet'!$A$87:$I$107,5,0)*VLOOKUP('Données projet'!$B$11,Paramètres!$A$1:$I$89,7,0))</f>
        <v>0.33</v>
      </c>
      <c r="BN65" s="16">
        <f>IF(ISNA(VLOOKUP(A65,'Données projet'!$A$87:$I$107,6,0)),0%,VLOOKUP(A65,'Données projet'!$A$87:$I$107,6,0)*VLOOKUP('Données projet'!$B$11,Paramètres!$A$1:$I$89,7,0))</f>
        <v>0.11000000000000001</v>
      </c>
      <c r="BO65" s="16">
        <f>IF(ISNA(VLOOKUP(A65,'Données projet'!$A$87:$I$107,7,0)),0%,VLOOKUP(A65,'Données projet'!$A$87:$I$107,7,0))</f>
        <v>0.2</v>
      </c>
      <c r="BP65" s="21">
        <f>EXP(-LN(2)/35)*BP64+(1-EXP(-LN(2)/35))/(LN(2)/35)*BL65*BM65*VLOOKUP('Données projet'!$B$11,Paramètres!$A$1:$I$89,3,0)*0.475*44/12</f>
        <v>39.057502496744583</v>
      </c>
      <c r="BQ65" s="21">
        <f>EXP(-LN(2)/25)*BQ64+(1-EXP(-LN(2)/25))/(LN(2)/25)*Calculateur!BL65*Calculateur!BN65*VLOOKUP('Données projet'!$B$11,Paramètres!$A$1:$I$89,3,0)*0.475*44/12</f>
        <v>22.100994105211637</v>
      </c>
      <c r="BR65" s="21">
        <f>EXP(-LN(2)/2)*BR64+(1-EXP(-LN(2)/2))/(LN(2)/2)*BL65*BO65*VLOOKUP('Données projet'!$B$11,Paramètres!$A$1:$I$89,3,0)*0.475*44/12</f>
        <v>8.6248214047803025</v>
      </c>
      <c r="BS65" s="22">
        <f t="shared" si="9"/>
        <v>69.783318006736522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421.38</v>
      </c>
      <c r="L66" s="12">
        <f>VLOOKUP(A66,'Données projet'!$A$35:$I$55,9,0)</f>
        <v>16.778571428571428</v>
      </c>
      <c r="M66" s="12">
        <f t="array" ref="M66">INDEX(L:L,MIN(IF(ISNUMBER(L66:L262),ROW(L66:L262),"")))</f>
        <v>16.778571428571428</v>
      </c>
      <c r="N66" s="13">
        <f>IF('Données projet'!$A$36&gt;35,N65+M66-V65,IF(A66&lt;'Données projet'!$A$36,$K$205^A66,IF(A66='Données projet'!$A$36,'Données projet'!$B$36,N65+M66-V65)))</f>
        <v>421.37999999999943</v>
      </c>
      <c r="O66" s="13">
        <f>N66*VLOOKUP('Données projet'!$B$9,Paramètres!$A$1:$I$89,3,0)*VLOOKUP('Données projet'!$B$9,Paramètres!$A$1:$I$89,5,0)</f>
        <v>197.20583999999974</v>
      </c>
      <c r="P66" s="13">
        <f t="shared" si="33"/>
        <v>49.129594010842474</v>
      </c>
      <c r="Q66" s="20">
        <f t="shared" si="53"/>
        <v>429.03421423555022</v>
      </c>
      <c r="R66" s="59">
        <f t="shared" si="0"/>
        <v>722.36754756888354</v>
      </c>
      <c r="S66" s="59">
        <f ca="1">AVERAGE(OFFSET($R$3,0,0,'Données projet'!$E$9+1,1))-AVERAGE(OFFSET($H$3,0,0,'Données projet'!$E$9+1,1))</f>
        <v>263.84804661819163</v>
      </c>
      <c r="T66" s="59">
        <f t="shared" si="34"/>
        <v>271.81541836379307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79.909999999999968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71.423925192829728</v>
      </c>
      <c r="AA66" s="21">
        <f>EXP(-LN(2)/25)*AA65+(1-EXP(-LN(2)/25))/(LN(2)/25)*Calculateur!V66*Calculateur!X66*VLOOKUP('Données projet'!$B$9,Paramètres!$A$1:$I$89,3,0)*0.475*44/12</f>
        <v>21.636660730163534</v>
      </c>
      <c r="AB66" s="21">
        <f>EXP(-LN(2)/2)*AB65+(1-EXP(-LN(2)/2))/(LN(2)/2)*V66*Y66*VLOOKUP('Données projet'!$B$9,Paramètres!$A$1:$I$89,3,0)*0.475*44/12</f>
        <v>9.3174038834947126</v>
      </c>
      <c r="AC66" s="22">
        <f t="shared" si="3"/>
        <v>102.37798980648796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406.79099999999983</v>
      </c>
      <c r="AJ66" s="13">
        <f>AI66*VLOOKUP('Données projet'!$B$10,Paramètres!$A$1:$I$89,3,0)*VLOOKUP('Données projet'!$B$10,Paramètres!$A$1:$I$89,5,0)</f>
        <v>243.26101799999989</v>
      </c>
      <c r="AK66" s="13">
        <f t="shared" si="35"/>
        <v>59.140602334121624</v>
      </c>
      <c r="AL66" s="20">
        <f t="shared" si="4"/>
        <v>526.68282208192829</v>
      </c>
      <c r="AM66" s="59">
        <f t="shared" si="5"/>
        <v>820.01615541526166</v>
      </c>
      <c r="AN66" s="59">
        <f ca="1">AVERAGE(OFFSET($AM$3,0,0,'Données projet'!$E$10+1,1))-AVERAGE(OFFSET($H$3,0,0,'Données projet'!$E$10+1,1))</f>
        <v>270.04187128233121</v>
      </c>
      <c r="AO66" s="59">
        <f t="shared" si="36"/>
        <v>183.82555940776064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41.947992196087768</v>
      </c>
      <c r="AV66" s="21">
        <f>EXP(-LN(2)/25)*AV65+(1-EXP(-LN(2)/25))/(LN(2)/25)*Calculateur!AQ66*Calculateur!AS66*VLOOKUP('Données projet'!$B$10,Paramètres!$A$1:$I$89,3,0)*0.475*44/12</f>
        <v>17.790602928788374</v>
      </c>
      <c r="AW66" s="21">
        <f>EXP(-LN(2)/2)*AW65+(1-EXP(-LN(2)/2))/(LN(2)/2)*AQ66*AT66*VLOOKUP('Données projet'!$B$10,Paramètres!$A$1:$I$89,3,0)*0.475*44/12</f>
        <v>3.4539473067120103</v>
      </c>
      <c r="AX66" s="21">
        <f t="shared" si="6"/>
        <v>63.192542431588151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10.513</v>
      </c>
      <c r="BD66" s="12">
        <f>IF('Données projet'!$A$88&gt;35,BD65+BC66-BL65,IF(A66&lt;'Données projet'!$A$88,$BA$205^A66,IF(A66='Données projet'!$A$88,'Données projet'!$B$88,BD65+BC66-BL65)))</f>
        <v>357.73300000000006</v>
      </c>
      <c r="BE66" s="13">
        <f>BD66*VLOOKUP('Données projet'!$B$11,Paramètres!$A$1:$I$89,3,0)*VLOOKUP('Données projet'!$B$11,Paramètres!$A$1:$I$89,5,0)</f>
        <v>199.97274700000003</v>
      </c>
      <c r="BF66" s="13">
        <f t="shared" si="37"/>
        <v>49.738178293347474</v>
      </c>
      <c r="BG66" s="20">
        <f t="shared" si="7"/>
        <v>434.91319488591353</v>
      </c>
      <c r="BH66" s="59">
        <f t="shared" si="8"/>
        <v>728.24652821924678</v>
      </c>
      <c r="BI66" s="59">
        <f ca="1">AVERAGE(OFFSET($BH$3,0,0,'Données projet'!$E$11+1,1))-AVERAGE(OFFSET($H$3,0,0,'Données projet'!$E$11+1,1))</f>
        <v>293.82673322742102</v>
      </c>
      <c r="BJ66" s="59">
        <f t="shared" si="38"/>
        <v>138.78566015867693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38.291608695507648</v>
      </c>
      <c r="BQ66" s="21">
        <f>EXP(-LN(2)/25)*BQ65+(1-EXP(-LN(2)/25))/(LN(2)/25)*Calculateur!BL66*Calculateur!BN66*VLOOKUP('Données projet'!$B$11,Paramètres!$A$1:$I$89,3,0)*0.475*44/12</f>
        <v>21.496641259163859</v>
      </c>
      <c r="BR66" s="21">
        <f>EXP(-LN(2)/2)*BR65+(1-EXP(-LN(2)/2))/(LN(2)/2)*BL66*BO66*VLOOKUP('Données projet'!$B$11,Paramètres!$A$1:$I$89,3,0)*0.475*44/12</f>
        <v>6.0986697018430371</v>
      </c>
      <c r="BS66" s="22">
        <f t="shared" si="9"/>
        <v>65.88691965651455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16.234999999999999</v>
      </c>
      <c r="N67" s="13">
        <f>IF('Données projet'!$A$36&gt;35,N66+M67-V66,IF(A67&lt;'Données projet'!$A$36,$K$205^A67,IF(A67='Données projet'!$A$36,'Données projet'!$B$36,N66+M67-V66)))</f>
        <v>357.70499999999947</v>
      </c>
      <c r="O67" s="13">
        <f>N67*VLOOKUP('Données projet'!$B$9,Paramètres!$A$1:$I$89,3,0)*VLOOKUP('Données projet'!$B$9,Paramètres!$A$1:$I$89,5,0)</f>
        <v>167.40593999999973</v>
      </c>
      <c r="P67" s="13">
        <f t="shared" si="33"/>
        <v>42.508521522773925</v>
      </c>
      <c r="Q67" s="20">
        <f t="shared" ref="Q67:Q98" si="54">(O67+P67)*0.475*44/12</f>
        <v>365.60102048549743</v>
      </c>
      <c r="R67" s="59">
        <f t="shared" ref="R67:R130" si="55">Q67+(I67+J67)*44/12</f>
        <v>658.93435381883069</v>
      </c>
      <c r="S67" s="59">
        <f ca="1">AVERAGE(OFFSET($R$3,0,0,'Données projet'!$E$9+1,1))-AVERAGE(OFFSET($H$3,0,0,'Données projet'!$E$9+1,1))</f>
        <v>263.84804661819163</v>
      </c>
      <c r="T67" s="59">
        <f t="shared" si="34"/>
        <v>271.81541836379307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70.023345584091089</v>
      </c>
      <c r="AA67" s="21">
        <f>EXP(-LN(2)/25)*AA66+(1-EXP(-LN(2)/25))/(LN(2)/25)*Calculateur!V67*Calculateur!X67*VLOOKUP('Données projet'!$B$9,Paramètres!$A$1:$I$89,3,0)*0.475*44/12</f>
        <v>21.045005104674676</v>
      </c>
      <c r="AB67" s="21">
        <f>EXP(-LN(2)/2)*AB66+(1-EXP(-LN(2)/2))/(LN(2)/2)*V67*Y67*VLOOKUP('Données projet'!$B$9,Paramètres!$A$1:$I$89,3,0)*0.475*44/12</f>
        <v>6.5883994690729839</v>
      </c>
      <c r="AC67" s="22">
        <f t="shared" si="3"/>
        <v>97.656750157838744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418.68799999999982</v>
      </c>
      <c r="AJ67" s="13">
        <f>AI67*VLOOKUP('Données projet'!$B$10,Paramètres!$A$1:$I$89,3,0)*VLOOKUP('Données projet'!$B$10,Paramètres!$A$1:$I$89,5,0)</f>
        <v>250.37542399999992</v>
      </c>
      <c r="AK67" s="13">
        <f t="shared" si="35"/>
        <v>60.666325229387866</v>
      </c>
      <c r="AL67" s="20">
        <f t="shared" si="4"/>
        <v>541.73104657451711</v>
      </c>
      <c r="AM67" s="59">
        <f t="shared" si="5"/>
        <v>835.06437990785048</v>
      </c>
      <c r="AN67" s="59">
        <f ca="1">AVERAGE(OFFSET($AM$3,0,0,'Données projet'!$E$10+1,1))-AVERAGE(OFFSET($H$3,0,0,'Données projet'!$E$10+1,1))</f>
        <v>270.04187128233121</v>
      </c>
      <c r="AO67" s="59">
        <f t="shared" si="36"/>
        <v>183.82555940776064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41.125417654871342</v>
      </c>
      <c r="AV67" s="21">
        <f>EXP(-LN(2)/25)*AV66+(1-EXP(-LN(2)/25))/(LN(2)/25)*Calculateur!AQ67*Calculateur!AS67*VLOOKUP('Données projet'!$B$10,Paramètres!$A$1:$I$89,3,0)*0.475*44/12</f>
        <v>17.30411795613351</v>
      </c>
      <c r="AW67" s="21">
        <f>EXP(-LN(2)/2)*AW66+(1-EXP(-LN(2)/2))/(LN(2)/2)*AQ67*AT67*VLOOKUP('Données projet'!$B$10,Paramètres!$A$1:$I$89,3,0)*0.475*44/12</f>
        <v>2.442309562437075</v>
      </c>
      <c r="AX67" s="21">
        <f t="shared" si="6"/>
        <v>60.871845173441926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10.513</v>
      </c>
      <c r="BD67" s="12">
        <f>IF('Données projet'!$A$88&gt;35,BD66+BC67-BL66,IF(A67&lt;'Données projet'!$A$88,$BA$205^A67,IF(A67='Données projet'!$A$88,'Données projet'!$B$88,BD66+BC67-BL66)))</f>
        <v>368.24600000000004</v>
      </c>
      <c r="BE67" s="13">
        <f>BD67*VLOOKUP('Données projet'!$B$11,Paramètres!$A$1:$I$89,3,0)*VLOOKUP('Données projet'!$B$11,Paramètres!$A$1:$I$89,5,0)</f>
        <v>205.84951400000003</v>
      </c>
      <c r="BF67" s="13">
        <f t="shared" si="37"/>
        <v>51.027549042876508</v>
      </c>
      <c r="BG67" s="20">
        <f t="shared" si="7"/>
        <v>447.39421813300993</v>
      </c>
      <c r="BH67" s="59">
        <f t="shared" si="8"/>
        <v>740.72755146634324</v>
      </c>
      <c r="BI67" s="59">
        <f ca="1">AVERAGE(OFFSET($BH$3,0,0,'Données projet'!$E$11+1,1))-AVERAGE(OFFSET($H$3,0,0,'Données projet'!$E$11+1,1))</f>
        <v>293.82673322742102</v>
      </c>
      <c r="BJ67" s="59">
        <f t="shared" si="38"/>
        <v>138.78566015867693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37.540733604563876</v>
      </c>
      <c r="BQ67" s="21">
        <f>EXP(-LN(2)/25)*BQ66+(1-EXP(-LN(2)/25))/(LN(2)/25)*Calculateur!BL67*Calculateur!BN67*VLOOKUP('Données projet'!$B$11,Paramètres!$A$1:$I$89,3,0)*0.475*44/12</f>
        <v>20.908814473472791</v>
      </c>
      <c r="BR67" s="21">
        <f>EXP(-LN(2)/2)*BR66+(1-EXP(-LN(2)/2))/(LN(2)/2)*BL67*BO67*VLOOKUP('Données projet'!$B$11,Paramètres!$A$1:$I$89,3,0)*0.475*44/12</f>
        <v>4.3124107023901521</v>
      </c>
      <c r="BS67" s="22">
        <f t="shared" si="9"/>
        <v>62.761958780426824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16.234999999999999</v>
      </c>
      <c r="N68" s="13">
        <f>IF('Données projet'!$A$36&gt;35,N67+M68-V67,IF(A68&lt;'Données projet'!$A$36,$K$205^A68,IF(A68='Données projet'!$A$36,'Données projet'!$B$36,N67+M68-V67)))</f>
        <v>373.93999999999949</v>
      </c>
      <c r="O68" s="13">
        <f>N68*VLOOKUP('Données projet'!$B$9,Paramètres!$A$1:$I$89,3,0)*VLOOKUP('Données projet'!$B$9,Paramètres!$A$1:$I$89,5,0)</f>
        <v>175.00391999999977</v>
      </c>
      <c r="P68" s="13">
        <f t="shared" si="33"/>
        <v>44.208836016377994</v>
      </c>
      <c r="Q68" s="20">
        <f t="shared" si="54"/>
        <v>381.79555006185797</v>
      </c>
      <c r="R68" s="59">
        <f t="shared" si="55"/>
        <v>675.12888339519122</v>
      </c>
      <c r="S68" s="59">
        <f ca="1">AVERAGE(OFFSET($R$3,0,0,'Données projet'!$E$9+1,1))-AVERAGE(OFFSET($H$3,0,0,'Données projet'!$E$9+1,1))</f>
        <v>263.84804661819163</v>
      </c>
      <c r="T68" s="59">
        <f t="shared" si="34"/>
        <v>271.81541836379307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68.650230487210607</v>
      </c>
      <c r="AA68" s="21">
        <f>EXP(-LN(2)/25)*AA67+(1-EXP(-LN(2)/25))/(LN(2)/25)*Calculateur!V68*Calculateur!X68*VLOOKUP('Données projet'!$B$9,Paramètres!$A$1:$I$89,3,0)*0.475*44/12</f>
        <v>20.469528333378626</v>
      </c>
      <c r="AB68" s="21">
        <f>EXP(-LN(2)/2)*AB67+(1-EXP(-LN(2)/2))/(LN(2)/2)*V68*Y68*VLOOKUP('Données projet'!$B$9,Paramètres!$A$1:$I$89,3,0)*0.475*44/12</f>
        <v>4.6587019417473563</v>
      </c>
      <c r="AC68" s="22">
        <f t="shared" ref="AC68:AC131" si="57">SUM(Z68:AB68)</f>
        <v>93.778460762336579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430.58499999999981</v>
      </c>
      <c r="AJ68" s="13">
        <f>AI68*VLOOKUP('Données projet'!$B$10,Paramètres!$A$1:$I$89,3,0)*VLOOKUP('Données projet'!$B$10,Paramètres!$A$1:$I$89,5,0)</f>
        <v>257.48982999999993</v>
      </c>
      <c r="AK68" s="13">
        <f t="shared" si="35"/>
        <v>62.187009415011673</v>
      </c>
      <c r="AL68" s="20">
        <f t="shared" ref="AL68:AL131" si="58">(AJ68+AK68)*0.475*44/12</f>
        <v>556.77049531447858</v>
      </c>
      <c r="AM68" s="59">
        <f t="shared" ref="AM68:AM131" si="59">AL68+(AD68+AE68)*44/12</f>
        <v>850.10382864781195</v>
      </c>
      <c r="AN68" s="59">
        <f ca="1">AVERAGE(OFFSET($AM$3,0,0,'Données projet'!$E$10+1,1))-AVERAGE(OFFSET($H$3,0,0,'Données projet'!$E$10+1,1))</f>
        <v>270.04187128233121</v>
      </c>
      <c r="AO68" s="59">
        <f t="shared" si="36"/>
        <v>183.82555940776064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40.31897329868724</v>
      </c>
      <c r="AV68" s="21">
        <f>EXP(-LN(2)/25)*AV67+(1-EXP(-LN(2)/25))/(LN(2)/25)*Calculateur!AQ68*Calculateur!AS68*VLOOKUP('Données projet'!$B$10,Paramètres!$A$1:$I$89,3,0)*0.475*44/12</f>
        <v>16.830935940639026</v>
      </c>
      <c r="AW68" s="21">
        <f>EXP(-LN(2)/2)*AW67+(1-EXP(-LN(2)/2))/(LN(2)/2)*AQ68*AT68*VLOOKUP('Données projet'!$B$10,Paramètres!$A$1:$I$89,3,0)*0.475*44/12</f>
        <v>1.7269736533560056</v>
      </c>
      <c r="AX68" s="21">
        <f t="shared" ref="AX68:AX131" si="60">SUM(AU68:AW68)</f>
        <v>58.876882892682268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10.513</v>
      </c>
      <c r="BD68" s="12">
        <f>IF('Données projet'!$A$88&gt;35,BD67+BC68-BL67,IF(A68&lt;'Données projet'!$A$88,$BA$205^A68,IF(A68='Données projet'!$A$88,'Données projet'!$B$88,BD67+BC68-BL67)))</f>
        <v>378.75900000000001</v>
      </c>
      <c r="BE68" s="13">
        <f>BD68*VLOOKUP('Données projet'!$B$11,Paramètres!$A$1:$I$89,3,0)*VLOOKUP('Données projet'!$B$11,Paramètres!$A$1:$I$89,5,0)</f>
        <v>211.72628100000003</v>
      </c>
      <c r="BF68" s="13">
        <f t="shared" si="37"/>
        <v>52.312641599511544</v>
      </c>
      <c r="BG68" s="20">
        <f t="shared" ref="BG68:BG131" si="61">(BE68+BF68)*0.475*44/12</f>
        <v>459.86779019414934</v>
      </c>
      <c r="BH68" s="59">
        <f t="shared" ref="BH68:BH131" si="62">BG68+(AY68+AZ68)*44/12</f>
        <v>753.20112352748265</v>
      </c>
      <c r="BI68" s="59">
        <f ca="1">AVERAGE(OFFSET($BH$3,0,0,'Données projet'!$E$11+1,1))-AVERAGE(OFFSET($H$3,0,0,'Données projet'!$E$11+1,1))</f>
        <v>293.82673322742102</v>
      </c>
      <c r="BJ68" s="59">
        <f t="shared" si="38"/>
        <v>138.78566015867693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36.80458271616493</v>
      </c>
      <c r="BQ68" s="21">
        <f>EXP(-LN(2)/25)*BQ67+(1-EXP(-LN(2)/25))/(LN(2)/25)*Calculateur!BL68*Calculateur!BN68*VLOOKUP('Données projet'!$B$11,Paramètres!$A$1:$I$89,3,0)*0.475*44/12</f>
        <v>20.337061842148913</v>
      </c>
      <c r="BR68" s="21">
        <f>EXP(-LN(2)/2)*BR67+(1-EXP(-LN(2)/2))/(LN(2)/2)*BL68*BO68*VLOOKUP('Données projet'!$B$11,Paramètres!$A$1:$I$89,3,0)*0.475*44/12</f>
        <v>3.049334850921519</v>
      </c>
      <c r="BS68" s="22">
        <f t="shared" ref="BS68:BS131" si="63">SUM(BP68:BR68)</f>
        <v>60.190979409235361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16.234999999999999</v>
      </c>
      <c r="N69" s="13">
        <f>IF('Données projet'!$A$36&gt;35,N68+M69-V68,IF(A69&lt;'Données projet'!$A$36,$K$205^A69,IF(A69='Données projet'!$A$36,'Données projet'!$B$36,N68+M69-V68)))</f>
        <v>390.1749999999995</v>
      </c>
      <c r="O69" s="13">
        <f>N69*VLOOKUP('Données projet'!$B$9,Paramètres!$A$1:$I$89,3,0)*VLOOKUP('Données projet'!$B$9,Paramètres!$A$1:$I$89,5,0)</f>
        <v>182.60189999999977</v>
      </c>
      <c r="P69" s="13">
        <f t="shared" ref="P69:P132" si="87">EXP(-1.0587+0.8836*LN(O69)+0.284)</f>
        <v>45.900576582807517</v>
      </c>
      <c r="Q69" s="20">
        <f t="shared" si="54"/>
        <v>397.97514671505604</v>
      </c>
      <c r="R69" s="59">
        <f t="shared" si="55"/>
        <v>691.30848004838936</v>
      </c>
      <c r="S69" s="59">
        <f ca="1">AVERAGE(OFFSET($R$3,0,0,'Données projet'!$E$9+1,1))-AVERAGE(OFFSET($H$3,0,0,'Données projet'!$E$9+1,1))</f>
        <v>263.84804661819163</v>
      </c>
      <c r="T69" s="59">
        <f t="shared" ref="T69:T132" si="88">$T$3</f>
        <v>271.81541836379307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67.304041339862437</v>
      </c>
      <c r="AA69" s="21">
        <f>EXP(-LN(2)/25)*AA68+(1-EXP(-LN(2)/25))/(LN(2)/25)*Calculateur!V69*Calculateur!X69*VLOOKUP('Données projet'!$B$9,Paramètres!$A$1:$I$89,3,0)*0.475*44/12</f>
        <v>19.909788004656676</v>
      </c>
      <c r="AB69" s="21">
        <f>EXP(-LN(2)/2)*AB68+(1-EXP(-LN(2)/2))/(LN(2)/2)*V69*Y69*VLOOKUP('Données projet'!$B$9,Paramètres!$A$1:$I$89,3,0)*0.475*44/12</f>
        <v>3.294199734536492</v>
      </c>
      <c r="AC69" s="22">
        <f t="shared" si="57"/>
        <v>90.508029079055603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442.4819999999998</v>
      </c>
      <c r="AJ69" s="13">
        <f>AI69*VLOOKUP('Données projet'!$B$10,Paramètres!$A$1:$I$89,3,0)*VLOOKUP('Données projet'!$B$10,Paramètres!$A$1:$I$89,5,0)</f>
        <v>264.6042359999999</v>
      </c>
      <c r="AK69" s="13">
        <f t="shared" ref="AK69:AK132" si="89">EXP(-1.0587+0.8836*LN(AJ69)+0.284)</f>
        <v>63.702810105204811</v>
      </c>
      <c r="AL69" s="20">
        <f t="shared" si="58"/>
        <v>571.80143863323156</v>
      </c>
      <c r="AM69" s="59">
        <f t="shared" si="59"/>
        <v>865.13477196656481</v>
      </c>
      <c r="AN69" s="59">
        <f ca="1">AVERAGE(OFFSET($AM$3,0,0,'Données projet'!$E$10+1,1))-AVERAGE(OFFSET($H$3,0,0,'Données projet'!$E$10+1,1))</f>
        <v>270.04187128233121</v>
      </c>
      <c r="AO69" s="59">
        <f t="shared" ref="AO69:AO132" si="90">$AO$3</f>
        <v>183.82555940776064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39.528342824445424</v>
      </c>
      <c r="AV69" s="21">
        <f>EXP(-LN(2)/25)*AV68+(1-EXP(-LN(2)/25))/(LN(2)/25)*Calculateur!AQ69*Calculateur!AS69*VLOOKUP('Données projet'!$B$10,Paramètres!$A$1:$I$89,3,0)*0.475*44/12</f>
        <v>16.370693112241799</v>
      </c>
      <c r="AW69" s="21">
        <f>EXP(-LN(2)/2)*AW68+(1-EXP(-LN(2)/2))/(LN(2)/2)*AQ69*AT69*VLOOKUP('Données projet'!$B$10,Paramètres!$A$1:$I$89,3,0)*0.475*44/12</f>
        <v>1.2211547812185377</v>
      </c>
      <c r="AX69" s="21">
        <f t="shared" si="60"/>
        <v>57.120190717905764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10.513</v>
      </c>
      <c r="BD69" s="12">
        <f>IF('Données projet'!$A$88&gt;35,BD68+BC69-BL68,IF(A69&lt;'Données projet'!$A$88,$BA$205^A69,IF(A69='Données projet'!$A$88,'Données projet'!$B$88,BD68+BC69-BL68)))</f>
        <v>389.27199999999999</v>
      </c>
      <c r="BE69" s="13">
        <f>BD69*VLOOKUP('Données projet'!$B$11,Paramètres!$A$1:$I$89,3,0)*VLOOKUP('Données projet'!$B$11,Paramètres!$A$1:$I$89,5,0)</f>
        <v>217.603048</v>
      </c>
      <c r="BF69" s="13">
        <f t="shared" ref="BF69:BF132" si="91">EXP(-1.0587+0.8836*LN(BE69)+0.284)</f>
        <v>53.593588353345908</v>
      </c>
      <c r="BG69" s="20">
        <f t="shared" si="61"/>
        <v>472.33414164874415</v>
      </c>
      <c r="BH69" s="59">
        <f t="shared" si="62"/>
        <v>765.66747498207747</v>
      </c>
      <c r="BI69" s="59">
        <f ca="1">AVERAGE(OFFSET($BH$3,0,0,'Données projet'!$E$11+1,1))-AVERAGE(OFFSET($H$3,0,0,'Données projet'!$E$11+1,1))</f>
        <v>293.82673322742102</v>
      </c>
      <c r="BJ69" s="59">
        <f t="shared" ref="BJ69:BJ132" si="92">$BJ$3</f>
        <v>138.78566015867693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36.082867297679776</v>
      </c>
      <c r="BQ69" s="21">
        <f>EXP(-LN(2)/25)*BQ68+(1-EXP(-LN(2)/25))/(LN(2)/25)*Calculateur!BL69*Calculateur!BN69*VLOOKUP('Données projet'!$B$11,Paramètres!$A$1:$I$89,3,0)*0.475*44/12</f>
        <v>19.780943816595748</v>
      </c>
      <c r="BR69" s="21">
        <f>EXP(-LN(2)/2)*BR68+(1-EXP(-LN(2)/2))/(LN(2)/2)*BL69*BO69*VLOOKUP('Données projet'!$B$11,Paramètres!$A$1:$I$89,3,0)*0.475*44/12</f>
        <v>2.1562053511950761</v>
      </c>
      <c r="BS69" s="22">
        <f t="shared" si="63"/>
        <v>58.020016465470597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16.234999999999999</v>
      </c>
      <c r="N70" s="13">
        <f>IF('Données projet'!$A$36&gt;35,N69+M70-V69,IF(A70&lt;'Données projet'!$A$36,$K$205^A70,IF(A70='Données projet'!$A$36,'Données projet'!$B$36,N69+M70-V69)))</f>
        <v>406.40999999999951</v>
      </c>
      <c r="O70" s="13">
        <f>N70*VLOOKUP('Données projet'!$B$9,Paramètres!$A$1:$I$89,3,0)*VLOOKUP('Données projet'!$B$9,Paramètres!$A$1:$I$89,5,0)</f>
        <v>190.19987999999975</v>
      </c>
      <c r="P70" s="13">
        <f t="shared" si="87"/>
        <v>47.584140776714392</v>
      </c>
      <c r="Q70" s="20">
        <f t="shared" si="54"/>
        <v>414.14050285277716</v>
      </c>
      <c r="R70" s="59">
        <f t="shared" si="55"/>
        <v>707.47383618611047</v>
      </c>
      <c r="S70" s="59">
        <f ca="1">AVERAGE(OFFSET($R$3,0,0,'Données projet'!$E$9+1,1))-AVERAGE(OFFSET($H$3,0,0,'Données projet'!$E$9+1,1))</f>
        <v>263.84804661819163</v>
      </c>
      <c r="T70" s="59">
        <f t="shared" si="88"/>
        <v>271.81541836379307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65.984250140599457</v>
      </c>
      <c r="AA70" s="21">
        <f>EXP(-LN(2)/25)*AA69+(1-EXP(-LN(2)/25))/(LN(2)/25)*Calculateur!V70*Calculateur!X70*VLOOKUP('Données projet'!$B$9,Paramètres!$A$1:$I$89,3,0)*0.475*44/12</f>
        <v>19.365353804659094</v>
      </c>
      <c r="AB70" s="21">
        <f>EXP(-LN(2)/2)*AB69+(1-EXP(-LN(2)/2))/(LN(2)/2)*V70*Y70*VLOOKUP('Données projet'!$B$9,Paramètres!$A$1:$I$89,3,0)*0.475*44/12</f>
        <v>2.3293509708736782</v>
      </c>
      <c r="AC70" s="22">
        <f t="shared" si="57"/>
        <v>87.678954916132227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454.37899999999979</v>
      </c>
      <c r="AJ70" s="13">
        <f>AI70*VLOOKUP('Données projet'!$B$10,Paramètres!$A$1:$I$89,3,0)*VLOOKUP('Données projet'!$B$10,Paramètres!$A$1:$I$89,5,0)</f>
        <v>271.71864199999993</v>
      </c>
      <c r="AK70" s="13">
        <f t="shared" si="89"/>
        <v>65.213873692530555</v>
      </c>
      <c r="AL70" s="20">
        <f t="shared" si="58"/>
        <v>586.82413149782394</v>
      </c>
      <c r="AM70" s="59">
        <f t="shared" si="59"/>
        <v>880.15746483115731</v>
      </c>
      <c r="AN70" s="59">
        <f ca="1">AVERAGE(OFFSET($AM$3,0,0,'Données projet'!$E$10+1,1))-AVERAGE(OFFSET($H$3,0,0,'Données projet'!$E$10+1,1))</f>
        <v>270.04187128233121</v>
      </c>
      <c r="AO70" s="59">
        <f t="shared" si="90"/>
        <v>183.82555940776064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38.753216131566518</v>
      </c>
      <c r="AV70" s="21">
        <f>EXP(-LN(2)/25)*AV69+(1-EXP(-LN(2)/25))/(LN(2)/25)*Calculateur!AQ70*Calculateur!AS70*VLOOKUP('Données projet'!$B$10,Paramètres!$A$1:$I$89,3,0)*0.475*44/12</f>
        <v>15.923035648190211</v>
      </c>
      <c r="AW70" s="21">
        <f>EXP(-LN(2)/2)*AW69+(1-EXP(-LN(2)/2))/(LN(2)/2)*AQ70*AT70*VLOOKUP('Données projet'!$B$10,Paramètres!$A$1:$I$89,3,0)*0.475*44/12</f>
        <v>0.86348682667800292</v>
      </c>
      <c r="AX70" s="21">
        <f t="shared" si="60"/>
        <v>55.539738606434732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10.513</v>
      </c>
      <c r="BD70" s="12">
        <f>IF('Données projet'!$A$88&gt;35,BD69+BC70-BL69,IF(A70&lt;'Données projet'!$A$88,$BA$205^A70,IF(A70='Données projet'!$A$88,'Données projet'!$B$88,BD69+BC70-BL69)))</f>
        <v>399.78499999999997</v>
      </c>
      <c r="BE70" s="13">
        <f>BD70*VLOOKUP('Données projet'!$B$11,Paramètres!$A$1:$I$89,3,0)*VLOOKUP('Données projet'!$B$11,Paramètres!$A$1:$I$89,5,0)</f>
        <v>223.479815</v>
      </c>
      <c r="BF70" s="13">
        <f t="shared" si="91"/>
        <v>54.870514136526637</v>
      </c>
      <c r="BG70" s="20">
        <f t="shared" si="61"/>
        <v>484.79348991278385</v>
      </c>
      <c r="BH70" s="59">
        <f t="shared" si="62"/>
        <v>778.12682324611717</v>
      </c>
      <c r="BI70" s="59">
        <f ca="1">AVERAGE(OFFSET($BH$3,0,0,'Données projet'!$E$11+1,1))-AVERAGE(OFFSET($H$3,0,0,'Données projet'!$E$11+1,1))</f>
        <v>293.82673322742102</v>
      </c>
      <c r="BJ70" s="59">
        <f t="shared" si="92"/>
        <v>138.78566015867693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35.375304278348182</v>
      </c>
      <c r="BQ70" s="21">
        <f>EXP(-LN(2)/25)*BQ69+(1-EXP(-LN(2)/25))/(LN(2)/25)*Calculateur!BL70*Calculateur!BN70*VLOOKUP('Données projet'!$B$11,Paramètres!$A$1:$I$89,3,0)*0.475*44/12</f>
        <v>19.240032867696311</v>
      </c>
      <c r="BR70" s="21">
        <f>EXP(-LN(2)/2)*BR69+(1-EXP(-LN(2)/2))/(LN(2)/2)*BL70*BO70*VLOOKUP('Données projet'!$B$11,Paramètres!$A$1:$I$89,3,0)*0.475*44/12</f>
        <v>1.5246674254607595</v>
      </c>
      <c r="BS70" s="22">
        <f t="shared" si="63"/>
        <v>56.140004571505258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16.234999999999999</v>
      </c>
      <c r="N71" s="13">
        <f>IF('Données projet'!$A$36&gt;35,N70+M71-V70,IF(A71&lt;'Données projet'!$A$36,$K$205^A71,IF(A71='Données projet'!$A$36,'Données projet'!$B$36,N70+M71-V70)))</f>
        <v>422.64499999999953</v>
      </c>
      <c r="O71" s="13">
        <f>N71*VLOOKUP('Données projet'!$B$9,Paramètres!$A$1:$I$89,3,0)*VLOOKUP('Données projet'!$B$9,Paramètres!$A$1:$I$89,5,0)</f>
        <v>197.79785999999979</v>
      </c>
      <c r="P71" s="13">
        <f t="shared" si="87"/>
        <v>49.259892592357481</v>
      </c>
      <c r="Q71" s="20">
        <f t="shared" si="54"/>
        <v>430.29225243168889</v>
      </c>
      <c r="R71" s="59">
        <f t="shared" si="55"/>
        <v>723.62558576502215</v>
      </c>
      <c r="S71" s="59">
        <f ca="1">AVERAGE(OFFSET($R$3,0,0,'Données projet'!$E$9+1,1))-AVERAGE(OFFSET($H$3,0,0,'Données projet'!$E$9+1,1))</f>
        <v>263.84804661819163</v>
      </c>
      <c r="T71" s="59">
        <f t="shared" si="88"/>
        <v>271.81541836379307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64.690339241760881</v>
      </c>
      <c r="AA71" s="21">
        <f>EXP(-LN(2)/25)*AA70+(1-EXP(-LN(2)/25))/(LN(2)/25)*Calculateur!V71*Calculateur!X71*VLOOKUP('Données projet'!$B$9,Paramètres!$A$1:$I$89,3,0)*0.475*44/12</f>
        <v>18.835807186490996</v>
      </c>
      <c r="AB71" s="21">
        <f>EXP(-LN(2)/2)*AB70+(1-EXP(-LN(2)/2))/(LN(2)/2)*V71*Y71*VLOOKUP('Données projet'!$B$9,Paramètres!$A$1:$I$89,3,0)*0.475*44/12</f>
        <v>1.647099867268246</v>
      </c>
      <c r="AC71" s="22">
        <f t="shared" si="57"/>
        <v>85.17324629552013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466.27599999999978</v>
      </c>
      <c r="AJ71" s="13">
        <f>AI71*VLOOKUP('Données projet'!$B$10,Paramètres!$A$1:$I$89,3,0)*VLOOKUP('Données projet'!$B$10,Paramètres!$A$1:$I$89,5,0)</f>
        <v>278.83304799999985</v>
      </c>
      <c r="AK71" s="13">
        <f t="shared" si="89"/>
        <v>66.720338466956676</v>
      </c>
      <c r="AL71" s="20">
        <f t="shared" si="58"/>
        <v>601.83881476328258</v>
      </c>
      <c r="AM71" s="59">
        <f t="shared" si="59"/>
        <v>895.17214809661596</v>
      </c>
      <c r="AN71" s="59">
        <f ca="1">AVERAGE(OFFSET($AM$3,0,0,'Données projet'!$E$10+1,1))-AVERAGE(OFFSET($H$3,0,0,'Données projet'!$E$10+1,1))</f>
        <v>270.04187128233121</v>
      </c>
      <c r="AO71" s="59">
        <f t="shared" si="90"/>
        <v>183.82555940776064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37.993289200354369</v>
      </c>
      <c r="AV71" s="21">
        <f>EXP(-LN(2)/25)*AV70+(1-EXP(-LN(2)/25))/(LN(2)/25)*Calculateur!AQ71*Calculateur!AS71*VLOOKUP('Données projet'!$B$10,Paramètres!$A$1:$I$89,3,0)*0.475*44/12</f>
        <v>15.487619401034397</v>
      </c>
      <c r="AW71" s="21">
        <f>EXP(-LN(2)/2)*AW70+(1-EXP(-LN(2)/2))/(LN(2)/2)*AQ71*AT71*VLOOKUP('Données projet'!$B$10,Paramètres!$A$1:$I$89,3,0)*0.475*44/12</f>
        <v>0.61057739060926897</v>
      </c>
      <c r="AX71" s="21">
        <f t="shared" si="60"/>
        <v>54.091485991998034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10.513</v>
      </c>
      <c r="BD71" s="12">
        <f>IF('Données projet'!$A$88&gt;35,BD70+BC71-BL70,IF(A71&lt;'Données projet'!$A$88,$BA$205^A71,IF(A71='Données projet'!$A$88,'Données projet'!$B$88,BD70+BC71-BL70)))</f>
        <v>410.29799999999994</v>
      </c>
      <c r="BE71" s="13">
        <f>BD71*VLOOKUP('Données projet'!$B$11,Paramètres!$A$1:$I$89,3,0)*VLOOKUP('Données projet'!$B$11,Paramètres!$A$1:$I$89,5,0)</f>
        <v>229.35658199999997</v>
      </c>
      <c r="BF71" s="13">
        <f t="shared" si="91"/>
        <v>56.143536841975539</v>
      </c>
      <c r="BG71" s="20">
        <f t="shared" si="61"/>
        <v>497.24604031644066</v>
      </c>
      <c r="BH71" s="59">
        <f t="shared" si="62"/>
        <v>790.57937364977397</v>
      </c>
      <c r="BI71" s="59">
        <f ca="1">AVERAGE(OFFSET($BH$3,0,0,'Données projet'!$E$11+1,1))-AVERAGE(OFFSET($H$3,0,0,'Données projet'!$E$11+1,1))</f>
        <v>293.82673322742102</v>
      </c>
      <c r="BJ71" s="59">
        <f t="shared" si="92"/>
        <v>138.78566015867693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34.681616138254853</v>
      </c>
      <c r="BQ71" s="21">
        <f>EXP(-LN(2)/25)*BQ70+(1-EXP(-LN(2)/25))/(LN(2)/25)*Calculateur!BL71*Calculateur!BN71*VLOOKUP('Données projet'!$B$11,Paramètres!$A$1:$I$89,3,0)*0.475*44/12</f>
        <v>18.7139131571398</v>
      </c>
      <c r="BR71" s="21">
        <f>EXP(-LN(2)/2)*BR70+(1-EXP(-LN(2)/2))/(LN(2)/2)*BL71*BO71*VLOOKUP('Données projet'!$B$11,Paramètres!$A$1:$I$89,3,0)*0.475*44/12</f>
        <v>1.078102675597538</v>
      </c>
      <c r="BS71" s="22">
        <f t="shared" si="63"/>
        <v>54.473631970992187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16.234999999999999</v>
      </c>
      <c r="N72" s="13">
        <f>IF('Données projet'!$A$36&gt;35,N71+M72-V71,IF(A72&lt;'Données projet'!$A$36,$K$205^A72,IF(A72='Données projet'!$A$36,'Données projet'!$B$36,N71+M72-V71)))</f>
        <v>438.87999999999954</v>
      </c>
      <c r="O72" s="13">
        <f>N72*VLOOKUP('Données projet'!$B$9,Paramètres!$A$1:$I$89,3,0)*VLOOKUP('Données projet'!$B$9,Paramètres!$A$1:$I$89,5,0)</f>
        <v>205.39583999999979</v>
      </c>
      <c r="P72" s="13">
        <f t="shared" si="87"/>
        <v>50.928166476210805</v>
      </c>
      <c r="Q72" s="20">
        <f t="shared" si="54"/>
        <v>446.43097794606678</v>
      </c>
      <c r="R72" s="59">
        <f t="shared" si="55"/>
        <v>739.76431127940009</v>
      </c>
      <c r="S72" s="59">
        <f ca="1">AVERAGE(OFFSET($R$3,0,0,'Données projet'!$E$9+1,1))-AVERAGE(OFFSET($H$3,0,0,'Données projet'!$E$9+1,1))</f>
        <v>263.84804661819163</v>
      </c>
      <c r="T72" s="59">
        <f t="shared" si="88"/>
        <v>271.81541836379307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63.421801146440814</v>
      </c>
      <c r="AA72" s="21">
        <f>EXP(-LN(2)/25)*AA71+(1-EXP(-LN(2)/25))/(LN(2)/25)*Calculateur!V72*Calculateur!X72*VLOOKUP('Données projet'!$B$9,Paramètres!$A$1:$I$89,3,0)*0.475*44/12</f>
        <v>18.320741048444351</v>
      </c>
      <c r="AB72" s="21">
        <f>EXP(-LN(2)/2)*AB71+(1-EXP(-LN(2)/2))/(LN(2)/2)*V72*Y72*VLOOKUP('Données projet'!$B$9,Paramètres!$A$1:$I$89,3,0)*0.475*44/12</f>
        <v>1.1646754854368391</v>
      </c>
      <c r="AC72" s="22">
        <f t="shared" si="57"/>
        <v>82.907217680322006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478.17299999999977</v>
      </c>
      <c r="AJ72" s="13">
        <f>AI72*VLOOKUP('Données projet'!$B$10,Paramètres!$A$1:$I$89,3,0)*VLOOKUP('Données projet'!$B$10,Paramètres!$A$1:$I$89,5,0)</f>
        <v>285.94745399999988</v>
      </c>
      <c r="AK72" s="13">
        <f t="shared" si="89"/>
        <v>68.222335259457765</v>
      </c>
      <c r="AL72" s="20">
        <f t="shared" si="58"/>
        <v>616.84571629355526</v>
      </c>
      <c r="AM72" s="59">
        <f t="shared" si="59"/>
        <v>910.17904962688863</v>
      </c>
      <c r="AN72" s="59">
        <f ca="1">AVERAGE(OFFSET($AM$3,0,0,'Données projet'!$E$10+1,1))-AVERAGE(OFFSET($H$3,0,0,'Données projet'!$E$10+1,1))</f>
        <v>270.04187128233121</v>
      </c>
      <c r="AO72" s="59">
        <f t="shared" si="90"/>
        <v>183.82555940776064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37.248263972753627</v>
      </c>
      <c r="AV72" s="21">
        <f>EXP(-LN(2)/25)*AV71+(1-EXP(-LN(2)/25))/(LN(2)/25)*Calculateur!AQ72*Calculateur!AS72*VLOOKUP('Données projet'!$B$10,Paramètres!$A$1:$I$89,3,0)*0.475*44/12</f>
        <v>15.064109634054605</v>
      </c>
      <c r="AW72" s="21">
        <f>EXP(-LN(2)/2)*AW71+(1-EXP(-LN(2)/2))/(LN(2)/2)*AQ72*AT72*VLOOKUP('Données projet'!$B$10,Paramètres!$A$1:$I$89,3,0)*0.475*44/12</f>
        <v>0.43174341333900151</v>
      </c>
      <c r="AX72" s="21">
        <f t="shared" si="60"/>
        <v>52.744117020147229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10.513</v>
      </c>
      <c r="BD72" s="12">
        <f>IF('Données projet'!$A$88&gt;35,BD71+BC72-BL71,IF(A72&lt;'Données projet'!$A$88,$BA$205^A72,IF(A72='Données projet'!$A$88,'Données projet'!$B$88,BD71+BC72-BL71)))</f>
        <v>420.81099999999992</v>
      </c>
      <c r="BE72" s="13">
        <f>BD72*VLOOKUP('Données projet'!$B$11,Paramètres!$A$1:$I$89,3,0)*VLOOKUP('Données projet'!$B$11,Paramètres!$A$1:$I$89,5,0)</f>
        <v>235.23334899999995</v>
      </c>
      <c r="BF72" s="13">
        <f t="shared" si="91"/>
        <v>57.41276797691247</v>
      </c>
      <c r="BG72" s="20">
        <f t="shared" si="61"/>
        <v>509.69198706812244</v>
      </c>
      <c r="BH72" s="59">
        <f t="shared" si="62"/>
        <v>803.0253204014557</v>
      </c>
      <c r="BI72" s="59">
        <f ca="1">AVERAGE(OFFSET($BH$3,0,0,'Données projet'!$E$11+1,1))-AVERAGE(OFFSET($H$3,0,0,'Données projet'!$E$11+1,1))</f>
        <v>293.82673322742102</v>
      </c>
      <c r="BJ72" s="59">
        <f t="shared" si="92"/>
        <v>138.78566015867693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34.001530799480769</v>
      </c>
      <c r="BQ72" s="21">
        <f>EXP(-LN(2)/25)*BQ71+(1-EXP(-LN(2)/25))/(LN(2)/25)*Calculateur!BL72*Calculateur!BN72*VLOOKUP('Données projet'!$B$11,Paramètres!$A$1:$I$89,3,0)*0.475*44/12</f>
        <v>18.20218021773589</v>
      </c>
      <c r="BR72" s="21">
        <f>EXP(-LN(2)/2)*BR71+(1-EXP(-LN(2)/2))/(LN(2)/2)*BL72*BO72*VLOOKUP('Données projet'!$B$11,Paramètres!$A$1:$I$89,3,0)*0.475*44/12</f>
        <v>0.76233371273037975</v>
      </c>
      <c r="BS72" s="22">
        <f t="shared" si="63"/>
        <v>52.966044729947043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16.234999999999999</v>
      </c>
      <c r="N73" s="13">
        <f>IF('Données projet'!$A$36&gt;35,N72+M73-V72,IF(A73&lt;'Données projet'!$A$36,$K$205^A73,IF(A73='Données projet'!$A$36,'Données projet'!$B$36,N72+M73-V72)))</f>
        <v>455.11499999999955</v>
      </c>
      <c r="O73" s="13">
        <f>N73*VLOOKUP('Données projet'!$B$9,Paramètres!$A$1:$I$89,3,0)*VLOOKUP('Données projet'!$B$9,Paramètres!$A$1:$I$89,5,0)</f>
        <v>212.99381999999977</v>
      </c>
      <c r="P73" s="13">
        <f t="shared" si="87"/>
        <v>52.589270729145341</v>
      </c>
      <c r="Q73" s="20">
        <f t="shared" si="54"/>
        <v>462.55721635326108</v>
      </c>
      <c r="R73" s="59">
        <f t="shared" si="55"/>
        <v>755.89054968659434</v>
      </c>
      <c r="S73" s="59">
        <f ca="1">AVERAGE(OFFSET($R$3,0,0,'Données projet'!$E$9+1,1))-AVERAGE(OFFSET($H$3,0,0,'Données projet'!$E$9+1,1))</f>
        <v>263.84804661819163</v>
      </c>
      <c r="T73" s="59">
        <f t="shared" si="88"/>
        <v>271.81541836379307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62.178138309438133</v>
      </c>
      <c r="AA73" s="21">
        <f>EXP(-LN(2)/25)*AA72+(1-EXP(-LN(2)/25))/(LN(2)/25)*Calculateur!V73*Calculateur!X73*VLOOKUP('Données projet'!$B$9,Paramètres!$A$1:$I$89,3,0)*0.475*44/12</f>
        <v>17.819759421028742</v>
      </c>
      <c r="AB73" s="21">
        <f>EXP(-LN(2)/2)*AB72+(1-EXP(-LN(2)/2))/(LN(2)/2)*V73*Y73*VLOOKUP('Données projet'!$B$9,Paramètres!$A$1:$I$89,3,0)*0.475*44/12</f>
        <v>0.82354993363412299</v>
      </c>
      <c r="AC73" s="22">
        <f t="shared" si="57"/>
        <v>80.821447664101001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490.07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490.06999999999977</v>
      </c>
      <c r="AJ73" s="13">
        <f>AI73*VLOOKUP('Données projet'!$B$10,Paramètres!$A$1:$I$89,3,0)*VLOOKUP('Données projet'!$B$10,Paramètres!$A$1:$I$89,5,0)</f>
        <v>293.06185999999991</v>
      </c>
      <c r="AK73" s="13">
        <f t="shared" si="89"/>
        <v>69.719988019761743</v>
      </c>
      <c r="AL73" s="20">
        <f t="shared" si="58"/>
        <v>631.84505196775149</v>
      </c>
      <c r="AM73" s="59">
        <f t="shared" si="59"/>
        <v>925.17838530108475</v>
      </c>
      <c r="AN73" s="59">
        <f ca="1">AVERAGE(OFFSET($AM$3,0,0,'Données projet'!$E$10+1,1))-AVERAGE(OFFSET($H$3,0,0,'Données projet'!$E$10+1,1))</f>
        <v>270.04187128233121</v>
      </c>
      <c r="AO73" s="59">
        <f t="shared" si="90"/>
        <v>183.82555940776064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0.27</v>
      </c>
      <c r="AS73" s="16">
        <f>IF(ISNA(VLOOKUP(A73,'Données projet'!$A$61:$I$81,6,0)),0%,VLOOKUP(A73,'Données projet'!$A$61:$I$81,6,0)*VLOOKUP('Données projet'!$B$10,Paramètres!$A$1:$I$89,7,0))</f>
        <v>9.0000000000000011E-2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51.056868378126822</v>
      </c>
      <c r="AV73" s="21">
        <f>EXP(-LN(2)/25)*AV72+(1-EXP(-LN(2)/25))/(LN(2)/25)*Calculateur!AQ73*Calculateur!AS73*VLOOKUP('Données projet'!$B$10,Paramètres!$A$1:$I$89,3,0)*0.475*44/12</f>
        <v>19.479438924117112</v>
      </c>
      <c r="AW73" s="21">
        <f>EXP(-LN(2)/2)*AW72+(1-EXP(-LN(2)/2))/(LN(2)/2)*AQ73*AT73*VLOOKUP('Données projet'!$B$10,Paramètres!$A$1:$I$89,3,0)*0.475*44/12</f>
        <v>9.4972577266937765</v>
      </c>
      <c r="AX73" s="21">
        <f t="shared" si="60"/>
        <v>80.033565028937701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10.513</v>
      </c>
      <c r="BD73" s="12">
        <f>IF('Données projet'!$A$88&gt;35,BD72+BC73-BL72,IF(A73&lt;'Données projet'!$A$88,$BA$205^A73,IF(A73='Données projet'!$A$88,'Données projet'!$B$88,BD72+BC73-BL72)))</f>
        <v>431.3239999999999</v>
      </c>
      <c r="BE73" s="13">
        <f>BD73*VLOOKUP('Données projet'!$B$11,Paramètres!$A$1:$I$89,3,0)*VLOOKUP('Données projet'!$B$11,Paramètres!$A$1:$I$89,5,0)</f>
        <v>241.11011599999995</v>
      </c>
      <c r="BF73" s="13">
        <f t="shared" si="91"/>
        <v>58.678313159507468</v>
      </c>
      <c r="BG73" s="20">
        <f t="shared" si="61"/>
        <v>522.13151411947536</v>
      </c>
      <c r="BH73" s="59">
        <f t="shared" si="62"/>
        <v>815.46484745280873</v>
      </c>
      <c r="BI73" s="59">
        <f ca="1">AVERAGE(OFFSET($BH$3,0,0,'Données projet'!$E$11+1,1))-AVERAGE(OFFSET($H$3,0,0,'Données projet'!$E$11+1,1))</f>
        <v>293.82673322742102</v>
      </c>
      <c r="BJ73" s="59">
        <f t="shared" si="92"/>
        <v>138.78566015867693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33.33478151938894</v>
      </c>
      <c r="BQ73" s="21">
        <f>EXP(-LN(2)/25)*BQ72+(1-EXP(-LN(2)/25))/(LN(2)/25)*Calculateur!BL73*Calculateur!BN73*VLOOKUP('Données projet'!$B$11,Paramètres!$A$1:$I$89,3,0)*0.475*44/12</f>
        <v>17.704440642470846</v>
      </c>
      <c r="BR73" s="21">
        <f>EXP(-LN(2)/2)*BR72+(1-EXP(-LN(2)/2))/(LN(2)/2)*BL73*BO73*VLOOKUP('Données projet'!$B$11,Paramètres!$A$1:$I$89,3,0)*0.475*44/12</f>
        <v>0.53905133779876901</v>
      </c>
      <c r="BS73" s="22">
        <f t="shared" si="63"/>
        <v>51.57827349965855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471.35</v>
      </c>
      <c r="L74" s="12">
        <f>VLOOKUP(A74,'Données projet'!$A$35:$I$55,9,0)</f>
        <v>16.234999999999999</v>
      </c>
      <c r="M74" s="12">
        <f t="array" ref="M74">INDEX(L:L,MIN(IF(ISNUMBER(L74:L270),ROW(L74:L270),"")))</f>
        <v>16.234999999999999</v>
      </c>
      <c r="N74" s="13">
        <f>IF('Données projet'!$A$36&gt;35,N73+M74-V73,IF(A74&lt;'Données projet'!$A$36,$K$205^A74,IF(A74='Données projet'!$A$36,'Données projet'!$B$36,N73+M74-V73)))</f>
        <v>471.34999999999957</v>
      </c>
      <c r="O74" s="13">
        <f>N74*VLOOKUP('Données projet'!$B$9,Paramètres!$A$1:$I$89,3,0)*VLOOKUP('Données projet'!$B$9,Paramètres!$A$1:$I$89,5,0)</f>
        <v>220.59179999999981</v>
      </c>
      <c r="P74" s="13">
        <f t="shared" si="87"/>
        <v>54.243490409514202</v>
      </c>
      <c r="Q74" s="20">
        <f t="shared" si="54"/>
        <v>478.67146412990354</v>
      </c>
      <c r="R74" s="59">
        <f t="shared" si="55"/>
        <v>772.00479746323686</v>
      </c>
      <c r="S74" s="59">
        <f ca="1">AVERAGE(OFFSET($R$3,0,0,'Données projet'!$E$9+1,1))-AVERAGE(OFFSET($H$3,0,0,'Données projet'!$E$9+1,1))</f>
        <v>263.84804661819163</v>
      </c>
      <c r="T74" s="59">
        <f t="shared" si="88"/>
        <v>271.81541836379307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91.730000000000018</v>
      </c>
      <c r="W74" s="16">
        <f>IF(ISNA(VLOOKUP(A74,'Données projet'!$A$35:$I$55,5,0)),0%,VLOOKUP(A74,'Données projet'!$A$35:$I$55,5,0)*VLOOKUP('Données projet'!$B$9,Paramètres!$A$1:$I$89,7,0))</f>
        <v>0.33</v>
      </c>
      <c r="X74" s="16">
        <f>IF(ISNA(VLOOKUP(A74,'Données projet'!$A$35:$I$55,6,0)),0%,VLOOKUP(A74,'Données projet'!$A$35:$I$55,6,0)*VLOOKUP('Données projet'!$B$9,Paramètres!$A$1:$I$89,7,0))</f>
        <v>0.11000000000000001</v>
      </c>
      <c r="Y74" s="16">
        <f>IF(ISNA(VLOOKUP(A74,'Données projet'!$A$35:$I$55,7,0)),0%,VLOOKUP(A74,'Données projet'!$A$35:$I$55,7,0))</f>
        <v>0.2</v>
      </c>
      <c r="Z74" s="21">
        <f>EXP(-LN(2)/35)*Z73+(1-EXP(-LN(2)/35))/(LN(2)/35)*V74*W74*VLOOKUP('Données projet'!$B$9,Paramètres!$A$1:$I$89,3,0)*0.475*44/12</f>
        <v>79.75201133001876</v>
      </c>
      <c r="AA74" s="21">
        <f>EXP(-LN(2)/25)*AA73+(1-EXP(-LN(2)/25))/(LN(2)/25)*Calculateur!V74*Calculateur!X74*VLOOKUP('Données projet'!$B$9,Paramètres!$A$1:$I$89,3,0)*0.475*44/12</f>
        <v>23.572194696545289</v>
      </c>
      <c r="AB74" s="21">
        <f>EXP(-LN(2)/2)*AB73+(1-EXP(-LN(2)/2))/(LN(2)/2)*V74*Y74*VLOOKUP('Données projet'!$B$9,Paramètres!$A$1:$I$89,3,0)*0.475*44/12</f>
        <v>10.303602728555234</v>
      </c>
      <c r="AC74" s="22">
        <f t="shared" si="57"/>
        <v>113.62780875511928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9.7839999999999971</v>
      </c>
      <c r="AI74" s="13">
        <f>IF('Données projet'!$A$62&gt;35,AI73+AH74-AQ73,IF(A74&lt;'Données projet'!$A$62,$AF$205^A74,IF(A74='Données projet'!$A$62,'Données projet'!$B$62,AI73+AH74-AQ73)))</f>
        <v>431.97399999999976</v>
      </c>
      <c r="AJ74" s="13">
        <f>AI74*VLOOKUP('Données projet'!$B$10,Paramètres!$A$1:$I$89,3,0)*VLOOKUP('Données projet'!$B$10,Paramètres!$A$1:$I$89,5,0)</f>
        <v>258.32045199999988</v>
      </c>
      <c r="AK74" s="13">
        <f t="shared" si="89"/>
        <v>62.364231271731597</v>
      </c>
      <c r="AL74" s="20">
        <f t="shared" si="58"/>
        <v>558.52582336493231</v>
      </c>
      <c r="AM74" s="59">
        <f t="shared" si="59"/>
        <v>851.85915669826568</v>
      </c>
      <c r="AN74" s="59">
        <f ca="1">AVERAGE(OFFSET($AM$3,0,0,'Données projet'!$E$10+1,1))-AVERAGE(OFFSET($H$3,0,0,'Données projet'!$E$10+1,1))</f>
        <v>270.04187128233121</v>
      </c>
      <c r="AO74" s="59">
        <f t="shared" si="90"/>
        <v>183.82555940776064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50.055674330846486</v>
      </c>
      <c r="AV74" s="21">
        <f>EXP(-LN(2)/25)*AV73+(1-EXP(-LN(2)/25))/(LN(2)/25)*Calculateur!AQ74*Calculateur!AS74*VLOOKUP('Données projet'!$B$10,Paramètres!$A$1:$I$89,3,0)*0.475*44/12</f>
        <v>18.946772642357956</v>
      </c>
      <c r="AW74" s="21">
        <f>EXP(-LN(2)/2)*AW73+(1-EXP(-LN(2)/2))/(LN(2)/2)*AQ74*AT74*VLOOKUP('Données projet'!$B$10,Paramètres!$A$1:$I$89,3,0)*0.475*44/12</f>
        <v>6.7155753412215047</v>
      </c>
      <c r="AX74" s="21">
        <f t="shared" si="60"/>
        <v>75.718022314425951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10.513</v>
      </c>
      <c r="BD74" s="12">
        <f>IF('Données projet'!$A$88&gt;35,BD73+BC74-BL73,IF(A74&lt;'Données projet'!$A$88,$BA$205^A74,IF(A74='Données projet'!$A$88,'Données projet'!$B$88,BD73+BC74-BL73)))</f>
        <v>441.83699999999988</v>
      </c>
      <c r="BE74" s="13">
        <f>BD74*VLOOKUP('Données projet'!$B$11,Paramètres!$A$1:$I$89,3,0)*VLOOKUP('Données projet'!$B$11,Paramètres!$A$1:$I$89,5,0)</f>
        <v>246.98688299999995</v>
      </c>
      <c r="BF74" s="13">
        <f t="shared" si="91"/>
        <v>59.940272565748288</v>
      </c>
      <c r="BG74" s="20">
        <f t="shared" si="61"/>
        <v>534.56479594367818</v>
      </c>
      <c r="BH74" s="59">
        <f t="shared" si="62"/>
        <v>827.89812927701155</v>
      </c>
      <c r="BI74" s="59">
        <f ca="1">AVERAGE(OFFSET($BH$3,0,0,'Données projet'!$E$11+1,1))-AVERAGE(OFFSET($H$3,0,0,'Données projet'!$E$11+1,1))</f>
        <v>293.82673322742102</v>
      </c>
      <c r="BJ74" s="59">
        <f t="shared" si="92"/>
        <v>138.78566015867693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32.681106786002815</v>
      </c>
      <c r="BQ74" s="21">
        <f>EXP(-LN(2)/25)*BQ73+(1-EXP(-LN(2)/25))/(LN(2)/25)*Calculateur!BL74*Calculateur!BN74*VLOOKUP('Données projet'!$B$11,Paramètres!$A$1:$I$89,3,0)*0.475*44/12</f>
        <v>17.22031178206641</v>
      </c>
      <c r="BR74" s="21">
        <f>EXP(-LN(2)/2)*BR73+(1-EXP(-LN(2)/2))/(LN(2)/2)*BL74*BO74*VLOOKUP('Données projet'!$B$11,Paramètres!$A$1:$I$89,3,0)*0.475*44/12</f>
        <v>0.38116685636518988</v>
      </c>
      <c r="BS74" s="22">
        <f t="shared" si="63"/>
        <v>50.282585424434416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15.299999999999997</v>
      </c>
      <c r="N75" s="13">
        <f>IF('Données projet'!$A$36&gt;35,N74+M75-V74,IF(A75&lt;'Données projet'!$A$36,$K$205^A75,IF(A75='Données projet'!$A$36,'Données projet'!$B$36,N74+M75-V74)))</f>
        <v>394.91999999999956</v>
      </c>
      <c r="O75" s="13">
        <f>N75*VLOOKUP('Données projet'!$B$9,Paramètres!$A$1:$I$89,3,0)*VLOOKUP('Données projet'!$B$9,Paramètres!$A$1:$I$89,5,0)</f>
        <v>184.82255999999978</v>
      </c>
      <c r="P75" s="13">
        <f t="shared" si="87"/>
        <v>46.393460348969036</v>
      </c>
      <c r="Q75" s="20">
        <f t="shared" si="54"/>
        <v>402.70123544112067</v>
      </c>
      <c r="R75" s="59">
        <f t="shared" si="55"/>
        <v>696.03456877445399</v>
      </c>
      <c r="S75" s="59">
        <f ca="1">AVERAGE(OFFSET($R$3,0,0,'Données projet'!$E$9+1,1))-AVERAGE(OFFSET($H$3,0,0,'Données projet'!$E$9+1,1))</f>
        <v>263.84804661819163</v>
      </c>
      <c r="T75" s="59">
        <f t="shared" si="88"/>
        <v>271.81541836379307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78.18812303176081</v>
      </c>
      <c r="AA75" s="21">
        <f>EXP(-LN(2)/25)*AA74+(1-EXP(-LN(2)/25))/(LN(2)/25)*Calculateur!V75*Calculateur!X75*VLOOKUP('Données projet'!$B$9,Paramètres!$A$1:$I$89,3,0)*0.475*44/12</f>
        <v>22.927611792960413</v>
      </c>
      <c r="AB75" s="21">
        <f>EXP(-LN(2)/2)*AB74+(1-EXP(-LN(2)/2))/(LN(2)/2)*V75*Y75*VLOOKUP('Données projet'!$B$9,Paramètres!$A$1:$I$89,3,0)*0.475*44/12</f>
        <v>7.2857473600136204</v>
      </c>
      <c r="AC75" s="22">
        <f t="shared" si="57"/>
        <v>108.40148218473483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9.7839999999999971</v>
      </c>
      <c r="AI75" s="13">
        <f>IF('Données projet'!$A$62&gt;35,AI74+AH75-AQ74,IF(A75&lt;'Données projet'!$A$62,$AF$205^A75,IF(A75='Données projet'!$A$62,'Données projet'!$B$62,AI74+AH75-AQ74)))</f>
        <v>441.75799999999975</v>
      </c>
      <c r="AJ75" s="13">
        <f>AI75*VLOOKUP('Données projet'!$B$10,Paramètres!$A$1:$I$89,3,0)*VLOOKUP('Données projet'!$B$10,Paramètres!$A$1:$I$89,5,0)</f>
        <v>264.1712839999999</v>
      </c>
      <c r="AK75" s="13">
        <f t="shared" si="89"/>
        <v>63.610701832955151</v>
      </c>
      <c r="AL75" s="20">
        <f t="shared" si="58"/>
        <v>570.88695865906334</v>
      </c>
      <c r="AM75" s="59">
        <f t="shared" si="59"/>
        <v>864.2202919923966</v>
      </c>
      <c r="AN75" s="59">
        <f ca="1">AVERAGE(OFFSET($AM$3,0,0,'Données projet'!$E$10+1,1))-AVERAGE(OFFSET($H$3,0,0,'Données projet'!$E$10+1,1))</f>
        <v>270.04187128233121</v>
      </c>
      <c r="AO75" s="59">
        <f t="shared" si="90"/>
        <v>183.82555940776064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49.074113088165248</v>
      </c>
      <c r="AV75" s="21">
        <f>EXP(-LN(2)/25)*AV74+(1-EXP(-LN(2)/25))/(LN(2)/25)*Calculateur!AQ75*Calculateur!AS75*VLOOKUP('Données projet'!$B$10,Paramètres!$A$1:$I$89,3,0)*0.475*44/12</f>
        <v>18.428672148085209</v>
      </c>
      <c r="AW75" s="21">
        <f>EXP(-LN(2)/2)*AW74+(1-EXP(-LN(2)/2))/(LN(2)/2)*AQ75*AT75*VLOOKUP('Données projet'!$B$10,Paramètres!$A$1:$I$89,3,0)*0.475*44/12</f>
        <v>4.7486288633468892</v>
      </c>
      <c r="AX75" s="21">
        <f t="shared" si="60"/>
        <v>72.251414099597355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452.35</v>
      </c>
      <c r="BB75" s="12">
        <f>VLOOKUP(A75,'Données projet'!$A$87:$I$107,9,0)</f>
        <v>10.513</v>
      </c>
      <c r="BC75" s="12">
        <f t="array" ref="BC75">INDEX(BB:BB,MIN(IF(ISNUMBER(BB75:BB271),ROW(BB75:BB271),"")))</f>
        <v>10.513</v>
      </c>
      <c r="BD75" s="12">
        <f>IF('Données projet'!$A$88&gt;35,BD74+BC75-BL74,IF(A75&lt;'Données projet'!$A$88,$BA$205^A75,IF(A75='Données projet'!$A$88,'Données projet'!$B$88,BD74+BC75-BL74)))</f>
        <v>452.34999999999985</v>
      </c>
      <c r="BE75" s="13">
        <f>BD75*VLOOKUP('Données projet'!$B$11,Paramètres!$A$1:$I$89,3,0)*VLOOKUP('Données projet'!$B$11,Paramètres!$A$1:$I$89,5,0)</f>
        <v>252.86364999999992</v>
      </c>
      <c r="BF75" s="13">
        <f t="shared" si="91"/>
        <v>61.198741332579473</v>
      </c>
      <c r="BG75" s="20">
        <f t="shared" si="61"/>
        <v>546.99199823757579</v>
      </c>
      <c r="BH75" s="59">
        <f t="shared" si="62"/>
        <v>840.32533157090916</v>
      </c>
      <c r="BI75" s="59">
        <f ca="1">AVERAGE(OFFSET($BH$3,0,0,'Données projet'!$E$11+1,1))-AVERAGE(OFFSET($H$3,0,0,'Données projet'!$E$11+1,1))</f>
        <v>293.82673322742102</v>
      </c>
      <c r="BJ75" s="59">
        <f t="shared" si="92"/>
        <v>138.78566015867693</v>
      </c>
      <c r="BK75" s="15">
        <f>IF(ISNA(VLOOKUP(A75,'Données projet'!$A$87:$I$107,3,0)),0,VLOOKUP(A75,'Données projet'!$A$87:$I$107,3,0))</f>
        <v>5</v>
      </c>
      <c r="BL75" s="15">
        <f>IF(ISNA(VLOOKUP(A75,'Données projet'!$A$87:$I$107,4,0)),0,VLOOKUP(A75,'Données projet'!$A$87:$I$107,4,0))</f>
        <v>64.210000000000036</v>
      </c>
      <c r="BM75" s="16">
        <f>IF(ISNA(VLOOKUP(A75,'Données projet'!$A$87:$I$107,5,0)),0%,VLOOKUP(A75,'Données projet'!$A$87:$I$107,5,0)*VLOOKUP('Données projet'!$B$11,Paramètres!$A$1:$I$89,7,0))</f>
        <v>0.33</v>
      </c>
      <c r="BN75" s="16">
        <f>IF(ISNA(VLOOKUP(A75,'Données projet'!$A$87:$I$107,6,0)),0%,VLOOKUP(A75,'Données projet'!$A$87:$I$107,6,0)*VLOOKUP('Données projet'!$B$11,Paramètres!$A$1:$I$89,7,0))</f>
        <v>0.11000000000000001</v>
      </c>
      <c r="BO75" s="16">
        <f>IF(ISNA(VLOOKUP(A75,'Données projet'!$A$87:$I$107,7,0)),0%,VLOOKUP(A75,'Données projet'!$A$87:$I$107,7,0))</f>
        <v>0.2</v>
      </c>
      <c r="BP75" s="21">
        <f>EXP(-LN(2)/35)*BP74+(1-EXP(-LN(2)/35))/(LN(2)/35)*BL75*BM75*VLOOKUP('Données projet'!$B$11,Paramètres!$A$1:$I$89,3,0)*0.475*44/12</f>
        <v>47.753165683981763</v>
      </c>
      <c r="BQ75" s="21">
        <f>EXP(-LN(2)/25)*BQ74+(1-EXP(-LN(2)/25))/(LN(2)/25)*Calculateur!BL75*Calculateur!BN75*VLOOKUP('Données projet'!$B$11,Paramètres!$A$1:$I$89,3,0)*0.475*44/12</f>
        <v>21.966437361894219</v>
      </c>
      <c r="BR75" s="21">
        <f>EXP(-LN(2)/2)*BR74+(1-EXP(-LN(2)/2))/(LN(2)/2)*BL75*BO75*VLOOKUP('Données projet'!$B$11,Paramètres!$A$1:$I$89,3,0)*0.475*44/12</f>
        <v>8.3974567540420839</v>
      </c>
      <c r="BS75" s="22">
        <f t="shared" si="63"/>
        <v>78.117059799918067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15.299999999999997</v>
      </c>
      <c r="N76" s="13">
        <f>IF('Données projet'!$A$36&gt;35,N75+M76-V75,IF(A76&lt;'Données projet'!$A$36,$K$205^A76,IF(A76='Données projet'!$A$36,'Données projet'!$B$36,N75+M76-V75)))</f>
        <v>410.21999999999957</v>
      </c>
      <c r="O76" s="13">
        <f>N76*VLOOKUP('Données projet'!$B$9,Paramètres!$A$1:$I$89,3,0)*VLOOKUP('Données projet'!$B$9,Paramètres!$A$1:$I$89,5,0)</f>
        <v>191.98295999999979</v>
      </c>
      <c r="P76" s="13">
        <f t="shared" si="87"/>
        <v>47.978091889278183</v>
      </c>
      <c r="Q76" s="20">
        <f t="shared" si="54"/>
        <v>417.93216537382574</v>
      </c>
      <c r="R76" s="59">
        <f t="shared" si="55"/>
        <v>711.26549870715905</v>
      </c>
      <c r="S76" s="59">
        <f ca="1">AVERAGE(OFFSET($R$3,0,0,'Données projet'!$E$9+1,1))-AVERAGE(OFFSET($H$3,0,0,'Données projet'!$E$9+1,1))</f>
        <v>263.84804661819163</v>
      </c>
      <c r="T76" s="59">
        <f t="shared" si="88"/>
        <v>271.81541836379307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76.654901629154025</v>
      </c>
      <c r="AA76" s="21">
        <f>EXP(-LN(2)/25)*AA75+(1-EXP(-LN(2)/25))/(LN(2)/25)*Calculateur!V76*Calculateur!X76*VLOOKUP('Données projet'!$B$9,Paramètres!$A$1:$I$89,3,0)*0.475*44/12</f>
        <v>22.300655042771208</v>
      </c>
      <c r="AB76" s="21">
        <f>EXP(-LN(2)/2)*AB75+(1-EXP(-LN(2)/2))/(LN(2)/2)*V76*Y76*VLOOKUP('Données projet'!$B$9,Paramètres!$A$1:$I$89,3,0)*0.475*44/12</f>
        <v>5.1518013642776177</v>
      </c>
      <c r="AC76" s="22">
        <f t="shared" si="57"/>
        <v>104.10735803620285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9.7839999999999971</v>
      </c>
      <c r="AI76" s="13">
        <f>IF('Données projet'!$A$62&gt;35,AI75+AH76-AQ75,IF(A76&lt;'Données projet'!$A$62,$AF$205^A76,IF(A76='Données projet'!$A$62,'Données projet'!$B$62,AI75+AH76-AQ75)))</f>
        <v>451.54199999999975</v>
      </c>
      <c r="AJ76" s="13">
        <f>AI76*VLOOKUP('Données projet'!$B$10,Paramètres!$A$1:$I$89,3,0)*VLOOKUP('Données projet'!$B$10,Paramètres!$A$1:$I$89,5,0)</f>
        <v>270.02211599999987</v>
      </c>
      <c r="AK76" s="13">
        <f t="shared" si="89"/>
        <v>64.853962838834434</v>
      </c>
      <c r="AL76" s="20">
        <f t="shared" si="58"/>
        <v>583.24250397763637</v>
      </c>
      <c r="AM76" s="59">
        <f t="shared" si="59"/>
        <v>876.57583731096975</v>
      </c>
      <c r="AN76" s="59">
        <f ca="1">AVERAGE(OFFSET($AM$3,0,0,'Données projet'!$E$10+1,1))-AVERAGE(OFFSET($H$3,0,0,'Données projet'!$E$10+1,1))</f>
        <v>270.04187128233121</v>
      </c>
      <c r="AO76" s="59">
        <f t="shared" si="90"/>
        <v>183.82555940776064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48.111799662759744</v>
      </c>
      <c r="AV76" s="21">
        <f>EXP(-LN(2)/25)*AV75+(1-EXP(-LN(2)/25))/(LN(2)/25)*Calculateur!AQ76*Calculateur!AS76*VLOOKUP('Données projet'!$B$10,Paramètres!$A$1:$I$89,3,0)*0.475*44/12</f>
        <v>17.92473913907407</v>
      </c>
      <c r="AW76" s="21">
        <f>EXP(-LN(2)/2)*AW75+(1-EXP(-LN(2)/2))/(LN(2)/2)*AQ76*AT76*VLOOKUP('Données projet'!$B$10,Paramètres!$A$1:$I$89,3,0)*0.475*44/12</f>
        <v>3.3577876706107528</v>
      </c>
      <c r="AX76" s="21">
        <f t="shared" si="60"/>
        <v>69.394326472444561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8.8608333333333373</v>
      </c>
      <c r="BD76" s="12">
        <f>IF('Données projet'!$A$88&gt;35,BD75+BC76-BL75,IF(A76&lt;'Données projet'!$A$88,$BA$205^A76,IF(A76='Données projet'!$A$88,'Données projet'!$B$88,BD75+BC76-BL75)))</f>
        <v>397.00083333333316</v>
      </c>
      <c r="BE76" s="13">
        <f>BD76*VLOOKUP('Données projet'!$B$11,Paramètres!$A$1:$I$89,3,0)*VLOOKUP('Données projet'!$B$11,Paramètres!$A$1:$I$89,5,0)</f>
        <v>221.92346583333324</v>
      </c>
      <c r="BF76" s="13">
        <f t="shared" si="91"/>
        <v>54.532729479689259</v>
      </c>
      <c r="BG76" s="20">
        <f t="shared" si="61"/>
        <v>481.49454017018076</v>
      </c>
      <c r="BH76" s="59">
        <f t="shared" si="62"/>
        <v>774.82787350351407</v>
      </c>
      <c r="BI76" s="59">
        <f ca="1">AVERAGE(OFFSET($BH$3,0,0,'Données projet'!$E$11+1,1))-AVERAGE(OFFSET($H$3,0,0,'Données projet'!$E$11+1,1))</f>
        <v>293.82673322742102</v>
      </c>
      <c r="BJ76" s="59">
        <f t="shared" si="92"/>
        <v>138.78566015867693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46.816755231473941</v>
      </c>
      <c r="BQ76" s="21">
        <f>EXP(-LN(2)/25)*BQ75+(1-EXP(-LN(2)/25))/(LN(2)/25)*Calculateur!BL76*Calculateur!BN76*VLOOKUP('Données projet'!$B$11,Paramètres!$A$1:$I$89,3,0)*0.475*44/12</f>
        <v>21.365763977068486</v>
      </c>
      <c r="BR76" s="21">
        <f>EXP(-LN(2)/2)*BR75+(1-EXP(-LN(2)/2))/(LN(2)/2)*BL76*BO76*VLOOKUP('Données projet'!$B$11,Paramètres!$A$1:$I$89,3,0)*0.475*44/12</f>
        <v>5.9378986155039319</v>
      </c>
      <c r="BS76" s="22">
        <f t="shared" si="63"/>
        <v>74.120417824046356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15.299999999999997</v>
      </c>
      <c r="N77" s="13">
        <f>IF('Données projet'!$A$36&gt;35,N76+M77-V76,IF(A77&lt;'Données projet'!$A$36,$K$205^A77,IF(A77='Données projet'!$A$36,'Données projet'!$B$36,N76+M77-V76)))</f>
        <v>425.51999999999958</v>
      </c>
      <c r="O77" s="13">
        <f>N77*VLOOKUP('Données projet'!$B$9,Paramètres!$A$1:$I$89,3,0)*VLOOKUP('Données projet'!$B$9,Paramètres!$A$1:$I$89,5,0)</f>
        <v>199.1433599999998</v>
      </c>
      <c r="P77" s="13">
        <f t="shared" si="87"/>
        <v>49.555857175564874</v>
      </c>
      <c r="Q77" s="20">
        <f t="shared" si="54"/>
        <v>433.15113658077513</v>
      </c>
      <c r="R77" s="59">
        <f t="shared" si="55"/>
        <v>726.48446991410844</v>
      </c>
      <c r="S77" s="59">
        <f ca="1">AVERAGE(OFFSET($R$3,0,0,'Données projet'!$E$9+1,1))-AVERAGE(OFFSET($H$3,0,0,'Données projet'!$E$9+1,1))</f>
        <v>263.84804661819163</v>
      </c>
      <c r="T77" s="59">
        <f t="shared" si="88"/>
        <v>271.81541836379307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75.151745763079646</v>
      </c>
      <c r="AA77" s="21">
        <f>EXP(-LN(2)/25)*AA76+(1-EXP(-LN(2)/25))/(LN(2)/25)*Calculateur!V77*Calculateur!X77*VLOOKUP('Données projet'!$B$9,Paramètres!$A$1:$I$89,3,0)*0.475*44/12</f>
        <v>21.690842457886149</v>
      </c>
      <c r="AB77" s="21">
        <f>EXP(-LN(2)/2)*AB76+(1-EXP(-LN(2)/2))/(LN(2)/2)*V77*Y77*VLOOKUP('Données projet'!$B$9,Paramètres!$A$1:$I$89,3,0)*0.475*44/12</f>
        <v>3.6428736800068107</v>
      </c>
      <c r="AC77" s="22">
        <f t="shared" si="57"/>
        <v>100.48546190097261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9.7839999999999971</v>
      </c>
      <c r="AI77" s="13">
        <f>IF('Données projet'!$A$62&gt;35,AI76+AH77-AQ76,IF(A77&lt;'Données projet'!$A$62,$AF$205^A77,IF(A77='Données projet'!$A$62,'Données projet'!$B$62,AI76+AH77-AQ76)))</f>
        <v>461.32599999999974</v>
      </c>
      <c r="AJ77" s="13">
        <f>AI77*VLOOKUP('Données projet'!$B$10,Paramètres!$A$1:$I$89,3,0)*VLOOKUP('Données projet'!$B$10,Paramètres!$A$1:$I$89,5,0)</f>
        <v>275.87294799999984</v>
      </c>
      <c r="AK77" s="13">
        <f t="shared" si="89"/>
        <v>66.094091843346078</v>
      </c>
      <c r="AL77" s="20">
        <f t="shared" si="58"/>
        <v>595.59259439382743</v>
      </c>
      <c r="AM77" s="59">
        <f t="shared" si="59"/>
        <v>888.9259277271608</v>
      </c>
      <c r="AN77" s="59">
        <f ca="1">AVERAGE(OFFSET($AM$3,0,0,'Données projet'!$E$10+1,1))-AVERAGE(OFFSET($H$3,0,0,'Données projet'!$E$10+1,1))</f>
        <v>270.04187128233121</v>
      </c>
      <c r="AO77" s="59">
        <f t="shared" si="90"/>
        <v>183.82555940776064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47.168356616673215</v>
      </c>
      <c r="AV77" s="21">
        <f>EXP(-LN(2)/25)*AV76+(1-EXP(-LN(2)/25))/(LN(2)/25)*Calculateur!AQ77*Calculateur!AS77*VLOOKUP('Données projet'!$B$10,Paramètres!$A$1:$I$89,3,0)*0.475*44/12</f>
        <v>17.434586204695027</v>
      </c>
      <c r="AW77" s="21">
        <f>EXP(-LN(2)/2)*AW76+(1-EXP(-LN(2)/2))/(LN(2)/2)*AQ77*AT77*VLOOKUP('Données projet'!$B$10,Paramètres!$A$1:$I$89,3,0)*0.475*44/12</f>
        <v>2.374314431673445</v>
      </c>
      <c r="AX77" s="21">
        <f t="shared" si="60"/>
        <v>66.977257253041685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8.8608333333333373</v>
      </c>
      <c r="BD77" s="12">
        <f>IF('Données projet'!$A$88&gt;35,BD76+BC77-BL76,IF(A77&lt;'Données projet'!$A$88,$BA$205^A77,IF(A77='Données projet'!$A$88,'Données projet'!$B$88,BD76+BC77-BL76)))</f>
        <v>405.86166666666651</v>
      </c>
      <c r="BE77" s="13">
        <f>BD77*VLOOKUP('Données projet'!$B$11,Paramètres!$A$1:$I$89,3,0)*VLOOKUP('Données projet'!$B$11,Paramètres!$A$1:$I$89,5,0)</f>
        <v>226.87667166666657</v>
      </c>
      <c r="BF77" s="13">
        <f t="shared" si="91"/>
        <v>55.606808461154522</v>
      </c>
      <c r="BG77" s="20">
        <f t="shared" si="61"/>
        <v>491.99206122262177</v>
      </c>
      <c r="BH77" s="59">
        <f t="shared" si="62"/>
        <v>785.32539455595509</v>
      </c>
      <c r="BI77" s="59">
        <f ca="1">AVERAGE(OFFSET($BH$3,0,0,'Données projet'!$E$11+1,1))-AVERAGE(OFFSET($H$3,0,0,'Données projet'!$E$11+1,1))</f>
        <v>293.82673322742102</v>
      </c>
      <c r="BJ77" s="59">
        <f t="shared" si="92"/>
        <v>138.78566015867693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45.898707216785816</v>
      </c>
      <c r="BQ77" s="21">
        <f>EXP(-LN(2)/25)*BQ76+(1-EXP(-LN(2)/25))/(LN(2)/25)*Calculateur!BL77*Calculateur!BN77*VLOOKUP('Données projet'!$B$11,Paramètres!$A$1:$I$89,3,0)*0.475*44/12</f>
        <v>20.781516037538854</v>
      </c>
      <c r="BR77" s="21">
        <f>EXP(-LN(2)/2)*BR76+(1-EXP(-LN(2)/2))/(LN(2)/2)*BL77*BO77*VLOOKUP('Données projet'!$B$11,Paramètres!$A$1:$I$89,3,0)*0.475*44/12</f>
        <v>4.1987283770210428</v>
      </c>
      <c r="BS77" s="22">
        <f t="shared" si="63"/>
        <v>70.878951631345714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15.299999999999997</v>
      </c>
      <c r="N78" s="13">
        <f>IF('Données projet'!$A$36&gt;35,N77+M78-V77,IF(A78&lt;'Données projet'!$A$36,$K$205^A78,IF(A78='Données projet'!$A$36,'Données projet'!$B$36,N77+M78-V77)))</f>
        <v>440.8199999999996</v>
      </c>
      <c r="O78" s="13">
        <f>N78*VLOOKUP('Données projet'!$B$9,Paramètres!$A$1:$I$89,3,0)*VLOOKUP('Données projet'!$B$9,Paramètres!$A$1:$I$89,5,0)</f>
        <v>206.30375999999981</v>
      </c>
      <c r="P78" s="13">
        <f t="shared" si="87"/>
        <v>51.127031372708522</v>
      </c>
      <c r="Q78" s="20">
        <f t="shared" si="54"/>
        <v>448.35862830746697</v>
      </c>
      <c r="R78" s="59">
        <f t="shared" si="55"/>
        <v>741.69196164080029</v>
      </c>
      <c r="S78" s="59">
        <f ca="1">AVERAGE(OFFSET($R$3,0,0,'Données projet'!$E$9+1,1))-AVERAGE(OFFSET($H$3,0,0,'Données projet'!$E$9+1,1))</f>
        <v>263.84804661819163</v>
      </c>
      <c r="T78" s="59">
        <f t="shared" si="88"/>
        <v>271.81541836379307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73.678065866704443</v>
      </c>
      <c r="AA78" s="21">
        <f>EXP(-LN(2)/25)*AA77+(1-EXP(-LN(2)/25))/(LN(2)/25)*Calculateur!V78*Calculateur!X78*VLOOKUP('Données projet'!$B$9,Paramètres!$A$1:$I$89,3,0)*0.475*44/12</f>
        <v>21.09770523020342</v>
      </c>
      <c r="AB78" s="21">
        <f>EXP(-LN(2)/2)*AB77+(1-EXP(-LN(2)/2))/(LN(2)/2)*V78*Y78*VLOOKUP('Données projet'!$B$9,Paramètres!$A$1:$I$89,3,0)*0.475*44/12</f>
        <v>2.5759006821388093</v>
      </c>
      <c r="AC78" s="22">
        <f t="shared" si="57"/>
        <v>97.351671779046669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9.7839999999999971</v>
      </c>
      <c r="AI78" s="13">
        <f>IF('Données projet'!$A$62&gt;35,AI77+AH78-AQ77,IF(A78&lt;'Données projet'!$A$62,$AF$205^A78,IF(A78='Données projet'!$A$62,'Données projet'!$B$62,AI77+AH78-AQ77)))</f>
        <v>471.10999999999973</v>
      </c>
      <c r="AJ78" s="13">
        <f>AI78*VLOOKUP('Données projet'!$B$10,Paramètres!$A$1:$I$89,3,0)*VLOOKUP('Données projet'!$B$10,Paramètres!$A$1:$I$89,5,0)</f>
        <v>281.72377999999986</v>
      </c>
      <c r="AK78" s="13">
        <f t="shared" si="89"/>
        <v>67.331162922926637</v>
      </c>
      <c r="AL78" s="20">
        <f t="shared" si="58"/>
        <v>607.93735892409688</v>
      </c>
      <c r="AM78" s="59">
        <f t="shared" si="59"/>
        <v>901.27069225743026</v>
      </c>
      <c r="AN78" s="59">
        <f ca="1">AVERAGE(OFFSET($AM$3,0,0,'Données projet'!$E$10+1,1))-AVERAGE(OFFSET($H$3,0,0,'Données projet'!$E$10+1,1))</f>
        <v>270.04187128233121</v>
      </c>
      <c r="AO78" s="59">
        <f t="shared" si="90"/>
        <v>183.82555940776064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46.243413913277003</v>
      </c>
      <c r="AV78" s="21">
        <f>EXP(-LN(2)/25)*AV77+(1-EXP(-LN(2)/25))/(LN(2)/25)*Calculateur!AQ78*Calculateur!AS78*VLOOKUP('Données projet'!$B$10,Paramètres!$A$1:$I$89,3,0)*0.475*44/12</f>
        <v>16.957836528082598</v>
      </c>
      <c r="AW78" s="21">
        <f>EXP(-LN(2)/2)*AW77+(1-EXP(-LN(2)/2))/(LN(2)/2)*AQ78*AT78*VLOOKUP('Données projet'!$B$10,Paramètres!$A$1:$I$89,3,0)*0.475*44/12</f>
        <v>1.6788938353053768</v>
      </c>
      <c r="AX78" s="21">
        <f t="shared" si="60"/>
        <v>64.880144276664979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8.8608333333333373</v>
      </c>
      <c r="BD78" s="12">
        <f>IF('Données projet'!$A$88&gt;35,BD77+BC78-BL77,IF(A78&lt;'Données projet'!$A$88,$BA$205^A78,IF(A78='Données projet'!$A$88,'Données projet'!$B$88,BD77+BC78-BL77)))</f>
        <v>414.72249999999985</v>
      </c>
      <c r="BE78" s="13">
        <f>BD78*VLOOKUP('Données projet'!$B$11,Paramètres!$A$1:$I$89,3,0)*VLOOKUP('Données projet'!$B$11,Paramètres!$A$1:$I$89,5,0)</f>
        <v>231.82987749999992</v>
      </c>
      <c r="BF78" s="13">
        <f t="shared" si="91"/>
        <v>56.678161162427152</v>
      </c>
      <c r="BG78" s="20">
        <f t="shared" si="61"/>
        <v>502.48483400372714</v>
      </c>
      <c r="BH78" s="59">
        <f t="shared" si="62"/>
        <v>795.81816733706046</v>
      </c>
      <c r="BI78" s="59">
        <f ca="1">AVERAGE(OFFSET($BH$3,0,0,'Données projet'!$E$11+1,1))-AVERAGE(OFFSET($H$3,0,0,'Données projet'!$E$11+1,1))</f>
        <v>293.82673322742102</v>
      </c>
      <c r="BJ78" s="59">
        <f t="shared" si="92"/>
        <v>138.78566015867693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44.998661563711728</v>
      </c>
      <c r="BQ78" s="21">
        <f>EXP(-LN(2)/25)*BQ77+(1-EXP(-LN(2)/25))/(LN(2)/25)*Calculateur!BL78*Calculateur!BN78*VLOOKUP('Données projet'!$B$11,Paramètres!$A$1:$I$89,3,0)*0.475*44/12</f>
        <v>20.213244388639922</v>
      </c>
      <c r="BR78" s="21">
        <f>EXP(-LN(2)/2)*BR77+(1-EXP(-LN(2)/2))/(LN(2)/2)*BL78*BO78*VLOOKUP('Données projet'!$B$11,Paramètres!$A$1:$I$89,3,0)*0.475*44/12</f>
        <v>2.9689493077519664</v>
      </c>
      <c r="BS78" s="22">
        <f t="shared" si="63"/>
        <v>68.180855260103627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15.299999999999997</v>
      </c>
      <c r="N79" s="13">
        <f>IF('Données projet'!$A$36&gt;35,N78+M79-V78,IF(A79&lt;'Données projet'!$A$36,$K$205^A79,IF(A79='Données projet'!$A$36,'Données projet'!$B$36,N78+M79-V78)))</f>
        <v>456.11999999999961</v>
      </c>
      <c r="O79" s="13">
        <f>N79*VLOOKUP('Données projet'!$B$9,Paramètres!$A$1:$I$89,3,0)*VLOOKUP('Données projet'!$B$9,Paramètres!$A$1:$I$89,5,0)</f>
        <v>213.46415999999979</v>
      </c>
      <c r="P79" s="13">
        <f t="shared" si="87"/>
        <v>52.691869461482199</v>
      </c>
      <c r="Q79" s="20">
        <f t="shared" si="54"/>
        <v>463.55508464541441</v>
      </c>
      <c r="R79" s="59">
        <f t="shared" si="55"/>
        <v>756.88841797874773</v>
      </c>
      <c r="S79" s="59">
        <f ca="1">AVERAGE(OFFSET($R$3,0,0,'Données projet'!$E$9+1,1))-AVERAGE(OFFSET($H$3,0,0,'Données projet'!$E$9+1,1))</f>
        <v>263.84804661819163</v>
      </c>
      <c r="T79" s="59">
        <f t="shared" si="88"/>
        <v>271.81541836379307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72.233283934241172</v>
      </c>
      <c r="AA79" s="21">
        <f>EXP(-LN(2)/25)*AA78+(1-EXP(-LN(2)/25))/(LN(2)/25)*Calculateur!V79*Calculateur!X79*VLOOKUP('Données projet'!$B$9,Paramètres!$A$1:$I$89,3,0)*0.475*44/12</f>
        <v>20.520787371203408</v>
      </c>
      <c r="AB79" s="21">
        <f>EXP(-LN(2)/2)*AB78+(1-EXP(-LN(2)/2))/(LN(2)/2)*V79*Y79*VLOOKUP('Données projet'!$B$9,Paramètres!$A$1:$I$89,3,0)*0.475*44/12</f>
        <v>1.8214368400034056</v>
      </c>
      <c r="AC79" s="22">
        <f t="shared" si="57"/>
        <v>94.575508145447984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9.7839999999999971</v>
      </c>
      <c r="AI79" s="13">
        <f>IF('Données projet'!$A$62&gt;35,AI78+AH79-AQ78,IF(A79&lt;'Données projet'!$A$62,$AF$205^A79,IF(A79='Données projet'!$A$62,'Données projet'!$B$62,AI78+AH79-AQ78)))</f>
        <v>480.89399999999972</v>
      </c>
      <c r="AJ79" s="13">
        <f>AI79*VLOOKUP('Données projet'!$B$10,Paramètres!$A$1:$I$89,3,0)*VLOOKUP('Données projet'!$B$10,Paramètres!$A$1:$I$89,5,0)</f>
        <v>287.57461199999989</v>
      </c>
      <c r="AK79" s="13">
        <f t="shared" si="89"/>
        <v>68.565246901335968</v>
      </c>
      <c r="AL79" s="20">
        <f t="shared" si="58"/>
        <v>620.27692091982669</v>
      </c>
      <c r="AM79" s="59">
        <f t="shared" si="59"/>
        <v>913.61025425316006</v>
      </c>
      <c r="AN79" s="59">
        <f ca="1">AVERAGE(OFFSET($AM$3,0,0,'Données projet'!$E$10+1,1))-AVERAGE(OFFSET($H$3,0,0,'Données projet'!$E$10+1,1))</f>
        <v>270.04187128233121</v>
      </c>
      <c r="AO79" s="59">
        <f t="shared" si="90"/>
        <v>183.82555940776064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45.336608772135044</v>
      </c>
      <c r="AV79" s="21">
        <f>EXP(-LN(2)/25)*AV78+(1-EXP(-LN(2)/25))/(LN(2)/25)*Calculateur!AQ79*Calculateur!AS79*VLOOKUP('Données projet'!$B$10,Paramètres!$A$1:$I$89,3,0)*0.475*44/12</f>
        <v>16.494123596448315</v>
      </c>
      <c r="AW79" s="21">
        <f>EXP(-LN(2)/2)*AW78+(1-EXP(-LN(2)/2))/(LN(2)/2)*AQ79*AT79*VLOOKUP('Données projet'!$B$10,Paramètres!$A$1:$I$89,3,0)*0.475*44/12</f>
        <v>1.1871572158367227</v>
      </c>
      <c r="AX79" s="21">
        <f t="shared" si="60"/>
        <v>63.017889584420075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8.8608333333333373</v>
      </c>
      <c r="BD79" s="12">
        <f>IF('Données projet'!$A$88&gt;35,BD78+BC79-BL78,IF(A79&lt;'Données projet'!$A$88,$BA$205^A79,IF(A79='Données projet'!$A$88,'Données projet'!$B$88,BD78+BC79-BL78)))</f>
        <v>423.5833333333332</v>
      </c>
      <c r="BE79" s="13">
        <f>BD79*VLOOKUP('Données projet'!$B$11,Paramètres!$A$1:$I$89,3,0)*VLOOKUP('Données projet'!$B$11,Paramètres!$A$1:$I$89,5,0)</f>
        <v>236.78308333333325</v>
      </c>
      <c r="BF79" s="13">
        <f t="shared" si="91"/>
        <v>57.746852541723904</v>
      </c>
      <c r="BG79" s="20">
        <f t="shared" si="61"/>
        <v>512.97297164905785</v>
      </c>
      <c r="BH79" s="59">
        <f t="shared" si="62"/>
        <v>806.30630498239111</v>
      </c>
      <c r="BI79" s="59">
        <f ca="1">AVERAGE(OFFSET($BH$3,0,0,'Données projet'!$E$11+1,1))-AVERAGE(OFFSET($H$3,0,0,'Données projet'!$E$11+1,1))</f>
        <v>293.82673322742102</v>
      </c>
      <c r="BJ79" s="59">
        <f t="shared" si="92"/>
        <v>138.78566015867693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44.116265256920784</v>
      </c>
      <c r="BQ79" s="21">
        <f>EXP(-LN(2)/25)*BQ78+(1-EXP(-LN(2)/25))/(LN(2)/25)*Calculateur!BL79*Calculateur!BN79*VLOOKUP('Données projet'!$B$11,Paramètres!$A$1:$I$89,3,0)*0.475*44/12</f>
        <v>19.66051215786424</v>
      </c>
      <c r="BR79" s="21">
        <f>EXP(-LN(2)/2)*BR78+(1-EXP(-LN(2)/2))/(LN(2)/2)*BL79*BO79*VLOOKUP('Données projet'!$B$11,Paramètres!$A$1:$I$89,3,0)*0.475*44/12</f>
        <v>2.0993641885105214</v>
      </c>
      <c r="BS79" s="22">
        <f t="shared" si="63"/>
        <v>65.876141603295551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15.299999999999997</v>
      </c>
      <c r="N80" s="13">
        <f>IF('Données projet'!$A$36&gt;35,N79+M80-V79,IF(A80&lt;'Données projet'!$A$36,$K$205^A80,IF(A80='Données projet'!$A$36,'Données projet'!$B$36,N79+M80-V79)))</f>
        <v>471.41999999999962</v>
      </c>
      <c r="O80" s="13">
        <f>N80*VLOOKUP('Données projet'!$B$9,Paramètres!$A$1:$I$89,3,0)*VLOOKUP('Données projet'!$B$9,Paramètres!$A$1:$I$89,5,0)</f>
        <v>220.6245599999998</v>
      </c>
      <c r="P80" s="13">
        <f t="shared" si="87"/>
        <v>54.25060834601932</v>
      </c>
      <c r="Q80" s="20">
        <f t="shared" si="54"/>
        <v>478.74091820264994</v>
      </c>
      <c r="R80" s="59">
        <f t="shared" si="55"/>
        <v>772.07425153598319</v>
      </c>
      <c r="S80" s="59">
        <f ca="1">AVERAGE(OFFSET($R$3,0,0,'Données projet'!$E$9+1,1))-AVERAGE(OFFSET($H$3,0,0,'Données projet'!$E$9+1,1))</f>
        <v>263.84804661819163</v>
      </c>
      <c r="T80" s="59">
        <f t="shared" si="88"/>
        <v>271.81541836379307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70.816833294243537</v>
      </c>
      <c r="AA80" s="21">
        <f>EXP(-LN(2)/25)*AA79+(1-EXP(-LN(2)/25))/(LN(2)/25)*Calculateur!V80*Calculateur!X80*VLOOKUP('Données projet'!$B$9,Paramètres!$A$1:$I$89,3,0)*0.475*44/12</f>
        <v>19.959645361396543</v>
      </c>
      <c r="AB80" s="21">
        <f>EXP(-LN(2)/2)*AB79+(1-EXP(-LN(2)/2))/(LN(2)/2)*V80*Y80*VLOOKUP('Données projet'!$B$9,Paramètres!$A$1:$I$89,3,0)*0.475*44/12</f>
        <v>1.2879503410694046</v>
      </c>
      <c r="AC80" s="22">
        <f t="shared" si="57"/>
        <v>92.064428996709481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9.7839999999999971</v>
      </c>
      <c r="AI80" s="13">
        <f>IF('Données projet'!$A$62&gt;35,AI79+AH80-AQ79,IF(A80&lt;'Données projet'!$A$62,$AF$205^A80,IF(A80='Données projet'!$A$62,'Données projet'!$B$62,AI79+AH80-AQ79)))</f>
        <v>490.67799999999971</v>
      </c>
      <c r="AJ80" s="13">
        <f>AI80*VLOOKUP('Données projet'!$B$10,Paramètres!$A$1:$I$89,3,0)*VLOOKUP('Données projet'!$B$10,Paramètres!$A$1:$I$89,5,0)</f>
        <v>293.42544399999986</v>
      </c>
      <c r="AK80" s="13">
        <f t="shared" si="89"/>
        <v>69.796411555705205</v>
      </c>
      <c r="AL80" s="20">
        <f t="shared" si="58"/>
        <v>632.61139842618638</v>
      </c>
      <c r="AM80" s="59">
        <f t="shared" si="59"/>
        <v>925.94473175951975</v>
      </c>
      <c r="AN80" s="59">
        <f ca="1">AVERAGE(OFFSET($AM$3,0,0,'Données projet'!$E$10+1,1))-AVERAGE(OFFSET($H$3,0,0,'Données projet'!$E$10+1,1))</f>
        <v>270.04187128233121</v>
      </c>
      <c r="AO80" s="59">
        <f t="shared" si="90"/>
        <v>183.82555940776064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44.447585526714356</v>
      </c>
      <c r="AV80" s="21">
        <f>EXP(-LN(2)/25)*AV79+(1-EXP(-LN(2)/25))/(LN(2)/25)*Calculateur!AQ80*Calculateur!AS80*VLOOKUP('Données projet'!$B$10,Paramètres!$A$1:$I$89,3,0)*0.475*44/12</f>
        <v>16.043090919315173</v>
      </c>
      <c r="AW80" s="21">
        <f>EXP(-LN(2)/2)*AW79+(1-EXP(-LN(2)/2))/(LN(2)/2)*AQ80*AT80*VLOOKUP('Données projet'!$B$10,Paramètres!$A$1:$I$89,3,0)*0.475*44/12</f>
        <v>0.83944691765268853</v>
      </c>
      <c r="AX80" s="21">
        <f t="shared" si="60"/>
        <v>61.330123363682212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8.8608333333333373</v>
      </c>
      <c r="BD80" s="12">
        <f>IF('Données projet'!$A$88&gt;35,BD79+BC80-BL79,IF(A80&lt;'Données projet'!$A$88,$BA$205^A80,IF(A80='Données projet'!$A$88,'Données projet'!$B$88,BD79+BC80-BL79)))</f>
        <v>432.44416666666655</v>
      </c>
      <c r="BE80" s="13">
        <f>BD80*VLOOKUP('Données projet'!$B$11,Paramètres!$A$1:$I$89,3,0)*VLOOKUP('Données projet'!$B$11,Paramètres!$A$1:$I$89,5,0)</f>
        <v>241.73628916666661</v>
      </c>
      <c r="BF80" s="13">
        <f t="shared" si="91"/>
        <v>58.812944684272395</v>
      </c>
      <c r="BG80" s="20">
        <f t="shared" si="61"/>
        <v>523.45658229038543</v>
      </c>
      <c r="BH80" s="59">
        <f t="shared" si="62"/>
        <v>816.7899156237188</v>
      </c>
      <c r="BI80" s="59">
        <f ca="1">AVERAGE(OFFSET($BH$3,0,0,'Données projet'!$E$11+1,1))-AVERAGE(OFFSET($H$3,0,0,'Données projet'!$E$11+1,1))</f>
        <v>293.82673322742102</v>
      </c>
      <c r="BJ80" s="59">
        <f t="shared" si="92"/>
        <v>138.78566015867693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43.251172203497404</v>
      </c>
      <c r="BQ80" s="21">
        <f>EXP(-LN(2)/25)*BQ79+(1-EXP(-LN(2)/25))/(LN(2)/25)*Calculateur!BL80*Calculateur!BN80*VLOOKUP('Données projet'!$B$11,Paramètres!$A$1:$I$89,3,0)*0.475*44/12</f>
        <v>19.122894419006041</v>
      </c>
      <c r="BR80" s="21">
        <f>EXP(-LN(2)/2)*BR79+(1-EXP(-LN(2)/2))/(LN(2)/2)*BL80*BO80*VLOOKUP('Données projet'!$B$11,Paramètres!$A$1:$I$89,3,0)*0.475*44/12</f>
        <v>1.4844746538759832</v>
      </c>
      <c r="BS80" s="22">
        <f t="shared" si="63"/>
        <v>63.858541276379434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15.299999999999997</v>
      </c>
      <c r="N81" s="13">
        <f>IF('Données projet'!$A$36&gt;35,N80+M81-V80,IF(A81&lt;'Données projet'!$A$36,$K$205^A81,IF(A81='Données projet'!$A$36,'Données projet'!$B$36,N80+M81-V80)))</f>
        <v>486.71999999999963</v>
      </c>
      <c r="O81" s="13">
        <f>N81*VLOOKUP('Données projet'!$B$9,Paramètres!$A$1:$I$89,3,0)*VLOOKUP('Données projet'!$B$9,Paramètres!$A$1:$I$89,5,0)</f>
        <v>227.78495999999981</v>
      </c>
      <c r="P81" s="13">
        <f t="shared" si="87"/>
        <v>55.803468680001693</v>
      </c>
      <c r="Q81" s="20">
        <f t="shared" si="54"/>
        <v>493.91651328433608</v>
      </c>
      <c r="R81" s="59">
        <f t="shared" si="55"/>
        <v>787.24984661766939</v>
      </c>
      <c r="S81" s="59">
        <f ca="1">AVERAGE(OFFSET($R$3,0,0,'Données projet'!$E$9+1,1))-AVERAGE(OFFSET($H$3,0,0,'Données projet'!$E$9+1,1))</f>
        <v>263.84804661819163</v>
      </c>
      <c r="T81" s="59">
        <f t="shared" si="88"/>
        <v>271.81541836379307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69.42815838734667</v>
      </c>
      <c r="AA81" s="21">
        <f>EXP(-LN(2)/25)*AA80+(1-EXP(-LN(2)/25))/(LN(2)/25)*Calculateur!V81*Calculateur!X81*VLOOKUP('Données projet'!$B$9,Paramètres!$A$1:$I$89,3,0)*0.475*44/12</f>
        <v>19.413847809357023</v>
      </c>
      <c r="AB81" s="21">
        <f>EXP(-LN(2)/2)*AB80+(1-EXP(-LN(2)/2))/(LN(2)/2)*V81*Y81*VLOOKUP('Données projet'!$B$9,Paramètres!$A$1:$I$89,3,0)*0.475*44/12</f>
        <v>0.91071842000170278</v>
      </c>
      <c r="AC81" s="22">
        <f t="shared" si="57"/>
        <v>89.752724616705393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9.7839999999999971</v>
      </c>
      <c r="AI81" s="13">
        <f>IF('Données projet'!$A$62&gt;35,AI80+AH81-AQ80,IF(A81&lt;'Données projet'!$A$62,$AF$205^A81,IF(A81='Données projet'!$A$62,'Données projet'!$B$62,AI80+AH81-AQ80)))</f>
        <v>500.4619999999997</v>
      </c>
      <c r="AJ81" s="13">
        <f>AI81*VLOOKUP('Données projet'!$B$10,Paramètres!$A$1:$I$89,3,0)*VLOOKUP('Données projet'!$B$10,Paramètres!$A$1:$I$89,5,0)</f>
        <v>299.27627599999983</v>
      </c>
      <c r="AK81" s="13">
        <f t="shared" si="89"/>
        <v>71.024721805685132</v>
      </c>
      <c r="AL81" s="20">
        <f t="shared" si="58"/>
        <v>644.94090451156796</v>
      </c>
      <c r="AM81" s="59">
        <f t="shared" si="59"/>
        <v>938.27423784490134</v>
      </c>
      <c r="AN81" s="59">
        <f ca="1">AVERAGE(OFFSET($AM$3,0,0,'Données projet'!$E$10+1,1))-AVERAGE(OFFSET($H$3,0,0,'Données projet'!$E$10+1,1))</f>
        <v>270.04187128233121</v>
      </c>
      <c r="AO81" s="59">
        <f t="shared" si="90"/>
        <v>183.82555940776064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43.57599548488573</v>
      </c>
      <c r="AV81" s="21">
        <f>EXP(-LN(2)/25)*AV80+(1-EXP(-LN(2)/25))/(LN(2)/25)*Calculateur!AQ81*Calculateur!AS81*VLOOKUP('Données projet'!$B$10,Paramètres!$A$1:$I$89,3,0)*0.475*44/12</f>
        <v>15.604391754457016</v>
      </c>
      <c r="AW81" s="21">
        <f>EXP(-LN(2)/2)*AW80+(1-EXP(-LN(2)/2))/(LN(2)/2)*AQ81*AT81*VLOOKUP('Données projet'!$B$10,Paramètres!$A$1:$I$89,3,0)*0.475*44/12</f>
        <v>0.59357860791836148</v>
      </c>
      <c r="AX81" s="21">
        <f t="shared" si="60"/>
        <v>59.77396584726111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8.8608333333333373</v>
      </c>
      <c r="BD81" s="12">
        <f>IF('Données projet'!$A$88&gt;35,BD80+BC81-BL80,IF(A81&lt;'Données projet'!$A$88,$BA$205^A81,IF(A81='Données projet'!$A$88,'Données projet'!$B$88,BD80+BC81-BL80)))</f>
        <v>441.30499999999989</v>
      </c>
      <c r="BE81" s="13">
        <f>BD81*VLOOKUP('Données projet'!$B$11,Paramètres!$A$1:$I$89,3,0)*VLOOKUP('Données projet'!$B$11,Paramètres!$A$1:$I$89,5,0)</f>
        <v>246.68949499999997</v>
      </c>
      <c r="BF81" s="13">
        <f t="shared" si="91"/>
        <v>59.876496985599339</v>
      </c>
      <c r="BG81" s="20">
        <f t="shared" si="61"/>
        <v>533.93576937491866</v>
      </c>
      <c r="BH81" s="59">
        <f t="shared" si="62"/>
        <v>827.26910270825192</v>
      </c>
      <c r="BI81" s="59">
        <f ca="1">AVERAGE(OFFSET($BH$3,0,0,'Données projet'!$E$11+1,1))-AVERAGE(OFFSET($H$3,0,0,'Données projet'!$E$11+1,1))</f>
        <v>293.82673322742102</v>
      </c>
      <c r="BJ81" s="59">
        <f t="shared" si="92"/>
        <v>138.78566015867693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42.403043097196992</v>
      </c>
      <c r="BQ81" s="21">
        <f>EXP(-LN(2)/25)*BQ80+(1-EXP(-LN(2)/25))/(LN(2)/25)*Calculateur!BL81*Calculateur!BN81*VLOOKUP('Données projet'!$B$11,Paramètres!$A$1:$I$89,3,0)*0.475*44/12</f>
        <v>18.599977865489009</v>
      </c>
      <c r="BR81" s="21">
        <f>EXP(-LN(2)/2)*BR80+(1-EXP(-LN(2)/2))/(LN(2)/2)*BL81*BO81*VLOOKUP('Données projet'!$B$11,Paramètres!$A$1:$I$89,3,0)*0.475*44/12</f>
        <v>1.0496820942552607</v>
      </c>
      <c r="BS81" s="22">
        <f t="shared" si="63"/>
        <v>62.052703056941262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502.02</v>
      </c>
      <c r="L82" s="12">
        <f>VLOOKUP(A82,'Données projet'!$A$35:$I$55,9,0)</f>
        <v>15.299999999999997</v>
      </c>
      <c r="M82" s="12">
        <f t="array" ref="M82">INDEX(L:L,MIN(IF(ISNUMBER(L82:L278),ROW(L82:L278),"")))</f>
        <v>15.299999999999997</v>
      </c>
      <c r="N82" s="13">
        <f>IF('Données projet'!$A$36&gt;35,N81+M82-V81,IF(A82&lt;'Données projet'!$A$36,$K$205^A82,IF(A82='Données projet'!$A$36,'Données projet'!$B$36,N81+M82-V81)))</f>
        <v>502.01999999999964</v>
      </c>
      <c r="O82" s="13">
        <f>N82*VLOOKUP('Données projet'!$B$9,Paramètres!$A$1:$I$89,3,0)*VLOOKUP('Données projet'!$B$9,Paramètres!$A$1:$I$89,5,0)</f>
        <v>234.94535999999982</v>
      </c>
      <c r="P82" s="13">
        <f t="shared" si="87"/>
        <v>57.350656456773258</v>
      </c>
      <c r="Q82" s="20">
        <f t="shared" si="54"/>
        <v>509.08222866221308</v>
      </c>
      <c r="R82" s="59">
        <f t="shared" si="55"/>
        <v>802.41556199554634</v>
      </c>
      <c r="S82" s="59">
        <f ca="1">AVERAGE(OFFSET($R$3,0,0,'Données projet'!$E$9+1,1))-AVERAGE(OFFSET($H$3,0,0,'Données projet'!$E$9+1,1))</f>
        <v>263.84804661819163</v>
      </c>
      <c r="T82" s="59">
        <f t="shared" si="88"/>
        <v>271.81541836379307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89.009999999999991</v>
      </c>
      <c r="W82" s="16">
        <f>IF(ISNA(VLOOKUP(A82,'Données projet'!$A$35:$I$55,5,0)),0%,VLOOKUP(A82,'Données projet'!$A$35:$I$55,5,0)*VLOOKUP('Données projet'!$B$9,Paramètres!$A$1:$I$89,7,0))</f>
        <v>0.33</v>
      </c>
      <c r="X82" s="16">
        <f>IF(ISNA(VLOOKUP(A82,'Données projet'!$A$35:$I$55,6,0)),0%,VLOOKUP(A82,'Données projet'!$A$35:$I$55,6,0)*VLOOKUP('Données projet'!$B$9,Paramètres!$A$1:$I$89,7,0))</f>
        <v>0.11000000000000001</v>
      </c>
      <c r="Y82" s="16">
        <f>IF(ISNA(VLOOKUP(A82,'Données projet'!$A$35:$I$55,7,0)),0%,VLOOKUP(A82,'Données projet'!$A$35:$I$55,7,0))</f>
        <v>0.2</v>
      </c>
      <c r="Z82" s="21">
        <f>EXP(-LN(2)/35)*Z81+(1-EXP(-LN(2)/35))/(LN(2)/35)*V82*W82*VLOOKUP('Données projet'!$B$9,Paramètres!$A$1:$I$89,3,0)*0.475*44/12</f>
        <v>86.302603984840317</v>
      </c>
      <c r="AA82" s="21">
        <f>EXP(-LN(2)/25)*AA81+(1-EXP(-LN(2)/25))/(LN(2)/25)*Calculateur!V82*Calculateur!X82*VLOOKUP('Données projet'!$B$9,Paramètres!$A$1:$I$89,3,0)*0.475*44/12</f>
        <v>24.937671050528376</v>
      </c>
      <c r="AB82" s="21">
        <f>EXP(-LN(2)/2)*AB81+(1-EXP(-LN(2)/2))/(LN(2)/2)*V82*Y82*VLOOKUP('Données projet'!$B$9,Paramètres!$A$1:$I$89,3,0)*0.475*44/12</f>
        <v>10.076982871279659</v>
      </c>
      <c r="AC82" s="22">
        <f t="shared" si="57"/>
        <v>121.31725790664835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9.7839999999999971</v>
      </c>
      <c r="AI82" s="13">
        <f>IF('Données projet'!$A$62&gt;35,AI81+AH82-AQ81,IF(A82&lt;'Données projet'!$A$62,$AF$205^A82,IF(A82='Données projet'!$A$62,'Données projet'!$B$62,AI81+AH82-AQ81)))</f>
        <v>510.2459999999997</v>
      </c>
      <c r="AJ82" s="13">
        <f>AI82*VLOOKUP('Données projet'!$B$10,Paramètres!$A$1:$I$89,3,0)*VLOOKUP('Données projet'!$B$10,Paramètres!$A$1:$I$89,5,0)</f>
        <v>305.12710799999985</v>
      </c>
      <c r="AK82" s="13">
        <f t="shared" si="89"/>
        <v>72.25023988738603</v>
      </c>
      <c r="AL82" s="20">
        <f t="shared" si="58"/>
        <v>657.26554757053043</v>
      </c>
      <c r="AM82" s="59">
        <f t="shared" si="59"/>
        <v>950.5988809038638</v>
      </c>
      <c r="AN82" s="59">
        <f ca="1">AVERAGE(OFFSET($AM$3,0,0,'Données projet'!$E$10+1,1))-AVERAGE(OFFSET($H$3,0,0,'Données projet'!$E$10+1,1))</f>
        <v>270.04187128233121</v>
      </c>
      <c r="AO82" s="59">
        <f t="shared" si="90"/>
        <v>183.82555940776064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42.721496792159932</v>
      </c>
      <c r="AV82" s="21">
        <f>EXP(-LN(2)/25)*AV81+(1-EXP(-LN(2)/25))/(LN(2)/25)*Calculateur!AQ82*Calculateur!AS82*VLOOKUP('Données projet'!$B$10,Paramètres!$A$1:$I$89,3,0)*0.475*44/12</f>
        <v>15.17768884133209</v>
      </c>
      <c r="AW82" s="21">
        <f>EXP(-LN(2)/2)*AW81+(1-EXP(-LN(2)/2))/(LN(2)/2)*AQ82*AT82*VLOOKUP('Données projet'!$B$10,Paramètres!$A$1:$I$89,3,0)*0.475*44/12</f>
        <v>0.41972345882634432</v>
      </c>
      <c r="AX82" s="21">
        <f t="shared" si="60"/>
        <v>58.318909092318371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8.8608333333333373</v>
      </c>
      <c r="BD82" s="12">
        <f>IF('Données projet'!$A$88&gt;35,BD81+BC82-BL81,IF(A82&lt;'Données projet'!$A$88,$BA$205^A82,IF(A82='Données projet'!$A$88,'Données projet'!$B$88,BD81+BC82-BL81)))</f>
        <v>450.16583333333324</v>
      </c>
      <c r="BE82" s="13">
        <f>BD82*VLOOKUP('Données projet'!$B$11,Paramètres!$A$1:$I$89,3,0)*VLOOKUP('Données projet'!$B$11,Paramètres!$A$1:$I$89,5,0)</f>
        <v>251.64270083333329</v>
      </c>
      <c r="BF82" s="13">
        <f t="shared" si="91"/>
        <v>60.937566319682929</v>
      </c>
      <c r="BG82" s="20">
        <f t="shared" si="61"/>
        <v>544.41063195816992</v>
      </c>
      <c r="BH82" s="59">
        <f t="shared" si="62"/>
        <v>837.74396529150317</v>
      </c>
      <c r="BI82" s="59">
        <f ca="1">AVERAGE(OFFSET($BH$3,0,0,'Données projet'!$E$11+1,1))-AVERAGE(OFFSET($H$3,0,0,'Données projet'!$E$11+1,1))</f>
        <v>293.82673322742102</v>
      </c>
      <c r="BJ82" s="59">
        <f t="shared" si="92"/>
        <v>138.78566015867693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41.571545285363456</v>
      </c>
      <c r="BQ82" s="21">
        <f>EXP(-LN(2)/25)*BQ81+(1-EXP(-LN(2)/25))/(LN(2)/25)*Calculateur!BL82*Calculateur!BN82*VLOOKUP('Données projet'!$B$11,Paramètres!$A$1:$I$89,3,0)*0.475*44/12</f>
        <v>18.091360492626887</v>
      </c>
      <c r="BR82" s="21">
        <f>EXP(-LN(2)/2)*BR81+(1-EXP(-LN(2)/2))/(LN(2)/2)*BL82*BO82*VLOOKUP('Données projet'!$B$11,Paramètres!$A$1:$I$89,3,0)*0.475*44/12</f>
        <v>0.7422373269379916</v>
      </c>
      <c r="BS82" s="22">
        <f t="shared" si="63"/>
        <v>60.405143104928335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14.393749999999997</v>
      </c>
      <c r="N83" s="13">
        <f>IF('Données projet'!$A$36&gt;35,N82+M83-V82,IF(A83&lt;'Données projet'!$A$36,$K$205^A83,IF(A83='Données projet'!$A$36,'Données projet'!$B$36,N82+M83-V82)))</f>
        <v>427.4037499999996</v>
      </c>
      <c r="O83" s="13">
        <f>N83*VLOOKUP('Données projet'!$B$9,Paramètres!$A$1:$I$89,3,0)*VLOOKUP('Données projet'!$B$9,Paramètres!$A$1:$I$89,5,0)</f>
        <v>200.02495499999984</v>
      </c>
      <c r="P83" s="13">
        <f t="shared" si="87"/>
        <v>49.749652039245412</v>
      </c>
      <c r="Q83" s="20">
        <f t="shared" si="54"/>
        <v>435.02410726001881</v>
      </c>
      <c r="R83" s="59">
        <f t="shared" si="55"/>
        <v>728.35744059335207</v>
      </c>
      <c r="S83" s="59">
        <f ca="1">AVERAGE(OFFSET($R$3,0,0,'Données projet'!$E$9+1,1))-AVERAGE(OFFSET($H$3,0,0,'Données projet'!$E$9+1,1))</f>
        <v>263.84804661819163</v>
      </c>
      <c r="T83" s="59">
        <f t="shared" si="88"/>
        <v>271.81541836379307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84.610262560088316</v>
      </c>
      <c r="AA83" s="21">
        <f>EXP(-LN(2)/25)*AA82+(1-EXP(-LN(2)/25))/(LN(2)/25)*Calculateur!V83*Calculateur!X83*VLOOKUP('Données projet'!$B$9,Paramètres!$A$1:$I$89,3,0)*0.475*44/12</f>
        <v>24.255749124236551</v>
      </c>
      <c r="AB83" s="21">
        <f>EXP(-LN(2)/2)*AB82+(1-EXP(-LN(2)/2))/(LN(2)/2)*V83*Y83*VLOOKUP('Données projet'!$B$9,Paramètres!$A$1:$I$89,3,0)*0.475*44/12</f>
        <v>7.1255029221825339</v>
      </c>
      <c r="AC83" s="22">
        <f t="shared" si="57"/>
        <v>115.99151460650739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520.03</v>
      </c>
      <c r="AG83" s="12">
        <f>VLOOKUP(A83,'Données projet'!$A$61:$I$81,9,0)</f>
        <v>9.7839999999999971</v>
      </c>
      <c r="AH83" s="12">
        <f t="array" ref="AH83">INDEX(AG:AG,MIN(IF(ISNUMBER(AG83:AG279),ROW(AG83:AG279),"")))</f>
        <v>9.7839999999999971</v>
      </c>
      <c r="AI83" s="13">
        <f>IF('Données projet'!$A$62&gt;35,AI82+AH83-AQ82,IF(A83&lt;'Données projet'!$A$62,$AF$205^A83,IF(A83='Données projet'!$A$62,'Données projet'!$B$62,AI82+AH83-AQ82)))</f>
        <v>520.02999999999975</v>
      </c>
      <c r="AJ83" s="13">
        <f>AI83*VLOOKUP('Données projet'!$B$10,Paramètres!$A$1:$I$89,3,0)*VLOOKUP('Données projet'!$B$10,Paramètres!$A$1:$I$89,5,0)</f>
        <v>310.97793999999988</v>
      </c>
      <c r="AK83" s="13">
        <f t="shared" si="89"/>
        <v>73.473025513598785</v>
      </c>
      <c r="AL83" s="20">
        <f t="shared" si="58"/>
        <v>669.58543160285092</v>
      </c>
      <c r="AM83" s="59">
        <f t="shared" si="59"/>
        <v>962.91876493618429</v>
      </c>
      <c r="AN83" s="59">
        <f ca="1">AVERAGE(OFFSET($AM$3,0,0,'Données projet'!$E$10+1,1))-AVERAGE(OFFSET($H$3,0,0,'Données projet'!$E$10+1,1))</f>
        <v>270.04187128233121</v>
      </c>
      <c r="AO83" s="59">
        <f t="shared" si="90"/>
        <v>183.82555940776064</v>
      </c>
      <c r="AP83" s="15" t="str">
        <f>IF(ISNA(VLOOKUP(A83,'Données projet'!$A$61:$I$81,3,0)),0,VLOOKUP(A83,'Données projet'!$A$61:$I$81,3,0))</f>
        <v>CR</v>
      </c>
      <c r="AQ83" s="15">
        <f>IF(ISNA(VLOOKUP(A83,'Données projet'!$A$61:$I$81,4,0)),0,VLOOKUP(A83,'Données projet'!$A$61:$I$81,4,0))</f>
        <v>520.03</v>
      </c>
      <c r="AR83" s="16">
        <f>IF(ISNA(VLOOKUP(A83,'Données projet'!$A$61:$I$81,5,0)),0%,VLOOKUP(A83,'Données projet'!$A$61:$I$81,5,0)*VLOOKUP('Données projet'!$B$10,Paramètres!$A$1:$I$89,7,0))</f>
        <v>0.27</v>
      </c>
      <c r="AS83" s="16">
        <f>IF(ISNA(VLOOKUP(A83,'Données projet'!$A$61:$I$81,6,0)),0%,VLOOKUP(A83,'Données projet'!$A$61:$I$81,6,0)*VLOOKUP('Données projet'!$B$10,Paramètres!$A$1:$I$89,7,0))</f>
        <v>9.0000000000000011E-2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153.26747033765446</v>
      </c>
      <c r="AV83" s="21">
        <f>EXP(-LN(2)/25)*AV82+(1-EXP(-LN(2)/25))/(LN(2)/25)*Calculateur!AQ83*Calculateur!AS83*VLOOKUP('Données projet'!$B$10,Paramètres!$A$1:$I$89,3,0)*0.475*44/12</f>
        <v>51.744372778297887</v>
      </c>
      <c r="AW83" s="21">
        <f>EXP(-LN(2)/2)*AW82+(1-EXP(-LN(2)/2))/(LN(2)/2)*AQ83*AT83*VLOOKUP('Données projet'!$B$10,Paramètres!$A$1:$I$89,3,0)*0.475*44/12</f>
        <v>70.716642801208678</v>
      </c>
      <c r="AX83" s="21">
        <f t="shared" si="60"/>
        <v>275.72848591716104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8.8608333333333373</v>
      </c>
      <c r="BD83" s="12">
        <f>IF('Données projet'!$A$88&gt;35,BD82+BC83-BL82,IF(A83&lt;'Données projet'!$A$88,$BA$205^A83,IF(A83='Données projet'!$A$88,'Données projet'!$B$88,BD82+BC83-BL82)))</f>
        <v>459.02666666666659</v>
      </c>
      <c r="BE83" s="13">
        <f>BD83*VLOOKUP('Données projet'!$B$11,Paramètres!$A$1:$I$89,3,0)*VLOOKUP('Données projet'!$B$11,Paramètres!$A$1:$I$89,5,0)</f>
        <v>256.59590666666662</v>
      </c>
      <c r="BF83" s="13">
        <f t="shared" si="91"/>
        <v>61.996207193491571</v>
      </c>
      <c r="BG83" s="20">
        <f t="shared" si="61"/>
        <v>554.88126497310884</v>
      </c>
      <c r="BH83" s="59">
        <f t="shared" si="62"/>
        <v>848.21459830644221</v>
      </c>
      <c r="BI83" s="59">
        <f ca="1">AVERAGE(OFFSET($BH$3,0,0,'Données projet'!$E$11+1,1))-AVERAGE(OFFSET($H$3,0,0,'Données projet'!$E$11+1,1))</f>
        <v>293.82673322742102</v>
      </c>
      <c r="BJ83" s="59">
        <f t="shared" si="92"/>
        <v>138.78566015867693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40.756352638456391</v>
      </c>
      <c r="BQ83" s="21">
        <f>EXP(-LN(2)/25)*BQ82+(1-EXP(-LN(2)/25))/(LN(2)/25)*Calculateur!BL83*Calculateur!BN83*VLOOKUP('Données projet'!$B$11,Paramètres!$A$1:$I$89,3,0)*0.475*44/12</f>
        <v>17.596651288572705</v>
      </c>
      <c r="BR83" s="21">
        <f>EXP(-LN(2)/2)*BR82+(1-EXP(-LN(2)/2))/(LN(2)/2)*BL83*BO83*VLOOKUP('Données projet'!$B$11,Paramètres!$A$1:$I$89,3,0)*0.475*44/12</f>
        <v>0.52484104712763036</v>
      </c>
      <c r="BS83" s="22">
        <f t="shared" si="63"/>
        <v>58.877844974156723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14.393749999999997</v>
      </c>
      <c r="N84" s="13">
        <f>IF('Données projet'!$A$36&gt;35,N83+M84-V83,IF(A84&lt;'Données projet'!$A$36,$K$205^A84,IF(A84='Données projet'!$A$36,'Données projet'!$B$36,N83+M84-V83)))</f>
        <v>441.79749999999962</v>
      </c>
      <c r="O84" s="13">
        <f>N84*VLOOKUP('Données projet'!$B$9,Paramètres!$A$1:$I$89,3,0)*VLOOKUP('Données projet'!$B$9,Paramètres!$A$1:$I$89,5,0)</f>
        <v>206.76122999999981</v>
      </c>
      <c r="P84" s="13">
        <f t="shared" si="87"/>
        <v>51.227194010678758</v>
      </c>
      <c r="Q84" s="20">
        <f t="shared" si="54"/>
        <v>449.3298384852651</v>
      </c>
      <c r="R84" s="59">
        <f t="shared" si="55"/>
        <v>742.66317181859836</v>
      </c>
      <c r="S84" s="59">
        <f ca="1">AVERAGE(OFFSET($R$3,0,0,'Données projet'!$E$9+1,1))-AVERAGE(OFFSET($H$3,0,0,'Données projet'!$E$9+1,1))</f>
        <v>263.84804661819163</v>
      </c>
      <c r="T84" s="59">
        <f t="shared" si="88"/>
        <v>271.81541836379307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82.951106918449355</v>
      </c>
      <c r="AA84" s="21">
        <f>EXP(-LN(2)/25)*AA83+(1-EXP(-LN(2)/25))/(LN(2)/25)*Calculateur!V84*Calculateur!X84*VLOOKUP('Données projet'!$B$9,Paramètres!$A$1:$I$89,3,0)*0.475*44/12</f>
        <v>23.592474388879893</v>
      </c>
      <c r="AB84" s="21">
        <f>EXP(-LN(2)/2)*AB83+(1-EXP(-LN(2)/2))/(LN(2)/2)*V84*Y84*VLOOKUP('Données projet'!$B$9,Paramètres!$A$1:$I$89,3,0)*0.475*44/12</f>
        <v>5.0384914356398305</v>
      </c>
      <c r="AC84" s="22">
        <f t="shared" si="57"/>
        <v>111.58207274296907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270.04187128233121</v>
      </c>
      <c r="AO84" s="59">
        <f t="shared" si="90"/>
        <v>183.82555940776064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150.26198872825918</v>
      </c>
      <c r="AV84" s="21">
        <f>EXP(-LN(2)/25)*AV83+(1-EXP(-LN(2)/25))/(LN(2)/25)*Calculateur!AQ84*Calculateur!AS84*VLOOKUP('Données projet'!$B$10,Paramètres!$A$1:$I$89,3,0)*0.475*44/12</f>
        <v>50.329420183557033</v>
      </c>
      <c r="AW84" s="21">
        <f>EXP(-LN(2)/2)*AW83+(1-EXP(-LN(2)/2))/(LN(2)/2)*AQ84*AT84*VLOOKUP('Données projet'!$B$10,Paramètres!$A$1:$I$89,3,0)*0.475*44/12</f>
        <v>50.004217667481512</v>
      </c>
      <c r="AX84" s="21">
        <f t="shared" si="60"/>
        <v>250.59562657929774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8.8608333333333373</v>
      </c>
      <c r="BD84" s="12">
        <f>IF('Données projet'!$A$88&gt;35,BD83+BC84-BL83,IF(A84&lt;'Données projet'!$A$88,$BA$205^A84,IF(A84='Données projet'!$A$88,'Données projet'!$B$88,BD83+BC84-BL83)))</f>
        <v>467.88749999999993</v>
      </c>
      <c r="BE84" s="13">
        <f>BD84*VLOOKUP('Données projet'!$B$11,Paramètres!$A$1:$I$89,3,0)*VLOOKUP('Données projet'!$B$11,Paramètres!$A$1:$I$89,5,0)</f>
        <v>261.54911249999998</v>
      </c>
      <c r="BF84" s="13">
        <f t="shared" si="91"/>
        <v>63.052471889252359</v>
      </c>
      <c r="BG84" s="20">
        <f t="shared" si="61"/>
        <v>565.34775947794776</v>
      </c>
      <c r="BH84" s="59">
        <f t="shared" si="62"/>
        <v>858.68109281128113</v>
      </c>
      <c r="BI84" s="59">
        <f ca="1">AVERAGE(OFFSET($BH$3,0,0,'Données projet'!$E$11+1,1))-AVERAGE(OFFSET($H$3,0,0,'Données projet'!$E$11+1,1))</f>
        <v>293.82673322742102</v>
      </c>
      <c r="BJ84" s="59">
        <f t="shared" si="92"/>
        <v>138.78566015867693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39.957145422136755</v>
      </c>
      <c r="BQ84" s="21">
        <f>EXP(-LN(2)/25)*BQ83+(1-EXP(-LN(2)/25))/(LN(2)/25)*Calculateur!BL84*Calculateur!BN84*VLOOKUP('Données projet'!$B$11,Paramètres!$A$1:$I$89,3,0)*0.475*44/12</f>
        <v>17.115469933719012</v>
      </c>
      <c r="BR84" s="21">
        <f>EXP(-LN(2)/2)*BR83+(1-EXP(-LN(2)/2))/(LN(2)/2)*BL84*BO84*VLOOKUP('Données projet'!$B$11,Paramètres!$A$1:$I$89,3,0)*0.475*44/12</f>
        <v>0.3711186634689958</v>
      </c>
      <c r="BS84" s="22">
        <f t="shared" si="63"/>
        <v>57.443734019324765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14.393749999999997</v>
      </c>
      <c r="N85" s="13">
        <f>IF('Données projet'!$A$36&gt;35,N84+M85-V84,IF(A85&lt;'Données projet'!$A$36,$K$205^A85,IF(A85='Données projet'!$A$36,'Données projet'!$B$36,N84+M85-V84)))</f>
        <v>456.19124999999963</v>
      </c>
      <c r="O85" s="13">
        <f>N85*VLOOKUP('Données projet'!$B$9,Paramètres!$A$1:$I$89,3,0)*VLOOKUP('Données projet'!$B$9,Paramètres!$A$1:$I$89,5,0)</f>
        <v>213.49750499999982</v>
      </c>
      <c r="P85" s="13">
        <f t="shared" si="87"/>
        <v>52.699142252683622</v>
      </c>
      <c r="Q85" s="20">
        <f t="shared" si="54"/>
        <v>463.62582729842364</v>
      </c>
      <c r="R85" s="59">
        <f t="shared" si="55"/>
        <v>756.95916063175696</v>
      </c>
      <c r="S85" s="59">
        <f ca="1">AVERAGE(OFFSET($R$3,0,0,'Données projet'!$E$9+1,1))-AVERAGE(OFFSET($H$3,0,0,'Données projet'!$E$9+1,1))</f>
        <v>263.84804661819163</v>
      </c>
      <c r="T85" s="59">
        <f t="shared" si="88"/>
        <v>271.81541836379307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81.324486306957922</v>
      </c>
      <c r="AA85" s="21">
        <f>EXP(-LN(2)/25)*AA84+(1-EXP(-LN(2)/25))/(LN(2)/25)*Calculateur!V85*Calculateur!X85*VLOOKUP('Données projet'!$B$9,Paramètres!$A$1:$I$89,3,0)*0.475*44/12</f>
        <v>22.947336936041665</v>
      </c>
      <c r="AB85" s="21">
        <f>EXP(-LN(2)/2)*AB84+(1-EXP(-LN(2)/2))/(LN(2)/2)*V85*Y85*VLOOKUP('Données projet'!$B$9,Paramètres!$A$1:$I$89,3,0)*0.475*44/12</f>
        <v>3.5627514610912674</v>
      </c>
      <c r="AC85" s="22">
        <f t="shared" si="57"/>
        <v>107.83457470409085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270.04187128233121</v>
      </c>
      <c r="AO85" s="59">
        <f t="shared" si="90"/>
        <v>183.82555940776064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147.31544278006137</v>
      </c>
      <c r="AV85" s="21">
        <f>EXP(-LN(2)/25)*AV84+(1-EXP(-LN(2)/25))/(LN(2)/25)*Calculateur!AQ85*Calculateur!AS85*VLOOKUP('Données projet'!$B$10,Paramètres!$A$1:$I$89,3,0)*0.475*44/12</f>
        <v>48.953159541928486</v>
      </c>
      <c r="AW85" s="21">
        <f>EXP(-LN(2)/2)*AW84+(1-EXP(-LN(2)/2))/(LN(2)/2)*AQ85*AT85*VLOOKUP('Données projet'!$B$10,Paramètres!$A$1:$I$89,3,0)*0.475*44/12</f>
        <v>35.358321400604346</v>
      </c>
      <c r="AX85" s="21">
        <f t="shared" si="60"/>
        <v>231.62692372259423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8.8608333333333373</v>
      </c>
      <c r="BD85" s="12">
        <f>IF('Données projet'!$A$88&gt;35,BD84+BC85-BL84,IF(A85&lt;'Données projet'!$A$88,$BA$205^A85,IF(A85='Données projet'!$A$88,'Données projet'!$B$88,BD84+BC85-BL84)))</f>
        <v>476.74833333333328</v>
      </c>
      <c r="BE85" s="13">
        <f>BD85*VLOOKUP('Données projet'!$B$11,Paramètres!$A$1:$I$89,3,0)*VLOOKUP('Données projet'!$B$11,Paramètres!$A$1:$I$89,5,0)</f>
        <v>266.50231833333328</v>
      </c>
      <c r="BF85" s="13">
        <f t="shared" si="91"/>
        <v>64.106410595638764</v>
      </c>
      <c r="BG85" s="20">
        <f t="shared" si="61"/>
        <v>575.81020288462628</v>
      </c>
      <c r="BH85" s="59">
        <f t="shared" si="62"/>
        <v>869.14353621795954</v>
      </c>
      <c r="BI85" s="59">
        <f ca="1">AVERAGE(OFFSET($BH$3,0,0,'Données projet'!$E$11+1,1))-AVERAGE(OFFSET($H$3,0,0,'Données projet'!$E$11+1,1))</f>
        <v>293.82673322742102</v>
      </c>
      <c r="BJ85" s="59">
        <f t="shared" si="92"/>
        <v>138.78566015867693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39.173610171860879</v>
      </c>
      <c r="BQ85" s="21">
        <f>EXP(-LN(2)/25)*BQ84+(1-EXP(-LN(2)/25))/(LN(2)/25)*Calculateur!BL85*Calculateur!BN85*VLOOKUP('Données projet'!$B$11,Paramètres!$A$1:$I$89,3,0)*0.475*44/12</f>
        <v>16.647446508318019</v>
      </c>
      <c r="BR85" s="21">
        <f>EXP(-LN(2)/2)*BR84+(1-EXP(-LN(2)/2))/(LN(2)/2)*BL85*BO85*VLOOKUP('Données projet'!$B$11,Paramètres!$A$1:$I$89,3,0)*0.475*44/12</f>
        <v>0.26242052356381518</v>
      </c>
      <c r="BS85" s="22">
        <f t="shared" si="63"/>
        <v>56.083477203742717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14.393749999999997</v>
      </c>
      <c r="N86" s="13">
        <f>IF('Données projet'!$A$36&gt;35,N85+M86-V85,IF(A86&lt;'Données projet'!$A$36,$K$205^A86,IF(A86='Données projet'!$A$36,'Données projet'!$B$36,N85+M86-V85)))</f>
        <v>470.58499999999964</v>
      </c>
      <c r="O86" s="13">
        <f>N86*VLOOKUP('Données projet'!$B$9,Paramètres!$A$1:$I$89,3,0)*VLOOKUP('Données projet'!$B$9,Paramètres!$A$1:$I$89,5,0)</f>
        <v>220.23377999999985</v>
      </c>
      <c r="P86" s="13">
        <f t="shared" si="87"/>
        <v>54.165693507352309</v>
      </c>
      <c r="Q86" s="20">
        <f t="shared" si="54"/>
        <v>477.91241635863838</v>
      </c>
      <c r="R86" s="59">
        <f t="shared" si="55"/>
        <v>771.2457496919717</v>
      </c>
      <c r="S86" s="59">
        <f ca="1">AVERAGE(OFFSET($R$3,0,0,'Données projet'!$E$9+1,1))-AVERAGE(OFFSET($H$3,0,0,'Données projet'!$E$9+1,1))</f>
        <v>263.84804661819163</v>
      </c>
      <c r="T86" s="59">
        <f t="shared" si="88"/>
        <v>271.81541836379307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79.729762733517234</v>
      </c>
      <c r="AA86" s="21">
        <f>EXP(-LN(2)/25)*AA85+(1-EXP(-LN(2)/25))/(LN(2)/25)*Calculateur!V86*Calculateur!X86*VLOOKUP('Données projet'!$B$9,Paramètres!$A$1:$I$89,3,0)*0.475*44/12</f>
        <v>22.319840800777605</v>
      </c>
      <c r="AB86" s="21">
        <f>EXP(-LN(2)/2)*AB85+(1-EXP(-LN(2)/2))/(LN(2)/2)*V86*Y86*VLOOKUP('Données projet'!$B$9,Paramètres!$A$1:$I$89,3,0)*0.475*44/12</f>
        <v>2.5192457178199157</v>
      </c>
      <c r="AC86" s="22">
        <f t="shared" si="57"/>
        <v>104.56884925211476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270.04187128233121</v>
      </c>
      <c r="AO86" s="59">
        <f t="shared" si="90"/>
        <v>183.82555940776064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144.42667680069218</v>
      </c>
      <c r="AV86" s="21">
        <f>EXP(-LN(2)/25)*AV85+(1-EXP(-LN(2)/25))/(LN(2)/25)*Calculateur!AQ86*Calculateur!AS86*VLOOKUP('Données projet'!$B$10,Paramètres!$A$1:$I$89,3,0)*0.475*44/12</f>
        <v>47.614532819919674</v>
      </c>
      <c r="AW86" s="21">
        <f>EXP(-LN(2)/2)*AW85+(1-EXP(-LN(2)/2))/(LN(2)/2)*AQ86*AT86*VLOOKUP('Données projet'!$B$10,Paramètres!$A$1:$I$89,3,0)*0.475*44/12</f>
        <v>25.00210883374076</v>
      </c>
      <c r="AX86" s="21">
        <f t="shared" si="60"/>
        <v>217.0433184543526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8.8608333333333373</v>
      </c>
      <c r="BD86" s="12">
        <f>IF('Données projet'!$A$88&gt;35,BD85+BC86-BL85,IF(A86&lt;'Données projet'!$A$88,$BA$205^A86,IF(A86='Données projet'!$A$88,'Données projet'!$B$88,BD85+BC86-BL85)))</f>
        <v>485.60916666666662</v>
      </c>
      <c r="BE86" s="13">
        <f>BD86*VLOOKUP('Données projet'!$B$11,Paramètres!$A$1:$I$89,3,0)*VLOOKUP('Données projet'!$B$11,Paramètres!$A$1:$I$89,5,0)</f>
        <v>271.45552416666663</v>
      </c>
      <c r="BF86" s="13">
        <f t="shared" si="91"/>
        <v>65.158071528928332</v>
      </c>
      <c r="BG86" s="20">
        <f t="shared" si="61"/>
        <v>586.26867916982792</v>
      </c>
      <c r="BH86" s="59">
        <f t="shared" si="62"/>
        <v>879.60201250316118</v>
      </c>
      <c r="BI86" s="59">
        <f ca="1">AVERAGE(OFFSET($BH$3,0,0,'Données projet'!$E$11+1,1))-AVERAGE(OFFSET($H$3,0,0,'Données projet'!$E$11+1,1))</f>
        <v>293.82673322742102</v>
      </c>
      <c r="BJ86" s="59">
        <f t="shared" si="92"/>
        <v>138.78566015867693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38.405439569933598</v>
      </c>
      <c r="BQ86" s="21">
        <f>EXP(-LN(2)/25)*BQ85+(1-EXP(-LN(2)/25))/(LN(2)/25)*Calculateur!BL86*Calculateur!BN86*VLOOKUP('Données projet'!$B$11,Paramètres!$A$1:$I$89,3,0)*0.475*44/12</f>
        <v>16.1922212080969</v>
      </c>
      <c r="BR86" s="21">
        <f>EXP(-LN(2)/2)*BR85+(1-EXP(-LN(2)/2))/(LN(2)/2)*BL86*BO86*VLOOKUP('Données projet'!$B$11,Paramètres!$A$1:$I$89,3,0)*0.475*44/12</f>
        <v>0.1855593317344979</v>
      </c>
      <c r="BS86" s="22">
        <f t="shared" si="63"/>
        <v>54.783220109764997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14.393749999999997</v>
      </c>
      <c r="N87" s="13">
        <f>IF('Données projet'!$A$36&gt;35,N86+M87-V86,IF(A87&lt;'Données projet'!$A$36,$K$205^A87,IF(A87='Données projet'!$A$36,'Données projet'!$B$36,N86+M87-V86)))</f>
        <v>484.97874999999965</v>
      </c>
      <c r="O87" s="13">
        <f>N87*VLOOKUP('Données projet'!$B$9,Paramètres!$A$1:$I$89,3,0)*VLOOKUP('Données projet'!$B$9,Paramètres!$A$1:$I$89,5,0)</f>
        <v>226.97005499999983</v>
      </c>
      <c r="P87" s="13">
        <f t="shared" si="87"/>
        <v>55.627031797471432</v>
      </c>
      <c r="Q87" s="20">
        <f t="shared" si="54"/>
        <v>492.1899261722624</v>
      </c>
      <c r="R87" s="59">
        <f t="shared" si="55"/>
        <v>785.52325950559566</v>
      </c>
      <c r="S87" s="59">
        <f ca="1">AVERAGE(OFFSET($R$3,0,0,'Données projet'!$E$9+1,1))-AVERAGE(OFFSET($H$3,0,0,'Données projet'!$E$9+1,1))</f>
        <v>263.84804661819163</v>
      </c>
      <c r="T87" s="59">
        <f t="shared" si="88"/>
        <v>271.81541836379307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78.166310716666374</v>
      </c>
      <c r="AA87" s="21">
        <f>EXP(-LN(2)/25)*AA86+(1-EXP(-LN(2)/25))/(LN(2)/25)*Calculateur!V87*Calculateur!X87*VLOOKUP('Données projet'!$B$9,Paramètres!$A$1:$I$89,3,0)*0.475*44/12</f>
        <v>21.709503580330928</v>
      </c>
      <c r="AB87" s="21">
        <f>EXP(-LN(2)/2)*AB86+(1-EXP(-LN(2)/2))/(LN(2)/2)*V87*Y87*VLOOKUP('Données projet'!$B$9,Paramètres!$A$1:$I$89,3,0)*0.475*44/12</f>
        <v>1.7813757305456341</v>
      </c>
      <c r="AC87" s="22">
        <f t="shared" si="57"/>
        <v>101.65719002754294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270.04187128233121</v>
      </c>
      <c r="AO87" s="59">
        <f t="shared" si="90"/>
        <v>183.82555940776064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141.59455776020513</v>
      </c>
      <c r="AV87" s="21">
        <f>EXP(-LN(2)/25)*AV86+(1-EXP(-LN(2)/25))/(LN(2)/25)*Calculateur!AQ87*Calculateur!AS87*VLOOKUP('Données projet'!$B$10,Paramètres!$A$1:$I$89,3,0)*0.475*44/12</f>
        <v>46.312510916019512</v>
      </c>
      <c r="AW87" s="21">
        <f>EXP(-LN(2)/2)*AW86+(1-EXP(-LN(2)/2))/(LN(2)/2)*AQ87*AT87*VLOOKUP('Données projet'!$B$10,Paramètres!$A$1:$I$89,3,0)*0.475*44/12</f>
        <v>17.679160700302177</v>
      </c>
      <c r="AX87" s="21">
        <f t="shared" si="60"/>
        <v>205.58622937652683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494.47</v>
      </c>
      <c r="BB87" s="12">
        <f>VLOOKUP(A87,'Données projet'!$A$87:$I$107,9,0)</f>
        <v>8.8608333333333373</v>
      </c>
      <c r="BC87" s="12">
        <f t="array" ref="BC87">INDEX(BB:BB,MIN(IF(ISNUMBER(BB87:BB283),ROW(BB87:BB283),"")))</f>
        <v>8.8608333333333373</v>
      </c>
      <c r="BD87" s="12">
        <f>IF('Données projet'!$A$88&gt;35,BD86+BC87-BL86,IF(A87&lt;'Données projet'!$A$88,$BA$205^A87,IF(A87='Données projet'!$A$88,'Données projet'!$B$88,BD86+BC87-BL86)))</f>
        <v>494.46999999999997</v>
      </c>
      <c r="BE87" s="13">
        <f>BD87*VLOOKUP('Données projet'!$B$11,Paramètres!$A$1:$I$89,3,0)*VLOOKUP('Données projet'!$B$11,Paramètres!$A$1:$I$89,5,0)</f>
        <v>276.40872999999999</v>
      </c>
      <c r="BF87" s="13">
        <f t="shared" si="91"/>
        <v>66.207501045067801</v>
      </c>
      <c r="BG87" s="20">
        <f t="shared" si="61"/>
        <v>596.72326907015974</v>
      </c>
      <c r="BH87" s="59">
        <f t="shared" si="62"/>
        <v>890.05660240349312</v>
      </c>
      <c r="BI87" s="59">
        <f ca="1">AVERAGE(OFFSET($BH$3,0,0,'Données projet'!$E$11+1,1))-AVERAGE(OFFSET($H$3,0,0,'Données projet'!$E$11+1,1))</f>
        <v>293.82673322742102</v>
      </c>
      <c r="BJ87" s="59">
        <f t="shared" si="92"/>
        <v>138.78566015867693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70.220000000000027</v>
      </c>
      <c r="BM87" s="16">
        <f>IF(ISNA(VLOOKUP(A87,'Données projet'!$A$87:$I$107,5,0)),0%,VLOOKUP(A87,'Données projet'!$A$87:$I$107,5,0)*VLOOKUP('Données projet'!$B$11,Paramètres!$A$1:$I$89,7,0))</f>
        <v>0.33</v>
      </c>
      <c r="BN87" s="16">
        <f>IF(ISNA(VLOOKUP(A87,'Données projet'!$A$87:$I$107,6,0)),0%,VLOOKUP(A87,'Données projet'!$A$87:$I$107,6,0)*VLOOKUP('Données projet'!$B$11,Paramètres!$A$1:$I$89,7,0))</f>
        <v>0.11000000000000001</v>
      </c>
      <c r="BO87" s="16">
        <f>IF(ISNA(VLOOKUP(A87,'Données projet'!$A$87:$I$107,7,0)),0%,VLOOKUP(A87,'Données projet'!$A$87:$I$107,7,0))</f>
        <v>0.2</v>
      </c>
      <c r="BP87" s="21">
        <f>EXP(-LN(2)/35)*BP86+(1-EXP(-LN(2)/35))/(LN(2)/35)*BL87*BM87*VLOOKUP('Données projet'!$B$11,Paramètres!$A$1:$I$89,3,0)*0.475*44/12</f>
        <v>54.835962977538443</v>
      </c>
      <c r="BQ87" s="21">
        <f>EXP(-LN(2)/25)*BQ86+(1-EXP(-LN(2)/25))/(LN(2)/25)*Calculateur!BL87*Calculateur!BN87*VLOOKUP('Données projet'!$B$11,Paramètres!$A$1:$I$89,3,0)*0.475*44/12</f>
        <v>21.454768118053046</v>
      </c>
      <c r="BR87" s="21">
        <f>EXP(-LN(2)/2)*BR86+(1-EXP(-LN(2)/2))/(LN(2)/2)*BL87*BO87*VLOOKUP('Données projet'!$B$11,Paramètres!$A$1:$I$89,3,0)*0.475*44/12</f>
        <v>9.0199086078139938</v>
      </c>
      <c r="BS87" s="22">
        <f t="shared" si="63"/>
        <v>85.310639703405485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14.393749999999997</v>
      </c>
      <c r="N88" s="13">
        <f>IF('Données projet'!$A$36&gt;35,N87+M88-V87,IF(A88&lt;'Données projet'!$A$36,$K$205^A88,IF(A88='Données projet'!$A$36,'Données projet'!$B$36,N87+M88-V87)))</f>
        <v>499.37249999999966</v>
      </c>
      <c r="O88" s="13">
        <f>N88*VLOOKUP('Données projet'!$B$9,Paramètres!$A$1:$I$89,3,0)*VLOOKUP('Données projet'!$B$9,Paramètres!$A$1:$I$89,5,0)</f>
        <v>233.70632999999984</v>
      </c>
      <c r="P88" s="13">
        <f t="shared" si="87"/>
        <v>57.083329601627817</v>
      </c>
      <c r="Q88" s="20">
        <f t="shared" si="54"/>
        <v>506.45865713950144</v>
      </c>
      <c r="R88" s="59">
        <f t="shared" si="55"/>
        <v>799.79199047283475</v>
      </c>
      <c r="S88" s="59">
        <f ca="1">AVERAGE(OFFSET($R$3,0,0,'Données projet'!$E$9+1,1))-AVERAGE(OFFSET($H$3,0,0,'Données projet'!$E$9+1,1))</f>
        <v>263.84804661819163</v>
      </c>
      <c r="T88" s="59">
        <f t="shared" si="88"/>
        <v>271.81541836379307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76.633517040254389</v>
      </c>
      <c r="AA88" s="21">
        <f>EXP(-LN(2)/25)*AA87+(1-EXP(-LN(2)/25))/(LN(2)/25)*Calculateur!V88*Calculateur!X88*VLOOKUP('Données projet'!$B$9,Paramètres!$A$1:$I$89,3,0)*0.475*44/12</f>
        <v>21.115856063273604</v>
      </c>
      <c r="AB88" s="21">
        <f>EXP(-LN(2)/2)*AB87+(1-EXP(-LN(2)/2))/(LN(2)/2)*V88*Y88*VLOOKUP('Données projet'!$B$9,Paramètres!$A$1:$I$89,3,0)*0.475*44/12</f>
        <v>1.2596228589099581</v>
      </c>
      <c r="AC88" s="22">
        <f t="shared" si="57"/>
        <v>99.008995962437965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270.04187128233121</v>
      </c>
      <c r="AO88" s="59">
        <f t="shared" si="90"/>
        <v>183.82555940776064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138.81797484667999</v>
      </c>
      <c r="AV88" s="21">
        <f>EXP(-LN(2)/25)*AV87+(1-EXP(-LN(2)/25))/(LN(2)/25)*Calculateur!AQ88*Calculateur!AS88*VLOOKUP('Données projet'!$B$10,Paramètres!$A$1:$I$89,3,0)*0.475*44/12</f>
        <v>45.046092869551856</v>
      </c>
      <c r="AW88" s="21">
        <f>EXP(-LN(2)/2)*AW87+(1-EXP(-LN(2)/2))/(LN(2)/2)*AQ88*AT88*VLOOKUP('Données projet'!$B$10,Paramètres!$A$1:$I$89,3,0)*0.475*44/12</f>
        <v>12.501054416870382</v>
      </c>
      <c r="AX88" s="21">
        <f t="shared" si="60"/>
        <v>196.3651221331022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7.1416666666666657</v>
      </c>
      <c r="BD88" s="12">
        <f>IF('Données projet'!$A$88&gt;35,BD87+BC88-BL87,IF(A88&lt;'Données projet'!$A$88,$BA$205^A88,IF(A88='Données projet'!$A$88,'Données projet'!$B$88,BD87+BC88-BL87)))</f>
        <v>431.39166666666659</v>
      </c>
      <c r="BE88" s="13">
        <f>BD88*VLOOKUP('Données projet'!$B$11,Paramètres!$A$1:$I$89,3,0)*VLOOKUP('Données projet'!$B$11,Paramètres!$A$1:$I$89,5,0)</f>
        <v>241.14794166666661</v>
      </c>
      <c r="BF88" s="13">
        <f t="shared" si="91"/>
        <v>58.686447091215065</v>
      </c>
      <c r="BG88" s="20">
        <f t="shared" si="61"/>
        <v>522.21156041997722</v>
      </c>
      <c r="BH88" s="59">
        <f t="shared" si="62"/>
        <v>815.54489375331059</v>
      </c>
      <c r="BI88" s="59">
        <f ca="1">AVERAGE(OFFSET($BH$3,0,0,'Données projet'!$E$11+1,1))-AVERAGE(OFFSET($H$3,0,0,'Données projet'!$E$11+1,1))</f>
        <v>293.82673322742102</v>
      </c>
      <c r="BJ88" s="59">
        <f t="shared" si="92"/>
        <v>138.78566015867693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53.760663190183749</v>
      </c>
      <c r="BQ88" s="21">
        <f>EXP(-LN(2)/25)*BQ87+(1-EXP(-LN(2)/25))/(LN(2)/25)*Calculateur!BL88*Calculateur!BN88*VLOOKUP('Données projet'!$B$11,Paramètres!$A$1:$I$89,3,0)*0.475*44/12</f>
        <v>20.868086355607666</v>
      </c>
      <c r="BR88" s="21">
        <f>EXP(-LN(2)/2)*BR87+(1-EXP(-LN(2)/2))/(LN(2)/2)*BL88*BO88*VLOOKUP('Données projet'!$B$11,Paramètres!$A$1:$I$89,3,0)*0.475*44/12</f>
        <v>6.3780385422681869</v>
      </c>
      <c r="BS88" s="22">
        <f t="shared" si="63"/>
        <v>81.006788088059594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14.393749999999997</v>
      </c>
      <c r="N89" s="13">
        <f>IF('Données projet'!$A$36&gt;35,N88+M89-V88,IF(A89&lt;'Données projet'!$A$36,$K$205^A89,IF(A89='Données projet'!$A$36,'Données projet'!$B$36,N88+M89-V88)))</f>
        <v>513.76624999999967</v>
      </c>
      <c r="O89" s="13">
        <f>N89*VLOOKUP('Données projet'!$B$9,Paramètres!$A$1:$I$89,3,0)*VLOOKUP('Données projet'!$B$9,Paramètres!$A$1:$I$89,5,0)</f>
        <v>240.44260499999984</v>
      </c>
      <c r="P89" s="13">
        <f t="shared" si="87"/>
        <v>58.534748890023565</v>
      </c>
      <c r="Q89" s="20">
        <f t="shared" si="54"/>
        <v>520.71889135845743</v>
      </c>
      <c r="R89" s="59">
        <f t="shared" si="55"/>
        <v>814.0522246917908</v>
      </c>
      <c r="S89" s="59">
        <f ca="1">AVERAGE(OFFSET($R$3,0,0,'Données projet'!$E$9+1,1))-AVERAGE(OFFSET($H$3,0,0,'Données projet'!$E$9+1,1))</f>
        <v>263.84804661819163</v>
      </c>
      <c r="T89" s="59">
        <f t="shared" si="88"/>
        <v>271.81541836379307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75.130780512925028</v>
      </c>
      <c r="AA89" s="21">
        <f>EXP(-LN(2)/25)*AA88+(1-EXP(-LN(2)/25))/(LN(2)/25)*Calculateur!V89*Calculateur!X89*VLOOKUP('Données projet'!$B$9,Paramètres!$A$1:$I$89,3,0)*0.475*44/12</f>
        <v>20.538441868788777</v>
      </c>
      <c r="AB89" s="21">
        <f>EXP(-LN(2)/2)*AB88+(1-EXP(-LN(2)/2))/(LN(2)/2)*V89*Y89*VLOOKUP('Données projet'!$B$9,Paramètres!$A$1:$I$89,3,0)*0.475*44/12</f>
        <v>0.89068786527281718</v>
      </c>
      <c r="AC89" s="22">
        <f t="shared" si="57"/>
        <v>96.559910246986632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270.04187128233121</v>
      </c>
      <c r="AO89" s="59">
        <f t="shared" si="90"/>
        <v>183.82555940776064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136.09583903054073</v>
      </c>
      <c r="AV89" s="21">
        <f>EXP(-LN(2)/25)*AV88+(1-EXP(-LN(2)/25))/(LN(2)/25)*Calculateur!AQ89*Calculateur!AS89*VLOOKUP('Données projet'!$B$10,Paramètres!$A$1:$I$89,3,0)*0.475*44/12</f>
        <v>43.814305091162893</v>
      </c>
      <c r="AW89" s="21">
        <f>EXP(-LN(2)/2)*AW88+(1-EXP(-LN(2)/2))/(LN(2)/2)*AQ89*AT89*VLOOKUP('Données projet'!$B$10,Paramètres!$A$1:$I$89,3,0)*0.475*44/12</f>
        <v>8.8395803501510883</v>
      </c>
      <c r="AX89" s="21">
        <f t="shared" si="60"/>
        <v>188.74972447185473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7.1416666666666657</v>
      </c>
      <c r="BD89" s="12">
        <f>IF('Données projet'!$A$88&gt;35,BD88+BC89-BL88,IF(A89&lt;'Données projet'!$A$88,$BA$205^A89,IF(A89='Données projet'!$A$88,'Données projet'!$B$88,BD88+BC89-BL88)))</f>
        <v>438.53333333333325</v>
      </c>
      <c r="BE89" s="13">
        <f>BD89*VLOOKUP('Données projet'!$B$11,Paramètres!$A$1:$I$89,3,0)*VLOOKUP('Données projet'!$B$11,Paramètres!$A$1:$I$89,5,0)</f>
        <v>245.1401333333333</v>
      </c>
      <c r="BF89" s="13">
        <f t="shared" si="91"/>
        <v>59.544087556844332</v>
      </c>
      <c r="BG89" s="20">
        <f t="shared" si="61"/>
        <v>530.65835138372609</v>
      </c>
      <c r="BH89" s="59">
        <f t="shared" si="62"/>
        <v>823.99168471705934</v>
      </c>
      <c r="BI89" s="59">
        <f ca="1">AVERAGE(OFFSET($BH$3,0,0,'Données projet'!$E$11+1,1))-AVERAGE(OFFSET($H$3,0,0,'Données projet'!$E$11+1,1))</f>
        <v>293.82673322742102</v>
      </c>
      <c r="BJ89" s="59">
        <f t="shared" si="92"/>
        <v>138.78566015867693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52.706449375790974</v>
      </c>
      <c r="BQ89" s="21">
        <f>EXP(-LN(2)/25)*BQ88+(1-EXP(-LN(2)/25))/(LN(2)/25)*Calculateur!BL89*Calculateur!BN89*VLOOKUP('Données projet'!$B$11,Paramètres!$A$1:$I$89,3,0)*0.475*44/12</f>
        <v>20.297447436808607</v>
      </c>
      <c r="BR89" s="21">
        <f>EXP(-LN(2)/2)*BR88+(1-EXP(-LN(2)/2))/(LN(2)/2)*BL89*BO89*VLOOKUP('Données projet'!$B$11,Paramètres!$A$1:$I$89,3,0)*0.475*44/12</f>
        <v>4.5099543039069978</v>
      </c>
      <c r="BS89" s="22">
        <f t="shared" si="63"/>
        <v>77.513851116506572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528.16</v>
      </c>
      <c r="L90" s="12">
        <f>VLOOKUP(A90,'Données projet'!$A$35:$I$55,9,0)</f>
        <v>14.393749999999997</v>
      </c>
      <c r="M90" s="12">
        <f t="array" ref="M90">INDEX(L:L,MIN(IF(ISNUMBER(L90:L286),ROW(L90:L286),"")))</f>
        <v>14.393749999999997</v>
      </c>
      <c r="N90" s="13">
        <f>IF('Données projet'!$A$36&gt;35,N89+M90-V89,IF(A90&lt;'Données projet'!$A$36,$K$205^A90,IF(A90='Données projet'!$A$36,'Données projet'!$B$36,N89+M90-V89)))</f>
        <v>528.15999999999963</v>
      </c>
      <c r="O90" s="13">
        <f>N90*VLOOKUP('Données projet'!$B$9,Paramètres!$A$1:$I$89,3,0)*VLOOKUP('Données projet'!$B$9,Paramètres!$A$1:$I$89,5,0)</f>
        <v>247.17887999999982</v>
      </c>
      <c r="P90" s="13">
        <f t="shared" si="87"/>
        <v>59.981442040949325</v>
      </c>
      <c r="Q90" s="20">
        <f t="shared" si="54"/>
        <v>534.97089422131978</v>
      </c>
      <c r="R90" s="59">
        <f t="shared" si="55"/>
        <v>828.30422755465315</v>
      </c>
      <c r="S90" s="59">
        <f ca="1">AVERAGE(OFFSET($R$3,0,0,'Données projet'!$E$9+1,1))-AVERAGE(OFFSET($H$3,0,0,'Données projet'!$E$9+1,1))</f>
        <v>263.84804661819163</v>
      </c>
      <c r="T90" s="59">
        <f t="shared" si="88"/>
        <v>271.81541836379307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89.649999999999977</v>
      </c>
      <c r="W90" s="16">
        <f>IF(ISNA(VLOOKUP(A90,'Données projet'!$A$35:$I$55,5,0)),0%,VLOOKUP(A90,'Données projet'!$A$35:$I$55,5,0)*VLOOKUP('Données projet'!$B$9,Paramètres!$A$1:$I$89,7,0))</f>
        <v>0.33</v>
      </c>
      <c r="X90" s="16">
        <f>IF(ISNA(VLOOKUP(A90,'Données projet'!$A$35:$I$55,6,0)),0%,VLOOKUP(A90,'Données projet'!$A$35:$I$55,6,0)*VLOOKUP('Données projet'!$B$9,Paramètres!$A$1:$I$89,7,0))</f>
        <v>0.11000000000000001</v>
      </c>
      <c r="Y90" s="16">
        <f>IF(ISNA(VLOOKUP(A90,'Données projet'!$A$35:$I$55,7,0)),0%,VLOOKUP(A90,'Données projet'!$A$35:$I$55,7,0))</f>
        <v>0.2</v>
      </c>
      <c r="Z90" s="21">
        <f>EXP(-LN(2)/35)*Z89+(1-EXP(-LN(2)/35))/(LN(2)/35)*V90*W90*VLOOKUP('Données projet'!$B$9,Paramètres!$A$1:$I$89,3,0)*0.475*44/12</f>
        <v>92.02452092207092</v>
      </c>
      <c r="AA90" s="21">
        <f>EXP(-LN(2)/25)*AA89+(1-EXP(-LN(2)/25))/(LN(2)/25)*Calculateur!V90*Calculateur!X90*VLOOKUP('Données projet'!$B$9,Paramètres!$A$1:$I$89,3,0)*0.475*44/12</f>
        <v>26.075047521214991</v>
      </c>
      <c r="AB90" s="21">
        <f>EXP(-LN(2)/2)*AB89+(1-EXP(-LN(2)/2))/(LN(2)/2)*V90*Y90*VLOOKUP('Données projet'!$B$9,Paramètres!$A$1:$I$89,3,0)*0.475*44/12</f>
        <v>10.130644373750957</v>
      </c>
      <c r="AC90" s="22">
        <f t="shared" si="57"/>
        <v>128.23021281703686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270.04187128233121</v>
      </c>
      <c r="AO90" s="59">
        <f t="shared" si="90"/>
        <v>183.82555940776064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133.42708263741704</v>
      </c>
      <c r="AV90" s="21">
        <f>EXP(-LN(2)/25)*AV89+(1-EXP(-LN(2)/25))/(LN(2)/25)*Calculateur!AQ90*Calculateur!AS90*VLOOKUP('Données projet'!$B$10,Paramètres!$A$1:$I$89,3,0)*0.475*44/12</f>
        <v>42.61620061435088</v>
      </c>
      <c r="AW90" s="21">
        <f>EXP(-LN(2)/2)*AW89+(1-EXP(-LN(2)/2))/(LN(2)/2)*AQ90*AT90*VLOOKUP('Données projet'!$B$10,Paramètres!$A$1:$I$89,3,0)*0.475*44/12</f>
        <v>6.2505272084351908</v>
      </c>
      <c r="AX90" s="21">
        <f t="shared" si="60"/>
        <v>182.2938104602031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7.1416666666666657</v>
      </c>
      <c r="BD90" s="12">
        <f>IF('Données projet'!$A$88&gt;35,BD89+BC90-BL89,IF(A90&lt;'Données projet'!$A$88,$BA$205^A90,IF(A90='Données projet'!$A$88,'Données projet'!$B$88,BD89+BC90-BL89)))</f>
        <v>445.6749999999999</v>
      </c>
      <c r="BE90" s="13">
        <f>BD90*VLOOKUP('Données projet'!$B$11,Paramètres!$A$1:$I$89,3,0)*VLOOKUP('Données projet'!$B$11,Paramètres!$A$1:$I$89,5,0)</f>
        <v>249.13232499999995</v>
      </c>
      <c r="BF90" s="13">
        <f t="shared" si="91"/>
        <v>60.400103731076321</v>
      </c>
      <c r="BG90" s="20">
        <f t="shared" si="61"/>
        <v>539.10231337329117</v>
      </c>
      <c r="BH90" s="59">
        <f t="shared" si="62"/>
        <v>832.43564670662454</v>
      </c>
      <c r="BI90" s="59">
        <f ca="1">AVERAGE(OFFSET($BH$3,0,0,'Données projet'!$E$11+1,1))-AVERAGE(OFFSET($H$3,0,0,'Données projet'!$E$11+1,1))</f>
        <v>293.82673322742102</v>
      </c>
      <c r="BJ90" s="59">
        <f t="shared" si="92"/>
        <v>138.78566015867693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51.672908051291508</v>
      </c>
      <c r="BQ90" s="21">
        <f>EXP(-LN(2)/25)*BQ89+(1-EXP(-LN(2)/25))/(LN(2)/25)*Calculateur!BL90*Calculateur!BN90*VLOOKUP('Données projet'!$B$11,Paramètres!$A$1:$I$89,3,0)*0.475*44/12</f>
        <v>19.742412669252705</v>
      </c>
      <c r="BR90" s="21">
        <f>EXP(-LN(2)/2)*BR89+(1-EXP(-LN(2)/2))/(LN(2)/2)*BL90*BO90*VLOOKUP('Données projet'!$B$11,Paramètres!$A$1:$I$89,3,0)*0.475*44/12</f>
        <v>3.1890192711340939</v>
      </c>
      <c r="BS90" s="22">
        <f t="shared" si="63"/>
        <v>74.604339991678316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13.340000000000003</v>
      </c>
      <c r="N91" s="13">
        <f>IF('Données projet'!$A$36&gt;35,N90+M91-V90,IF(A91&lt;'Données projet'!$A$36,$K$205^A91,IF(A91='Données projet'!$A$36,'Données projet'!$B$36,N90+M91-V90)))</f>
        <v>451.84999999999968</v>
      </c>
      <c r="O91" s="13">
        <f>N91*VLOOKUP('Données projet'!$B$9,Paramètres!$A$1:$I$89,3,0)*VLOOKUP('Données projet'!$B$9,Paramètres!$A$1:$I$89,5,0)</f>
        <v>211.46579999999986</v>
      </c>
      <c r="P91" s="13">
        <f t="shared" si="87"/>
        <v>52.255770090891588</v>
      </c>
      <c r="Q91" s="20">
        <f t="shared" si="54"/>
        <v>459.31506790830252</v>
      </c>
      <c r="R91" s="59">
        <f t="shared" si="55"/>
        <v>752.64840124163584</v>
      </c>
      <c r="S91" s="59">
        <f ca="1">AVERAGE(OFFSET($R$3,0,0,'Données projet'!$E$9+1,1))-AVERAGE(OFFSET($H$3,0,0,'Données projet'!$E$9+1,1))</f>
        <v>263.84804661819163</v>
      </c>
      <c r="T91" s="59">
        <f t="shared" si="88"/>
        <v>271.81541836379307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90.219976196204556</v>
      </c>
      <c r="AA91" s="21">
        <f>EXP(-LN(2)/25)*AA90+(1-EXP(-LN(2)/25))/(LN(2)/25)*Calculateur!V91*Calculateur!X91*VLOOKUP('Données projet'!$B$9,Paramètres!$A$1:$I$89,3,0)*0.475*44/12</f>
        <v>25.362023975520213</v>
      </c>
      <c r="AB91" s="21">
        <f>EXP(-LN(2)/2)*AB90+(1-EXP(-LN(2)/2))/(LN(2)/2)*V91*Y91*VLOOKUP('Données projet'!$B$9,Paramètres!$A$1:$I$89,3,0)*0.475*44/12</f>
        <v>7.163447334468648</v>
      </c>
      <c r="AC91" s="22">
        <f t="shared" si="57"/>
        <v>122.74544750619341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270.04187128233121</v>
      </c>
      <c r="AO91" s="59">
        <f t="shared" si="90"/>
        <v>183.82555940776064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130.81065892938184</v>
      </c>
      <c r="AV91" s="21">
        <f>EXP(-LN(2)/25)*AV90+(1-EXP(-LN(2)/25))/(LN(2)/25)*Calculateur!AQ91*Calculateur!AS91*VLOOKUP('Données projet'!$B$10,Paramètres!$A$1:$I$89,3,0)*0.475*44/12</f>
        <v>41.450858367462864</v>
      </c>
      <c r="AW91" s="21">
        <f>EXP(-LN(2)/2)*AW90+(1-EXP(-LN(2)/2))/(LN(2)/2)*AQ91*AT91*VLOOKUP('Données projet'!$B$10,Paramètres!$A$1:$I$89,3,0)*0.475*44/12</f>
        <v>4.4197901750755442</v>
      </c>
      <c r="AX91" s="21">
        <f t="shared" si="60"/>
        <v>176.68130747192026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7.1416666666666657</v>
      </c>
      <c r="BD91" s="12">
        <f>IF('Données projet'!$A$88&gt;35,BD90+BC91-BL90,IF(A91&lt;'Données projet'!$A$88,$BA$205^A91,IF(A91='Données projet'!$A$88,'Données projet'!$B$88,BD90+BC91-BL90)))</f>
        <v>452.81666666666655</v>
      </c>
      <c r="BE91" s="13">
        <f>BD91*VLOOKUP('Données projet'!$B$11,Paramètres!$A$1:$I$89,3,0)*VLOOKUP('Données projet'!$B$11,Paramètres!$A$1:$I$89,5,0)</f>
        <v>253.12451666666658</v>
      </c>
      <c r="BF91" s="13">
        <f t="shared" si="91"/>
        <v>61.254524647287759</v>
      </c>
      <c r="BG91" s="20">
        <f t="shared" si="61"/>
        <v>547.54349695513713</v>
      </c>
      <c r="BH91" s="59">
        <f t="shared" si="62"/>
        <v>840.8768302884705</v>
      </c>
      <c r="BI91" s="59">
        <f ca="1">AVERAGE(OFFSET($BH$3,0,0,'Données projet'!$E$11+1,1))-AVERAGE(OFFSET($H$3,0,0,'Données projet'!$E$11+1,1))</f>
        <v>293.82673322742102</v>
      </c>
      <c r="BJ91" s="59">
        <f t="shared" si="92"/>
        <v>138.78566015867693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50.659633841767508</v>
      </c>
      <c r="BQ91" s="21">
        <f>EXP(-LN(2)/25)*BQ90+(1-EXP(-LN(2)/25))/(LN(2)/25)*Calculateur!BL91*Calculateur!BN91*VLOOKUP('Données projet'!$B$11,Paramètres!$A$1:$I$89,3,0)*0.475*44/12</f>
        <v>19.202555356603629</v>
      </c>
      <c r="BR91" s="21">
        <f>EXP(-LN(2)/2)*BR90+(1-EXP(-LN(2)/2))/(LN(2)/2)*BL91*BO91*VLOOKUP('Données projet'!$B$11,Paramètres!$A$1:$I$89,3,0)*0.475*44/12</f>
        <v>2.2549771519534993</v>
      </c>
      <c r="BS91" s="22">
        <f t="shared" si="63"/>
        <v>72.117166350324638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13.340000000000003</v>
      </c>
      <c r="N92" s="13">
        <f>IF('Données projet'!$A$36&gt;35,N91+M92-V91,IF(A92&lt;'Données projet'!$A$36,$K$205^A92,IF(A92='Données projet'!$A$36,'Données projet'!$B$36,N91+M92-V91)))</f>
        <v>465.18999999999971</v>
      </c>
      <c r="O92" s="13">
        <f>N92*VLOOKUP('Données projet'!$B$9,Paramètres!$A$1:$I$89,3,0)*VLOOKUP('Données projet'!$B$9,Paramètres!$A$1:$I$89,5,0)</f>
        <v>217.70891999999986</v>
      </c>
      <c r="P92" s="13">
        <f t="shared" si="87"/>
        <v>53.616627818378738</v>
      </c>
      <c r="Q92" s="20">
        <f t="shared" si="54"/>
        <v>472.55866245034264</v>
      </c>
      <c r="R92" s="59">
        <f t="shared" si="55"/>
        <v>765.89199578367595</v>
      </c>
      <c r="S92" s="59">
        <f ca="1">AVERAGE(OFFSET($R$3,0,0,'Données projet'!$E$9+1,1))-AVERAGE(OFFSET($H$3,0,0,'Données projet'!$E$9+1,1))</f>
        <v>263.84804661819163</v>
      </c>
      <c r="T92" s="59">
        <f t="shared" si="88"/>
        <v>271.81541836379307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88.450817491748822</v>
      </c>
      <c r="AA92" s="21">
        <f>EXP(-LN(2)/25)*AA91+(1-EXP(-LN(2)/25))/(LN(2)/25)*Calculateur!V92*Calculateur!X92*VLOOKUP('Données projet'!$B$9,Paramètres!$A$1:$I$89,3,0)*0.475*44/12</f>
        <v>24.668498096178737</v>
      </c>
      <c r="AB92" s="21">
        <f>EXP(-LN(2)/2)*AB91+(1-EXP(-LN(2)/2))/(LN(2)/2)*V92*Y92*VLOOKUP('Données projet'!$B$9,Paramètres!$A$1:$I$89,3,0)*0.475*44/12</f>
        <v>5.0653221868754796</v>
      </c>
      <c r="AC92" s="22">
        <f t="shared" si="57"/>
        <v>118.18463777480304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270.04187128233121</v>
      </c>
      <c r="AO92" s="59">
        <f t="shared" si="90"/>
        <v>183.82555940776064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128.24554169440034</v>
      </c>
      <c r="AV92" s="21">
        <f>EXP(-LN(2)/25)*AV91+(1-EXP(-LN(2)/25))/(LN(2)/25)*Calculateur!AQ92*Calculateur!AS92*VLOOKUP('Données projet'!$B$10,Paramètres!$A$1:$I$89,3,0)*0.475*44/12</f>
        <v>40.317382465598691</v>
      </c>
      <c r="AW92" s="21">
        <f>EXP(-LN(2)/2)*AW91+(1-EXP(-LN(2)/2))/(LN(2)/2)*AQ92*AT92*VLOOKUP('Données projet'!$B$10,Paramètres!$A$1:$I$89,3,0)*0.475*44/12</f>
        <v>3.1252636042175954</v>
      </c>
      <c r="AX92" s="21">
        <f t="shared" si="60"/>
        <v>171.68818776421662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7.1416666666666657</v>
      </c>
      <c r="BD92" s="12">
        <f>IF('Données projet'!$A$88&gt;35,BD91+BC92-BL91,IF(A92&lt;'Données projet'!$A$88,$BA$205^A92,IF(A92='Données projet'!$A$88,'Données projet'!$B$88,BD91+BC92-BL91)))</f>
        <v>459.9583333333332</v>
      </c>
      <c r="BE92" s="13">
        <f>BD92*VLOOKUP('Données projet'!$B$11,Paramètres!$A$1:$I$89,3,0)*VLOOKUP('Données projet'!$B$11,Paramètres!$A$1:$I$89,5,0)</f>
        <v>257.11670833333329</v>
      </c>
      <c r="BF92" s="13">
        <f t="shared" si="91"/>
        <v>62.107378370515953</v>
      </c>
      <c r="BG92" s="20">
        <f t="shared" si="61"/>
        <v>555.98195100920418</v>
      </c>
      <c r="BH92" s="59">
        <f t="shared" si="62"/>
        <v>849.31528434253755</v>
      </c>
      <c r="BI92" s="59">
        <f ca="1">AVERAGE(OFFSET($BH$3,0,0,'Données projet'!$E$11+1,1))-AVERAGE(OFFSET($H$3,0,0,'Données projet'!$E$11+1,1))</f>
        <v>293.82673322742102</v>
      </c>
      <c r="BJ92" s="59">
        <f t="shared" si="92"/>
        <v>138.78566015867693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49.666229321456036</v>
      </c>
      <c r="BQ92" s="21">
        <f>EXP(-LN(2)/25)*BQ91+(1-EXP(-LN(2)/25))/(LN(2)/25)*Calculateur!BL92*Calculateur!BN92*VLOOKUP('Données projet'!$B$11,Paramètres!$A$1:$I$89,3,0)*0.475*44/12</f>
        <v>18.677460470558803</v>
      </c>
      <c r="BR92" s="21">
        <f>EXP(-LN(2)/2)*BR91+(1-EXP(-LN(2)/2))/(LN(2)/2)*BL92*BO92*VLOOKUP('Données projet'!$B$11,Paramètres!$A$1:$I$89,3,0)*0.475*44/12</f>
        <v>1.5945096355670474</v>
      </c>
      <c r="BS92" s="22">
        <f t="shared" si="63"/>
        <v>69.938199427581893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13.340000000000003</v>
      </c>
      <c r="N93" s="13">
        <f>IF('Données projet'!$A$36&gt;35,N92+M93-V92,IF(A93&lt;'Données projet'!$A$36,$K$205^A93,IF(A93='Données projet'!$A$36,'Données projet'!$B$36,N92+M93-V92)))</f>
        <v>478.52999999999975</v>
      </c>
      <c r="O93" s="13">
        <f>N93*VLOOKUP('Données projet'!$B$9,Paramètres!$A$1:$I$89,3,0)*VLOOKUP('Données projet'!$B$9,Paramètres!$A$1:$I$89,5,0)</f>
        <v>223.95203999999987</v>
      </c>
      <c r="P93" s="13">
        <f t="shared" si="87"/>
        <v>54.972950001288204</v>
      </c>
      <c r="Q93" s="20">
        <f t="shared" si="54"/>
        <v>485.79435758557662</v>
      </c>
      <c r="R93" s="59">
        <f t="shared" si="55"/>
        <v>779.12769091890993</v>
      </c>
      <c r="S93" s="59">
        <f ca="1">AVERAGE(OFFSET($R$3,0,0,'Données projet'!$E$9+1,1))-AVERAGE(OFFSET($H$3,0,0,'Données projet'!$E$9+1,1))</f>
        <v>263.84804661819163</v>
      </c>
      <c r="T93" s="59">
        <f t="shared" si="88"/>
        <v>271.81541836379307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86.716350910407215</v>
      </c>
      <c r="AA93" s="21">
        <f>EXP(-LN(2)/25)*AA92+(1-EXP(-LN(2)/25))/(LN(2)/25)*Calculateur!V93*Calculateur!X93*VLOOKUP('Données projet'!$B$9,Paramètres!$A$1:$I$89,3,0)*0.475*44/12</f>
        <v>23.993936718478796</v>
      </c>
      <c r="AB93" s="21">
        <f>EXP(-LN(2)/2)*AB92+(1-EXP(-LN(2)/2))/(LN(2)/2)*V93*Y93*VLOOKUP('Données projet'!$B$9,Paramètres!$A$1:$I$89,3,0)*0.475*44/12</f>
        <v>3.5817236672343244</v>
      </c>
      <c r="AC93" s="22">
        <f t="shared" si="57"/>
        <v>114.29201129612034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270.04187128233121</v>
      </c>
      <c r="AO93" s="59">
        <f t="shared" si="90"/>
        <v>183.82555940776064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125.7307248438298</v>
      </c>
      <c r="AV93" s="21">
        <f>EXP(-LN(2)/25)*AV92+(1-EXP(-LN(2)/25))/(LN(2)/25)*Calculateur!AQ93*Calculateur!AS93*VLOOKUP('Données projet'!$B$10,Paramètres!$A$1:$I$89,3,0)*0.475*44/12</f>
        <v>39.214901521877898</v>
      </c>
      <c r="AW93" s="21">
        <f>EXP(-LN(2)/2)*AW92+(1-EXP(-LN(2)/2))/(LN(2)/2)*AQ93*AT93*VLOOKUP('Données projet'!$B$10,Paramètres!$A$1:$I$89,3,0)*0.475*44/12</f>
        <v>2.2098950875377721</v>
      </c>
      <c r="AX93" s="21">
        <f t="shared" si="60"/>
        <v>167.15552145324548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7.1416666666666657</v>
      </c>
      <c r="BD93" s="12">
        <f>IF('Données projet'!$A$88&gt;35,BD92+BC93-BL92,IF(A93&lt;'Données projet'!$A$88,$BA$205^A93,IF(A93='Données projet'!$A$88,'Données projet'!$B$88,BD92+BC93-BL92)))</f>
        <v>467.09999999999985</v>
      </c>
      <c r="BE93" s="13">
        <f>BD93*VLOOKUP('Données projet'!$B$11,Paramètres!$A$1:$I$89,3,0)*VLOOKUP('Données projet'!$B$11,Paramètres!$A$1:$I$89,5,0)</f>
        <v>261.10889999999989</v>
      </c>
      <c r="BF93" s="13">
        <f t="shared" si="91"/>
        <v>62.958692044279395</v>
      </c>
      <c r="BG93" s="20">
        <f t="shared" si="61"/>
        <v>564.41772281045303</v>
      </c>
      <c r="BH93" s="59">
        <f t="shared" si="62"/>
        <v>857.7510561437864</v>
      </c>
      <c r="BI93" s="59">
        <f ca="1">AVERAGE(OFFSET($BH$3,0,0,'Données projet'!$E$11+1,1))-AVERAGE(OFFSET($H$3,0,0,'Données projet'!$E$11+1,1))</f>
        <v>293.82673322742102</v>
      </c>
      <c r="BJ93" s="59">
        <f t="shared" si="92"/>
        <v>138.78566015867693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48.692304857870944</v>
      </c>
      <c r="BQ93" s="21">
        <f>EXP(-LN(2)/25)*BQ92+(1-EXP(-LN(2)/25))/(LN(2)/25)*Calculateur!BL93*Calculateur!BN93*VLOOKUP('Données projet'!$B$11,Paramètres!$A$1:$I$89,3,0)*0.475*44/12</f>
        <v>18.166724331786416</v>
      </c>
      <c r="BR93" s="21">
        <f>EXP(-LN(2)/2)*BR92+(1-EXP(-LN(2)/2))/(LN(2)/2)*BL93*BO93*VLOOKUP('Données projet'!$B$11,Paramètres!$A$1:$I$89,3,0)*0.475*44/12</f>
        <v>1.1274885759767499</v>
      </c>
      <c r="BS93" s="22">
        <f t="shared" si="63"/>
        <v>67.986517765634119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13.340000000000003</v>
      </c>
      <c r="N94" s="13">
        <f>IF('Données projet'!$A$36&gt;35,N93+M94-V93,IF(A94&lt;'Données projet'!$A$36,$K$205^A94,IF(A94='Données projet'!$A$36,'Données projet'!$B$36,N93+M94-V93)))</f>
        <v>491.86999999999978</v>
      </c>
      <c r="O94" s="13">
        <f>N94*VLOOKUP('Données projet'!$B$9,Paramètres!$A$1:$I$89,3,0)*VLOOKUP('Données projet'!$B$9,Paramètres!$A$1:$I$89,5,0)</f>
        <v>230.19515999999987</v>
      </c>
      <c r="P94" s="13">
        <f t="shared" si="87"/>
        <v>56.324877602728051</v>
      </c>
      <c r="Q94" s="20">
        <f t="shared" si="54"/>
        <v>499.02239882475118</v>
      </c>
      <c r="R94" s="59">
        <f t="shared" si="55"/>
        <v>792.35573215808449</v>
      </c>
      <c r="S94" s="59">
        <f ca="1">AVERAGE(OFFSET($R$3,0,0,'Données projet'!$E$9+1,1))-AVERAGE(OFFSET($H$3,0,0,'Données projet'!$E$9+1,1))</f>
        <v>263.84804661819163</v>
      </c>
      <c r="T94" s="59">
        <f t="shared" si="88"/>
        <v>271.81541836379307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85.015896160805553</v>
      </c>
      <c r="AA94" s="21">
        <f>EXP(-LN(2)/25)*AA93+(1-EXP(-LN(2)/25))/(LN(2)/25)*Calculateur!V94*Calculateur!X94*VLOOKUP('Données projet'!$B$9,Paramètres!$A$1:$I$89,3,0)*0.475*44/12</f>
        <v>23.3378212571257</v>
      </c>
      <c r="AB94" s="21">
        <f>EXP(-LN(2)/2)*AB93+(1-EXP(-LN(2)/2))/(LN(2)/2)*V94*Y94*VLOOKUP('Données projet'!$B$9,Paramètres!$A$1:$I$89,3,0)*0.475*44/12</f>
        <v>2.5326610934377403</v>
      </c>
      <c r="AC94" s="22">
        <f t="shared" si="57"/>
        <v>110.88637851136899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270.04187128233121</v>
      </c>
      <c r="AO94" s="59">
        <f t="shared" si="90"/>
        <v>183.82555940776064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123.26522201781214</v>
      </c>
      <c r="AV94" s="21">
        <f>EXP(-LN(2)/25)*AV93+(1-EXP(-LN(2)/25))/(LN(2)/25)*Calculateur!AQ94*Calculateur!AS94*VLOOKUP('Données projet'!$B$10,Paramètres!$A$1:$I$89,3,0)*0.475*44/12</f>
        <v>38.142567977540104</v>
      </c>
      <c r="AW94" s="21">
        <f>EXP(-LN(2)/2)*AW93+(1-EXP(-LN(2)/2))/(LN(2)/2)*AQ94*AT94*VLOOKUP('Données projet'!$B$10,Paramètres!$A$1:$I$89,3,0)*0.475*44/12</f>
        <v>1.5626318021087977</v>
      </c>
      <c r="AX94" s="21">
        <f t="shared" si="60"/>
        <v>162.97042179746103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7.1416666666666657</v>
      </c>
      <c r="BD94" s="12">
        <f>IF('Données projet'!$A$88&gt;35,BD93+BC94-BL93,IF(A94&lt;'Données projet'!$A$88,$BA$205^A94,IF(A94='Données projet'!$A$88,'Données projet'!$B$88,BD93+BC94-BL93)))</f>
        <v>474.2416666666665</v>
      </c>
      <c r="BE94" s="13">
        <f>BD94*VLOOKUP('Données projet'!$B$11,Paramètres!$A$1:$I$89,3,0)*VLOOKUP('Données projet'!$B$11,Paramètres!$A$1:$I$89,5,0)</f>
        <v>265.1010916666666</v>
      </c>
      <c r="BF94" s="13">
        <f t="shared" si="91"/>
        <v>63.808491934453961</v>
      </c>
      <c r="BG94" s="20">
        <f t="shared" si="61"/>
        <v>572.85085810528494</v>
      </c>
      <c r="BH94" s="59">
        <f t="shared" si="62"/>
        <v>866.1841914386182</v>
      </c>
      <c r="BI94" s="59">
        <f ca="1">AVERAGE(OFFSET($BH$3,0,0,'Données projet'!$E$11+1,1))-AVERAGE(OFFSET($H$3,0,0,'Données projet'!$E$11+1,1))</f>
        <v>293.82673322742102</v>
      </c>
      <c r="BJ94" s="59">
        <f t="shared" si="92"/>
        <v>138.78566015867693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47.737478458981485</v>
      </c>
      <c r="BQ94" s="21">
        <f>EXP(-LN(2)/25)*BQ93+(1-EXP(-LN(2)/25))/(LN(2)/25)*Calculateur!BL94*Calculateur!BN94*VLOOKUP('Données projet'!$B$11,Paramètres!$A$1:$I$89,3,0)*0.475*44/12</f>
        <v>17.669954299587204</v>
      </c>
      <c r="BR94" s="21">
        <f>EXP(-LN(2)/2)*BR93+(1-EXP(-LN(2)/2))/(LN(2)/2)*BL94*BO94*VLOOKUP('Données projet'!$B$11,Paramètres!$A$1:$I$89,3,0)*0.475*44/12</f>
        <v>0.79725481778352381</v>
      </c>
      <c r="BS94" s="22">
        <f t="shared" si="63"/>
        <v>66.204687576352214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13.340000000000003</v>
      </c>
      <c r="N95" s="13">
        <f>IF('Données projet'!$A$36&gt;35,N94+M95-V94,IF(A95&lt;'Données projet'!$A$36,$K$205^A95,IF(A95='Données projet'!$A$36,'Données projet'!$B$36,N94+M95-V94)))</f>
        <v>505.20999999999981</v>
      </c>
      <c r="O95" s="13">
        <f>N95*VLOOKUP('Données projet'!$B$9,Paramètres!$A$1:$I$89,3,0)*VLOOKUP('Données projet'!$B$9,Paramètres!$A$1:$I$89,5,0)</f>
        <v>236.43827999999993</v>
      </c>
      <c r="P95" s="13">
        <f t="shared" si="87"/>
        <v>57.67254350444987</v>
      </c>
      <c r="Q95" s="20">
        <f t="shared" si="54"/>
        <v>512.24301760358333</v>
      </c>
      <c r="R95" s="59">
        <f t="shared" si="55"/>
        <v>805.5763509369167</v>
      </c>
      <c r="S95" s="59">
        <f ca="1">AVERAGE(OFFSET($R$3,0,0,'Données projet'!$E$9+1,1))-AVERAGE(OFFSET($H$3,0,0,'Données projet'!$E$9+1,1))</f>
        <v>263.84804661819163</v>
      </c>
      <c r="T95" s="59">
        <f t="shared" si="88"/>
        <v>271.81541836379307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83.348786291668603</v>
      </c>
      <c r="AA95" s="21">
        <f>EXP(-LN(2)/25)*AA94+(1-EXP(-LN(2)/25))/(LN(2)/25)*Calculateur!V95*Calculateur!X95*VLOOKUP('Données projet'!$B$9,Paramètres!$A$1:$I$89,3,0)*0.475*44/12</f>
        <v>22.699647307566917</v>
      </c>
      <c r="AB95" s="21">
        <f>EXP(-LN(2)/2)*AB94+(1-EXP(-LN(2)/2))/(LN(2)/2)*V95*Y95*VLOOKUP('Données projet'!$B$9,Paramètres!$A$1:$I$89,3,0)*0.475*44/12</f>
        <v>1.7908618336171624</v>
      </c>
      <c r="AC95" s="22">
        <f t="shared" si="57"/>
        <v>107.83929543285268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270.04187128233121</v>
      </c>
      <c r="AO95" s="59">
        <f t="shared" si="90"/>
        <v>183.82555940776064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120.84806619840442</v>
      </c>
      <c r="AV95" s="21">
        <f>EXP(-LN(2)/25)*AV94+(1-EXP(-LN(2)/25))/(LN(2)/25)*Calculateur!AQ95*Calculateur!AS95*VLOOKUP('Données projet'!$B$10,Paramètres!$A$1:$I$89,3,0)*0.475*44/12</f>
        <v>37.099557450363797</v>
      </c>
      <c r="AW95" s="21">
        <f>EXP(-LN(2)/2)*AW94+(1-EXP(-LN(2)/2))/(LN(2)/2)*AQ95*AT95*VLOOKUP('Données projet'!$B$10,Paramètres!$A$1:$I$89,3,0)*0.475*44/12</f>
        <v>1.104947543768886</v>
      </c>
      <c r="AX95" s="21">
        <f t="shared" si="60"/>
        <v>159.0525711925371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7.1416666666666657</v>
      </c>
      <c r="BD95" s="12">
        <f>IF('Données projet'!$A$88&gt;35,BD94+BC95-BL94,IF(A95&lt;'Données projet'!$A$88,$BA$205^A95,IF(A95='Données projet'!$A$88,'Données projet'!$B$88,BD94+BC95-BL94)))</f>
        <v>481.38333333333316</v>
      </c>
      <c r="BE95" s="13">
        <f>BD95*VLOOKUP('Données projet'!$B$11,Paramètres!$A$1:$I$89,3,0)*VLOOKUP('Données projet'!$B$11,Paramètres!$A$1:$I$89,5,0)</f>
        <v>269.0932833333332</v>
      </c>
      <c r="BF95" s="13">
        <f t="shared" si="91"/>
        <v>64.656803470430887</v>
      </c>
      <c r="BG95" s="20">
        <f t="shared" si="61"/>
        <v>581.28140118322233</v>
      </c>
      <c r="BH95" s="59">
        <f t="shared" si="62"/>
        <v>874.6147345165557</v>
      </c>
      <c r="BI95" s="59">
        <f ca="1">AVERAGE(OFFSET($BH$3,0,0,'Données projet'!$E$11+1,1))-AVERAGE(OFFSET($H$3,0,0,'Données projet'!$E$11+1,1))</f>
        <v>293.82673322742102</v>
      </c>
      <c r="BJ95" s="59">
        <f t="shared" si="92"/>
        <v>138.78566015867693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46.801375623387656</v>
      </c>
      <c r="BQ95" s="21">
        <f>EXP(-LN(2)/25)*BQ94+(1-EXP(-LN(2)/25))/(LN(2)/25)*Calculateur!BL95*Calculateur!BN95*VLOOKUP('Données projet'!$B$11,Paramètres!$A$1:$I$89,3,0)*0.475*44/12</f>
        <v>17.18676847004248</v>
      </c>
      <c r="BR95" s="21">
        <f>EXP(-LN(2)/2)*BR94+(1-EXP(-LN(2)/2))/(LN(2)/2)*BL95*BO95*VLOOKUP('Données projet'!$B$11,Paramètres!$A$1:$I$89,3,0)*0.475*44/12</f>
        <v>0.56374428798837506</v>
      </c>
      <c r="BS95" s="22">
        <f t="shared" si="63"/>
        <v>64.551888381418507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13.340000000000003</v>
      </c>
      <c r="N96" s="13">
        <f>IF('Données projet'!$A$36&gt;35,N95+M96-V95,IF(A96&lt;'Données projet'!$A$36,$K$205^A96,IF(A96='Données projet'!$A$36,'Données projet'!$B$36,N95+M96-V95)))</f>
        <v>518.54999999999984</v>
      </c>
      <c r="O96" s="13">
        <f>N96*VLOOKUP('Données projet'!$B$9,Paramètres!$A$1:$I$89,3,0)*VLOOKUP('Données projet'!$B$9,Paramètres!$A$1:$I$89,5,0)</f>
        <v>242.68139999999994</v>
      </c>
      <c r="P96" s="13">
        <f t="shared" si="87"/>
        <v>59.016073171139041</v>
      </c>
      <c r="Q96" s="20">
        <f t="shared" si="54"/>
        <v>525.4564324397337</v>
      </c>
      <c r="R96" s="59">
        <f t="shared" si="55"/>
        <v>818.78976577306707</v>
      </c>
      <c r="S96" s="59">
        <f ca="1">AVERAGE(OFFSET($R$3,0,0,'Données projet'!$E$9+1,1))-AVERAGE(OFFSET($H$3,0,0,'Données projet'!$E$9+1,1))</f>
        <v>263.84804661819163</v>
      </c>
      <c r="T96" s="59">
        <f t="shared" si="88"/>
        <v>271.81541836379307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81.714367430228805</v>
      </c>
      <c r="AA96" s="21">
        <f>EXP(-LN(2)/25)*AA95+(1-EXP(-LN(2)/25))/(LN(2)/25)*Calculateur!V96*Calculateur!X96*VLOOKUP('Données projet'!$B$9,Paramètres!$A$1:$I$89,3,0)*0.475*44/12</f>
        <v>22.07892425821893</v>
      </c>
      <c r="AB96" s="21">
        <f>EXP(-LN(2)/2)*AB95+(1-EXP(-LN(2)/2))/(LN(2)/2)*V96*Y96*VLOOKUP('Données projet'!$B$9,Paramètres!$A$1:$I$89,3,0)*0.475*44/12</f>
        <v>1.2663305467188704</v>
      </c>
      <c r="AC96" s="22">
        <f t="shared" si="57"/>
        <v>105.05962223516661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270.04187128233121</v>
      </c>
      <c r="AO96" s="59">
        <f t="shared" si="90"/>
        <v>183.82555940776064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118.47830933029583</v>
      </c>
      <c r="AV96" s="21">
        <f>EXP(-LN(2)/25)*AV95+(1-EXP(-LN(2)/25))/(LN(2)/25)*Calculateur!AQ96*Calculateur!AS96*VLOOKUP('Données projet'!$B$10,Paramètres!$A$1:$I$89,3,0)*0.475*44/12</f>
        <v>36.085068100902667</v>
      </c>
      <c r="AW96" s="21">
        <f>EXP(-LN(2)/2)*AW95+(1-EXP(-LN(2)/2))/(LN(2)/2)*AQ96*AT96*VLOOKUP('Données projet'!$B$10,Paramètres!$A$1:$I$89,3,0)*0.475*44/12</f>
        <v>0.78131590105439885</v>
      </c>
      <c r="AX96" s="21">
        <f t="shared" si="60"/>
        <v>155.34469333225289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7.1416666666666657</v>
      </c>
      <c r="BD96" s="12">
        <f>IF('Données projet'!$A$88&gt;35,BD95+BC96-BL95,IF(A96&lt;'Données projet'!$A$88,$BA$205^A96,IF(A96='Données projet'!$A$88,'Données projet'!$B$88,BD95+BC96-BL95)))</f>
        <v>488.52499999999981</v>
      </c>
      <c r="BE96" s="13">
        <f>BD96*VLOOKUP('Données projet'!$B$11,Paramètres!$A$1:$I$89,3,0)*VLOOKUP('Données projet'!$B$11,Paramètres!$A$1:$I$89,5,0)</f>
        <v>273.08547499999992</v>
      </c>
      <c r="BF96" s="13">
        <f t="shared" si="91"/>
        <v>65.503651283763162</v>
      </c>
      <c r="BG96" s="20">
        <f t="shared" si="61"/>
        <v>589.70939494422078</v>
      </c>
      <c r="BH96" s="59">
        <f t="shared" si="62"/>
        <v>883.04272827755403</v>
      </c>
      <c r="BI96" s="59">
        <f ca="1">AVERAGE(OFFSET($BH$3,0,0,'Données projet'!$E$11+1,1))-AVERAGE(OFFSET($H$3,0,0,'Données projet'!$E$11+1,1))</f>
        <v>293.82673322742102</v>
      </c>
      <c r="BJ96" s="59">
        <f t="shared" si="92"/>
        <v>138.78566015867693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45.883629193433471</v>
      </c>
      <c r="BQ96" s="21">
        <f>EXP(-LN(2)/25)*BQ95+(1-EXP(-LN(2)/25))/(LN(2)/25)*Calculateur!BL96*Calculateur!BN96*VLOOKUP('Données projet'!$B$11,Paramètres!$A$1:$I$89,3,0)*0.475*44/12</f>
        <v>16.716795382416297</v>
      </c>
      <c r="BR96" s="21">
        <f>EXP(-LN(2)/2)*BR95+(1-EXP(-LN(2)/2))/(LN(2)/2)*BL96*BO96*VLOOKUP('Données projet'!$B$11,Paramètres!$A$1:$I$89,3,0)*0.475*44/12</f>
        <v>0.39862740889176196</v>
      </c>
      <c r="BS96" s="22">
        <f t="shared" si="63"/>
        <v>62.999051984741534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13.340000000000003</v>
      </c>
      <c r="N97" s="13">
        <f>IF('Données projet'!$A$36&gt;35,N96+M97-V96,IF(A97&lt;'Données projet'!$A$36,$K$205^A97,IF(A97='Données projet'!$A$36,'Données projet'!$B$36,N96+M97-V96)))</f>
        <v>531.88999999999987</v>
      </c>
      <c r="O97" s="13">
        <f>N97*VLOOKUP('Données projet'!$B$9,Paramètres!$A$1:$I$89,3,0)*VLOOKUP('Données projet'!$B$9,Paramètres!$A$1:$I$89,5,0)</f>
        <v>248.92451999999994</v>
      </c>
      <c r="P97" s="13">
        <f t="shared" si="87"/>
        <v>60.355585244425754</v>
      </c>
      <c r="Q97" s="20">
        <f t="shared" si="54"/>
        <v>538.66284996737477</v>
      </c>
      <c r="R97" s="59">
        <f t="shared" si="55"/>
        <v>831.99618330070803</v>
      </c>
      <c r="S97" s="59">
        <f ca="1">AVERAGE(OFFSET($R$3,0,0,'Données projet'!$E$9+1,1))-AVERAGE(OFFSET($H$3,0,0,'Données projet'!$E$9+1,1))</f>
        <v>263.84804661819163</v>
      </c>
      <c r="T97" s="59">
        <f t="shared" si="88"/>
        <v>271.81541836379307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80.111998525764776</v>
      </c>
      <c r="AA97" s="21">
        <f>EXP(-LN(2)/25)*AA96+(1-EXP(-LN(2)/25))/(LN(2)/25)*Calculateur!V97*Calculateur!X97*VLOOKUP('Données projet'!$B$9,Paramètres!$A$1:$I$89,3,0)*0.475*44/12</f>
        <v>21.475174913297767</v>
      </c>
      <c r="AB97" s="21">
        <f>EXP(-LN(2)/2)*AB96+(1-EXP(-LN(2)/2))/(LN(2)/2)*V97*Y97*VLOOKUP('Données projet'!$B$9,Paramètres!$A$1:$I$89,3,0)*0.475*44/12</f>
        <v>0.89543091680858145</v>
      </c>
      <c r="AC97" s="22">
        <f t="shared" si="57"/>
        <v>102.48260435587112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270.04187128233121</v>
      </c>
      <c r="AO97" s="59">
        <f t="shared" si="90"/>
        <v>183.82555940776064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116.15502194896187</v>
      </c>
      <c r="AV97" s="21">
        <f>EXP(-LN(2)/25)*AV96+(1-EXP(-LN(2)/25))/(LN(2)/25)*Calculateur!AQ97*Calculateur!AS97*VLOOKUP('Données projet'!$B$10,Paramètres!$A$1:$I$89,3,0)*0.475*44/12</f>
        <v>35.098320016052227</v>
      </c>
      <c r="AW97" s="21">
        <f>EXP(-LN(2)/2)*AW96+(1-EXP(-LN(2)/2))/(LN(2)/2)*AQ97*AT97*VLOOKUP('Données projet'!$B$10,Paramètres!$A$1:$I$89,3,0)*0.475*44/12</f>
        <v>0.55247377188444302</v>
      </c>
      <c r="AX97" s="21">
        <f t="shared" si="60"/>
        <v>151.80581573689855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7.1416666666666657</v>
      </c>
      <c r="BD97" s="12">
        <f>IF('Données projet'!$A$88&gt;35,BD96+BC97-BL96,IF(A97&lt;'Données projet'!$A$88,$BA$205^A97,IF(A97='Données projet'!$A$88,'Données projet'!$B$88,BD96+BC97-BL96)))</f>
        <v>495.66666666666646</v>
      </c>
      <c r="BE97" s="13">
        <f>BD97*VLOOKUP('Données projet'!$B$11,Paramètres!$A$1:$I$89,3,0)*VLOOKUP('Données projet'!$B$11,Paramètres!$A$1:$I$89,5,0)</f>
        <v>277.07766666666657</v>
      </c>
      <c r="BF97" s="13">
        <f t="shared" si="91"/>
        <v>66.349059244487947</v>
      </c>
      <c r="BG97" s="20">
        <f t="shared" si="61"/>
        <v>598.13488096192737</v>
      </c>
      <c r="BH97" s="59">
        <f t="shared" si="62"/>
        <v>891.46821429526062</v>
      </c>
      <c r="BI97" s="59">
        <f ca="1">AVERAGE(OFFSET($BH$3,0,0,'Données projet'!$E$11+1,1))-AVERAGE(OFFSET($H$3,0,0,'Données projet'!$E$11+1,1))</f>
        <v>293.82673322742102</v>
      </c>
      <c r="BJ97" s="59">
        <f t="shared" si="92"/>
        <v>138.78566015867693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44.983879211200637</v>
      </c>
      <c r="BQ97" s="21">
        <f>EXP(-LN(2)/25)*BQ96+(1-EXP(-LN(2)/25))/(LN(2)/25)*Calculateur!BL97*Calculateur!BN97*VLOOKUP('Données projet'!$B$11,Paramètres!$A$1:$I$89,3,0)*0.475*44/12</f>
        <v>16.259673733586062</v>
      </c>
      <c r="BR97" s="21">
        <f>EXP(-LN(2)/2)*BR96+(1-EXP(-LN(2)/2))/(LN(2)/2)*BL97*BO97*VLOOKUP('Données projet'!$B$11,Paramètres!$A$1:$I$89,3,0)*0.475*44/12</f>
        <v>0.28187214399418753</v>
      </c>
      <c r="BS97" s="22">
        <f t="shared" si="63"/>
        <v>61.525425088780885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545.23</v>
      </c>
      <c r="L98" s="12">
        <f>VLOOKUP(A98,'Données projet'!$A$35:$I$55,9,0)</f>
        <v>13.340000000000003</v>
      </c>
      <c r="M98" s="12">
        <f t="array" ref="M98">INDEX(L:L,MIN(IF(ISNUMBER(L98:L294),ROW(L98:L294),"")))</f>
        <v>13.340000000000003</v>
      </c>
      <c r="N98" s="13">
        <f>IF('Données projet'!$A$36&gt;35,N97+M98-V97,IF(A98&lt;'Données projet'!$A$36,$K$205^A98,IF(A98='Données projet'!$A$36,'Données projet'!$B$36,N97+M98-V97)))</f>
        <v>545.2299999999999</v>
      </c>
      <c r="O98" s="13">
        <f>N98*VLOOKUP('Données projet'!$B$9,Paramètres!$A$1:$I$89,3,0)*VLOOKUP('Données projet'!$B$9,Paramètres!$A$1:$I$89,5,0)</f>
        <v>255.16763999999995</v>
      </c>
      <c r="P98" s="13">
        <f t="shared" si="87"/>
        <v>61.691192075625018</v>
      </c>
      <c r="Q98" s="20">
        <f t="shared" si="54"/>
        <v>551.86246586504683</v>
      </c>
      <c r="R98" s="59">
        <f t="shared" si="55"/>
        <v>845.1957991983802</v>
      </c>
      <c r="S98" s="59">
        <f ca="1">AVERAGE(OFFSET($R$3,0,0,'Données projet'!$E$9+1,1))-AVERAGE(OFFSET($H$3,0,0,'Données projet'!$E$9+1,1))</f>
        <v>263.84804661819163</v>
      </c>
      <c r="T98" s="59">
        <f t="shared" si="88"/>
        <v>271.81541836379307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272.32</v>
      </c>
      <c r="W98" s="16">
        <f>IF(ISNA(VLOOKUP(A98,'Données projet'!$A$35:$I$55,5,0)),0%,VLOOKUP(A98,'Données projet'!$A$35:$I$55,5,0)*VLOOKUP('Données projet'!$B$9,Paramètres!$A$1:$I$89,7,0))</f>
        <v>0.33</v>
      </c>
      <c r="X98" s="16">
        <f>IF(ISNA(VLOOKUP(A98,'Données projet'!$A$35:$I$55,6,0)),0%,VLOOKUP(A98,'Données projet'!$A$35:$I$55,6,0)*VLOOKUP('Données projet'!$B$9,Paramètres!$A$1:$I$89,7,0))</f>
        <v>0.11000000000000001</v>
      </c>
      <c r="Y98" s="16">
        <f>IF(ISNA(VLOOKUP(A98,'Données projet'!$A$35:$I$55,7,0)),0%,VLOOKUP(A98,'Données projet'!$A$35:$I$55,7,0))</f>
        <v>0.2</v>
      </c>
      <c r="Z98" s="21">
        <f>EXP(-LN(2)/35)*Z97+(1-EXP(-LN(2)/35))/(LN(2)/35)*V98*W98*VLOOKUP('Données projet'!$B$9,Paramètres!$A$1:$I$89,3,0)*0.475*44/12</f>
        <v>134.3325061182866</v>
      </c>
      <c r="AA98" s="21">
        <f>EXP(-LN(2)/25)*AA97+(1-EXP(-LN(2)/25))/(LN(2)/25)*Calculateur!V98*Calculateur!X98*VLOOKUP('Données projet'!$B$9,Paramètres!$A$1:$I$89,3,0)*0.475*44/12</f>
        <v>39.411862727127499</v>
      </c>
      <c r="AB98" s="21">
        <f>EXP(-LN(2)/2)*AB97+(1-EXP(-LN(2)/2))/(LN(2)/2)*V98*Y98*VLOOKUP('Données projet'!$B$9,Paramètres!$A$1:$I$89,3,0)*0.475*44/12</f>
        <v>29.492806404320746</v>
      </c>
      <c r="AC98" s="22">
        <f t="shared" si="57"/>
        <v>203.23717524973483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270.04187128233121</v>
      </c>
      <c r="AO98" s="59">
        <f t="shared" si="90"/>
        <v>183.82555940776064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113.87729281611051</v>
      </c>
      <c r="AV98" s="21">
        <f>EXP(-LN(2)/25)*AV97+(1-EXP(-LN(2)/25))/(LN(2)/25)*Calculateur!AQ98*Calculateur!AS98*VLOOKUP('Données projet'!$B$10,Paramètres!$A$1:$I$89,3,0)*0.475*44/12</f>
        <v>34.138554609472848</v>
      </c>
      <c r="AW98" s="21">
        <f>EXP(-LN(2)/2)*AW97+(1-EXP(-LN(2)/2))/(LN(2)/2)*AQ98*AT98*VLOOKUP('Données projet'!$B$10,Paramètres!$A$1:$I$89,3,0)*0.475*44/12</f>
        <v>0.39065795052719943</v>
      </c>
      <c r="AX98" s="21">
        <f t="shared" si="60"/>
        <v>148.40650537611057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7.1416666666666657</v>
      </c>
      <c r="BD98" s="12">
        <f>IF('Données projet'!$A$88&gt;35,BD97+BC98-BL97,IF(A98&lt;'Données projet'!$A$88,$BA$205^A98,IF(A98='Données projet'!$A$88,'Données projet'!$B$88,BD97+BC98-BL97)))</f>
        <v>502.80833333333311</v>
      </c>
      <c r="BE98" s="13">
        <f>BD98*VLOOKUP('Données projet'!$B$11,Paramètres!$A$1:$I$89,3,0)*VLOOKUP('Données projet'!$B$11,Paramètres!$A$1:$I$89,5,0)</f>
        <v>281.06985833333323</v>
      </c>
      <c r="BF98" s="13">
        <f t="shared" si="91"/>
        <v>67.193050495295523</v>
      </c>
      <c r="BG98" s="20">
        <f t="shared" si="61"/>
        <v>606.55789954319505</v>
      </c>
      <c r="BH98" s="59">
        <f t="shared" si="62"/>
        <v>899.89123287652842</v>
      </c>
      <c r="BI98" s="59">
        <f ca="1">AVERAGE(OFFSET($BH$3,0,0,'Données projet'!$E$11+1,1))-AVERAGE(OFFSET($H$3,0,0,'Données projet'!$E$11+1,1))</f>
        <v>293.82673322742102</v>
      </c>
      <c r="BJ98" s="59">
        <f t="shared" si="92"/>
        <v>138.78566015867693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44.10177277732609</v>
      </c>
      <c r="BQ98" s="21">
        <f>EXP(-LN(2)/25)*BQ97+(1-EXP(-LN(2)/25))/(LN(2)/25)*Calculateur!BL98*Calculateur!BN98*VLOOKUP('Données projet'!$B$11,Paramètres!$A$1:$I$89,3,0)*0.475*44/12</f>
        <v>15.815052100282072</v>
      </c>
      <c r="BR98" s="21">
        <f>EXP(-LN(2)/2)*BR97+(1-EXP(-LN(2)/2))/(LN(2)/2)*BL98*BO98*VLOOKUP('Données projet'!$B$11,Paramètres!$A$1:$I$89,3,0)*0.475*44/12</f>
        <v>0.19931370444588098</v>
      </c>
      <c r="BS98" s="22">
        <f t="shared" si="63"/>
        <v>60.116138582054042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8.8549999999999951</v>
      </c>
      <c r="N99" s="13">
        <f>IF('Données projet'!$A$36&gt;35,N98+M99-V98,IF(A99&lt;'Données projet'!$A$36,$K$205^A99,IF(A99='Données projet'!$A$36,'Données projet'!$B$36,N98+M99-V98)))</f>
        <v>281.76499999999993</v>
      </c>
      <c r="O99" s="13">
        <f>N99*VLOOKUP('Données projet'!$B$9,Paramètres!$A$1:$I$89,3,0)*VLOOKUP('Données projet'!$B$9,Paramètres!$A$1:$I$89,5,0)</f>
        <v>131.86601999999996</v>
      </c>
      <c r="P99" s="13">
        <f t="shared" si="87"/>
        <v>34.427183465261571</v>
      </c>
      <c r="Q99" s="20">
        <f t="shared" ref="Q99:Q130" si="107">(O99+P99)*0.475*44/12</f>
        <v>289.62732936866382</v>
      </c>
      <c r="R99" s="59">
        <f t="shared" si="55"/>
        <v>582.96066270199708</v>
      </c>
      <c r="S99" s="59">
        <f ca="1">AVERAGE(OFFSET($R$3,0,0,'Données projet'!$E$9+1,1))-AVERAGE(OFFSET($H$3,0,0,'Données projet'!$E$9+1,1))</f>
        <v>263.84804661819163</v>
      </c>
      <c r="T99" s="59">
        <f t="shared" si="88"/>
        <v>271.81541836379307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131.69832760804536</v>
      </c>
      <c r="AA99" s="21">
        <f>EXP(-LN(2)/25)*AA98+(1-EXP(-LN(2)/25))/(LN(2)/25)*Calculateur!V99*Calculateur!X99*VLOOKUP('Données projet'!$B$9,Paramètres!$A$1:$I$89,3,0)*0.475*44/12</f>
        <v>38.334143268274417</v>
      </c>
      <c r="AB99" s="21">
        <f>EXP(-LN(2)/2)*AB98+(1-EXP(-LN(2)/2))/(LN(2)/2)*V99*Y99*VLOOKUP('Données projet'!$B$9,Paramètres!$A$1:$I$89,3,0)*0.475*44/12</f>
        <v>20.85456340471724</v>
      </c>
      <c r="AC99" s="22">
        <f t="shared" si="57"/>
        <v>190.88703428103702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270.04187128233121</v>
      </c>
      <c r="AO99" s="59">
        <f t="shared" si="90"/>
        <v>183.82555940776064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111.64422856227677</v>
      </c>
      <c r="AV99" s="21">
        <f>EXP(-LN(2)/25)*AV98+(1-EXP(-LN(2)/25))/(LN(2)/25)*Calculateur!AQ99*Calculateur!AS99*VLOOKUP('Données projet'!$B$10,Paramètres!$A$1:$I$89,3,0)*0.475*44/12</f>
        <v>33.20503403840825</v>
      </c>
      <c r="AW99" s="21">
        <f>EXP(-LN(2)/2)*AW98+(1-EXP(-LN(2)/2))/(LN(2)/2)*AQ99*AT99*VLOOKUP('Données projet'!$B$10,Paramètres!$A$1:$I$89,3,0)*0.475*44/12</f>
        <v>0.27623688594222151</v>
      </c>
      <c r="AX99" s="21">
        <f t="shared" si="60"/>
        <v>145.12549948662723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>
        <f>VLOOKUP(A99,'Données projet'!$A$87:$I$107,2,0)</f>
        <v>509.95</v>
      </c>
      <c r="BB99" s="12">
        <f>VLOOKUP(A99,'Données projet'!$A$87:$I$107,9,0)</f>
        <v>7.1416666666666657</v>
      </c>
      <c r="BC99" s="12">
        <f t="array" ref="BC99">INDEX(BB:BB,MIN(IF(ISNUMBER(BB99:BB295),ROW(BB99:BB295),"")))</f>
        <v>7.1416666666666657</v>
      </c>
      <c r="BD99" s="12">
        <f>IF('Données projet'!$A$88&gt;35,BD98+BC99-BL98,IF(A99&lt;'Données projet'!$A$88,$BA$205^A99,IF(A99='Données projet'!$A$88,'Données projet'!$B$88,BD98+BC99-BL98)))</f>
        <v>509.94999999999976</v>
      </c>
      <c r="BE99" s="13">
        <f>BD99*VLOOKUP('Données projet'!$B$11,Paramètres!$A$1:$I$89,3,0)*VLOOKUP('Données projet'!$B$11,Paramètres!$A$1:$I$89,5,0)</f>
        <v>285.06204999999989</v>
      </c>
      <c r="BF99" s="13">
        <f t="shared" si="91"/>
        <v>68.035647483702888</v>
      </c>
      <c r="BG99" s="20">
        <f t="shared" si="61"/>
        <v>614.9784897841156</v>
      </c>
      <c r="BH99" s="59">
        <f t="shared" si="62"/>
        <v>908.31182311744897</v>
      </c>
      <c r="BI99" s="59">
        <f ca="1">AVERAGE(OFFSET($BH$3,0,0,'Données projet'!$E$11+1,1))-AVERAGE(OFFSET($H$3,0,0,'Données projet'!$E$11+1,1))</f>
        <v>293.82673322742102</v>
      </c>
      <c r="BJ99" s="59">
        <f t="shared" si="92"/>
        <v>138.78566015867693</v>
      </c>
      <c r="BK99" s="15">
        <f>IF(ISNA(VLOOKUP(A99,'Données projet'!$A$87:$I$107,3,0)),0,VLOOKUP(A99,'Données projet'!$A$87:$I$107,3,0))</f>
        <v>7</v>
      </c>
      <c r="BL99" s="15">
        <f>IF(ISNA(VLOOKUP(A99,'Données projet'!$A$87:$I$107,4,0)),0,VLOOKUP(A99,'Données projet'!$A$87:$I$107,4,0))</f>
        <v>74.37</v>
      </c>
      <c r="BM99" s="16">
        <f>IF(ISNA(VLOOKUP(A99,'Données projet'!$A$87:$I$107,5,0)),0%,VLOOKUP(A99,'Données projet'!$A$87:$I$107,5,0)*VLOOKUP('Données projet'!$B$11,Paramètres!$A$1:$I$89,7,0))</f>
        <v>0.33</v>
      </c>
      <c r="BN99" s="16">
        <f>IF(ISNA(VLOOKUP(A99,'Données projet'!$A$87:$I$107,6,0)),0%,VLOOKUP(A99,'Données projet'!$A$87:$I$107,6,0)*VLOOKUP('Données projet'!$B$11,Paramètres!$A$1:$I$89,7,0))</f>
        <v>0.11000000000000001</v>
      </c>
      <c r="BO99" s="16">
        <f>IF(ISNA(VLOOKUP(A99,'Données projet'!$A$87:$I$107,7,0)),0%,VLOOKUP(A99,'Données projet'!$A$87:$I$107,7,0))</f>
        <v>0.2</v>
      </c>
      <c r="BP99" s="21">
        <f>EXP(-LN(2)/35)*BP98+(1-EXP(-LN(2)/35))/(LN(2)/35)*BL99*BM99*VLOOKUP('Données projet'!$B$11,Paramètres!$A$1:$I$89,3,0)*0.475*44/12</f>
        <v>61.436146647298116</v>
      </c>
      <c r="BQ99" s="21">
        <f>EXP(-LN(2)/25)*BQ98+(1-EXP(-LN(2)/25))/(LN(2)/25)*Calculateur!BL99*Calculateur!BN99*VLOOKUP('Données projet'!$B$11,Paramètres!$A$1:$I$89,3,0)*0.475*44/12</f>
        <v>21.425097208206168</v>
      </c>
      <c r="BR99" s="21">
        <f>EXP(-LN(2)/2)*BR98+(1-EXP(-LN(2)/2))/(LN(2)/2)*BL99*BO99*VLOOKUP('Données projet'!$B$11,Paramètres!$A$1:$I$89,3,0)*0.475*44/12</f>
        <v>9.5549562371125329</v>
      </c>
      <c r="BS99" s="22">
        <f t="shared" si="63"/>
        <v>92.416200092616819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8.8549999999999951</v>
      </c>
      <c r="N100" s="13">
        <f>IF('Données projet'!$A$36&gt;35,N99+M100-V99,IF(A100&lt;'Données projet'!$A$36,$K$205^A100,IF(A100='Données projet'!$A$36,'Données projet'!$B$36,N99+M100-V99)))</f>
        <v>290.61999999999995</v>
      </c>
      <c r="O100" s="13">
        <f>N100*VLOOKUP('Données projet'!$B$9,Paramètres!$A$1:$I$89,3,0)*VLOOKUP('Données projet'!$B$9,Paramètres!$A$1:$I$89,5,0)</f>
        <v>136.01015999999998</v>
      </c>
      <c r="P100" s="13">
        <f t="shared" si="87"/>
        <v>35.381456835345901</v>
      </c>
      <c r="Q100" s="20">
        <f t="shared" si="107"/>
        <v>298.50706598822734</v>
      </c>
      <c r="R100" s="59">
        <f t="shared" si="55"/>
        <v>591.84039932156065</v>
      </c>
      <c r="S100" s="59">
        <f ca="1">AVERAGE(OFFSET($R$3,0,0,'Données projet'!$E$9+1,1))-AVERAGE(OFFSET($H$3,0,0,'Données projet'!$E$9+1,1))</f>
        <v>263.84804661819163</v>
      </c>
      <c r="T100" s="59">
        <f t="shared" si="88"/>
        <v>271.81541836379307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129.11580373169969</v>
      </c>
      <c r="AA100" s="21">
        <f>EXP(-LN(2)/25)*AA99+(1-EXP(-LN(2)/25))/(LN(2)/25)*Calculateur!V100*Calculateur!X100*VLOOKUP('Données projet'!$B$9,Paramètres!$A$1:$I$89,3,0)*0.475*44/12</f>
        <v>37.285894104698471</v>
      </c>
      <c r="AB100" s="21">
        <f>EXP(-LN(2)/2)*AB99+(1-EXP(-LN(2)/2))/(LN(2)/2)*V100*Y100*VLOOKUP('Données projet'!$B$9,Paramètres!$A$1:$I$89,3,0)*0.475*44/12</f>
        <v>14.746403202160376</v>
      </c>
      <c r="AC100" s="22">
        <f t="shared" si="57"/>
        <v>181.14810103855854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270.04187128233121</v>
      </c>
      <c r="AO100" s="59">
        <f t="shared" si="90"/>
        <v>183.82555940776064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109.454953336426</v>
      </c>
      <c r="AV100" s="21">
        <f>EXP(-LN(2)/25)*AV99+(1-EXP(-LN(2)/25))/(LN(2)/25)*Calculateur!AQ100*Calculateur!AS100*VLOOKUP('Données projet'!$B$10,Paramètres!$A$1:$I$89,3,0)*0.475*44/12</f>
        <v>32.297040636451129</v>
      </c>
      <c r="AW100" s="21">
        <f>EXP(-LN(2)/2)*AW99+(1-EXP(-LN(2)/2))/(LN(2)/2)*AQ100*AT100*VLOOKUP('Données projet'!$B$10,Paramètres!$A$1:$I$89,3,0)*0.475*44/12</f>
        <v>0.19532897526359971</v>
      </c>
      <c r="AX100" s="21">
        <f t="shared" si="60"/>
        <v>141.94732294814074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5.6049999999999995</v>
      </c>
      <c r="BD100" s="12">
        <f>IF('Données projet'!$A$88&gt;35,BD99+BC100-BL99,IF(A100&lt;'Données projet'!$A$88,$BA$205^A100,IF(A100='Données projet'!$A$88,'Données projet'!$B$88,BD99+BC100-BL99)))</f>
        <v>441.18499999999972</v>
      </c>
      <c r="BE100" s="13">
        <f>BD100*VLOOKUP('Données projet'!$B$11,Paramètres!$A$1:$I$89,3,0)*VLOOKUP('Données projet'!$B$11,Paramètres!$A$1:$I$89,5,0)</f>
        <v>246.62241499999982</v>
      </c>
      <c r="BF100" s="13">
        <f t="shared" si="91"/>
        <v>59.86211027977518</v>
      </c>
      <c r="BG100" s="20">
        <f t="shared" si="61"/>
        <v>533.79388152894137</v>
      </c>
      <c r="BH100" s="59">
        <f t="shared" si="62"/>
        <v>827.12721486227474</v>
      </c>
      <c r="BI100" s="59">
        <f ca="1">AVERAGE(OFFSET($BH$3,0,0,'Données projet'!$E$11+1,1))-AVERAGE(OFFSET($H$3,0,0,'Données projet'!$E$11+1,1))</f>
        <v>293.82673322742102</v>
      </c>
      <c r="BJ100" s="59">
        <f t="shared" si="92"/>
        <v>138.78566015867693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60.231421283893965</v>
      </c>
      <c r="BQ100" s="21">
        <f>EXP(-LN(2)/25)*BQ99+(1-EXP(-LN(2)/25))/(LN(2)/25)*Calculateur!BL100*Calculateur!BN100*VLOOKUP('Données projet'!$B$11,Paramètres!$A$1:$I$89,3,0)*0.475*44/12</f>
        <v>20.839226798350875</v>
      </c>
      <c r="BR100" s="21">
        <f>EXP(-LN(2)/2)*BR99+(1-EXP(-LN(2)/2))/(LN(2)/2)*BL100*BO100*VLOOKUP('Données projet'!$B$11,Paramètres!$A$1:$I$89,3,0)*0.475*44/12</f>
        <v>6.7563743492029698</v>
      </c>
      <c r="BS100" s="22">
        <f t="shared" si="63"/>
        <v>87.827022431447816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8.8549999999999951</v>
      </c>
      <c r="N101" s="13">
        <f>IF('Données projet'!$A$36&gt;35,N100+M101-V100,IF(A101&lt;'Données projet'!$A$36,$K$205^A101,IF(A101='Données projet'!$A$36,'Données projet'!$B$36,N100+M101-V100)))</f>
        <v>299.47499999999997</v>
      </c>
      <c r="O101" s="13">
        <f>N101*VLOOKUP('Données projet'!$B$9,Paramètres!$A$1:$I$89,3,0)*VLOOKUP('Données projet'!$B$9,Paramètres!$A$1:$I$89,5,0)</f>
        <v>140.15429999999998</v>
      </c>
      <c r="P101" s="13">
        <f t="shared" si="87"/>
        <v>36.332351191800562</v>
      </c>
      <c r="Q101" s="20">
        <f t="shared" si="107"/>
        <v>307.38091749238595</v>
      </c>
      <c r="R101" s="59">
        <f t="shared" si="55"/>
        <v>600.71425082571932</v>
      </c>
      <c r="S101" s="59">
        <f ca="1">AVERAGE(OFFSET($R$3,0,0,'Données projet'!$E$9+1,1))-AVERAGE(OFFSET($H$3,0,0,'Données projet'!$E$9+1,1))</f>
        <v>263.84804661819163</v>
      </c>
      <c r="T101" s="59">
        <f t="shared" si="88"/>
        <v>271.81541836379307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126.58392157338513</v>
      </c>
      <c r="AA101" s="21">
        <f>EXP(-LN(2)/25)*AA100+(1-EXP(-LN(2)/25))/(LN(2)/25)*Calculateur!V101*Calculateur!X101*VLOOKUP('Données projet'!$B$9,Paramètres!$A$1:$I$89,3,0)*0.475*44/12</f>
        <v>36.266309369625539</v>
      </c>
      <c r="AB101" s="21">
        <f>EXP(-LN(2)/2)*AB100+(1-EXP(-LN(2)/2))/(LN(2)/2)*V101*Y101*VLOOKUP('Données projet'!$B$9,Paramètres!$A$1:$I$89,3,0)*0.475*44/12</f>
        <v>10.427281702358622</v>
      </c>
      <c r="AC101" s="22">
        <f t="shared" si="57"/>
        <v>173.27751264536928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270.04187128233121</v>
      </c>
      <c r="AO101" s="59">
        <f t="shared" si="90"/>
        <v>183.82555940776064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107.30860846242813</v>
      </c>
      <c r="AV101" s="21">
        <f>EXP(-LN(2)/25)*AV100+(1-EXP(-LN(2)/25))/(LN(2)/25)*Calculateur!AQ101*Calculateur!AS101*VLOOKUP('Données projet'!$B$10,Paramètres!$A$1:$I$89,3,0)*0.475*44/12</f>
        <v>31.41387636181982</v>
      </c>
      <c r="AW101" s="21">
        <f>EXP(-LN(2)/2)*AW100+(1-EXP(-LN(2)/2))/(LN(2)/2)*AQ101*AT101*VLOOKUP('Données projet'!$B$10,Paramètres!$A$1:$I$89,3,0)*0.475*44/12</f>
        <v>0.13811844297111076</v>
      </c>
      <c r="AX101" s="21">
        <f t="shared" si="60"/>
        <v>138.86060326721906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5.6049999999999995</v>
      </c>
      <c r="BD101" s="12">
        <f>IF('Données projet'!$A$88&gt;35,BD100+BC101-BL100,IF(A101&lt;'Données projet'!$A$88,$BA$205^A101,IF(A101='Données projet'!$A$88,'Données projet'!$B$88,BD100+BC101-BL100)))</f>
        <v>446.78999999999974</v>
      </c>
      <c r="BE101" s="13">
        <f>BD101*VLOOKUP('Données projet'!$B$11,Paramètres!$A$1:$I$89,3,0)*VLOOKUP('Données projet'!$B$11,Paramètres!$A$1:$I$89,5,0)</f>
        <v>249.75560999999985</v>
      </c>
      <c r="BF101" s="13">
        <f t="shared" si="91"/>
        <v>60.533605433588299</v>
      </c>
      <c r="BG101" s="20">
        <f t="shared" si="61"/>
        <v>540.42038354683268</v>
      </c>
      <c r="BH101" s="59">
        <f t="shared" si="62"/>
        <v>833.75371688016594</v>
      </c>
      <c r="BI101" s="59">
        <f ca="1">AVERAGE(OFFSET($BH$3,0,0,'Données projet'!$E$11+1,1))-AVERAGE(OFFSET($H$3,0,0,'Données projet'!$E$11+1,1))</f>
        <v>293.82673322742102</v>
      </c>
      <c r="BJ101" s="59">
        <f t="shared" si="92"/>
        <v>138.78566015867693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59.050319850056255</v>
      </c>
      <c r="BQ101" s="21">
        <f>EXP(-LN(2)/25)*BQ100+(1-EXP(-LN(2)/25))/(LN(2)/25)*Calculateur!BL101*Calculateur!BN101*VLOOKUP('Données projet'!$B$11,Paramètres!$A$1:$I$89,3,0)*0.475*44/12</f>
        <v>20.269377045662662</v>
      </c>
      <c r="BR101" s="21">
        <f>EXP(-LN(2)/2)*BR100+(1-EXP(-LN(2)/2))/(LN(2)/2)*BL101*BO101*VLOOKUP('Données projet'!$B$11,Paramètres!$A$1:$I$89,3,0)*0.475*44/12</f>
        <v>4.7774781185562674</v>
      </c>
      <c r="BS101" s="22">
        <f t="shared" si="63"/>
        <v>84.097175014275194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8.8549999999999951</v>
      </c>
      <c r="N102" s="13">
        <f>IF('Données projet'!$A$36&gt;35,N101+M102-V101,IF(A102&lt;'Données projet'!$A$36,$K$205^A102,IF(A102='Données projet'!$A$36,'Données projet'!$B$36,N101+M102-V101)))</f>
        <v>308.33</v>
      </c>
      <c r="O102" s="13">
        <f>N102*VLOOKUP('Données projet'!$B$9,Paramètres!$A$1:$I$89,3,0)*VLOOKUP('Données projet'!$B$9,Paramètres!$A$1:$I$89,5,0)</f>
        <v>144.29844</v>
      </c>
      <c r="P102" s="13">
        <f t="shared" si="87"/>
        <v>37.279977917630816</v>
      </c>
      <c r="Q102" s="20">
        <f t="shared" si="107"/>
        <v>316.249077873207</v>
      </c>
      <c r="R102" s="59">
        <f t="shared" si="55"/>
        <v>609.58241120654031</v>
      </c>
      <c r="S102" s="59">
        <f ca="1">AVERAGE(OFFSET($R$3,0,0,'Données projet'!$E$9+1,1))-AVERAGE(OFFSET($H$3,0,0,'Données projet'!$E$9+1,1))</f>
        <v>263.84804661819163</v>
      </c>
      <c r="T102" s="59">
        <f t="shared" si="88"/>
        <v>271.81541836379307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124.10168807989949</v>
      </c>
      <c r="AA102" s="21">
        <f>EXP(-LN(2)/25)*AA101+(1-EXP(-LN(2)/25))/(LN(2)/25)*Calculateur!V102*Calculateur!X102*VLOOKUP('Données projet'!$B$9,Paramètres!$A$1:$I$89,3,0)*0.475*44/12</f>
        <v>35.274605232750808</v>
      </c>
      <c r="AB102" s="21">
        <f>EXP(-LN(2)/2)*AB101+(1-EXP(-LN(2)/2))/(LN(2)/2)*V102*Y102*VLOOKUP('Données projet'!$B$9,Paramètres!$A$1:$I$89,3,0)*0.475*44/12</f>
        <v>7.3732016010801891</v>
      </c>
      <c r="AC102" s="22">
        <f t="shared" si="57"/>
        <v>166.74949491373047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270.04187128233121</v>
      </c>
      <c r="AO102" s="59">
        <f t="shared" si="90"/>
        <v>183.82555940776064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105.20435210226825</v>
      </c>
      <c r="AV102" s="21">
        <f>EXP(-LN(2)/25)*AV101+(1-EXP(-LN(2)/25))/(LN(2)/25)*Calculateur!AQ102*Calculateur!AS102*VLOOKUP('Données projet'!$B$10,Paramètres!$A$1:$I$89,3,0)*0.475*44/12</f>
        <v>30.554862260721897</v>
      </c>
      <c r="AW102" s="21">
        <f>EXP(-LN(2)/2)*AW101+(1-EXP(-LN(2)/2))/(LN(2)/2)*AQ102*AT102*VLOOKUP('Données projet'!$B$10,Paramètres!$A$1:$I$89,3,0)*0.475*44/12</f>
        <v>9.7664487631799857E-2</v>
      </c>
      <c r="AX102" s="21">
        <f t="shared" si="60"/>
        <v>135.85687885062194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5.6049999999999995</v>
      </c>
      <c r="BD102" s="12">
        <f>IF('Données projet'!$A$88&gt;35,BD101+BC102-BL101,IF(A102&lt;'Données projet'!$A$88,$BA$205^A102,IF(A102='Données projet'!$A$88,'Données projet'!$B$88,BD101+BC102-BL101)))</f>
        <v>452.39499999999975</v>
      </c>
      <c r="BE102" s="13">
        <f>BD102*VLOOKUP('Données projet'!$B$11,Paramètres!$A$1:$I$89,3,0)*VLOOKUP('Données projet'!$B$11,Paramètres!$A$1:$I$89,5,0)</f>
        <v>252.88880499999988</v>
      </c>
      <c r="BF102" s="13">
        <f t="shared" si="91"/>
        <v>61.204120729649546</v>
      </c>
      <c r="BG102" s="20">
        <f t="shared" si="61"/>
        <v>547.04517897913945</v>
      </c>
      <c r="BH102" s="59">
        <f t="shared" si="62"/>
        <v>840.37851231247282</v>
      </c>
      <c r="BI102" s="59">
        <f ca="1">AVERAGE(OFFSET($BH$3,0,0,'Données projet'!$E$11+1,1))-AVERAGE(OFFSET($H$3,0,0,'Données projet'!$E$11+1,1))</f>
        <v>293.82673322742102</v>
      </c>
      <c r="BJ102" s="59">
        <f t="shared" si="92"/>
        <v>138.78566015867693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57.892379094935364</v>
      </c>
      <c r="BQ102" s="21">
        <f>EXP(-LN(2)/25)*BQ101+(1-EXP(-LN(2)/25))/(LN(2)/25)*Calculateur!BL102*Calculateur!BN102*VLOOKUP('Données projet'!$B$11,Paramètres!$A$1:$I$89,3,0)*0.475*44/12</f>
        <v>19.715109864428804</v>
      </c>
      <c r="BR102" s="21">
        <f>EXP(-LN(2)/2)*BR101+(1-EXP(-LN(2)/2))/(LN(2)/2)*BL102*BO102*VLOOKUP('Données projet'!$B$11,Paramètres!$A$1:$I$89,3,0)*0.475*44/12</f>
        <v>3.3781871746014853</v>
      </c>
      <c r="BS102" s="22">
        <f t="shared" si="63"/>
        <v>80.98567613396564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8.8549999999999951</v>
      </c>
      <c r="N103" s="13">
        <f>IF('Données projet'!$A$36&gt;35,N102+M103-V102,IF(A103&lt;'Données projet'!$A$36,$K$205^A103,IF(A103='Données projet'!$A$36,'Données projet'!$B$36,N102+M103-V102)))</f>
        <v>317.185</v>
      </c>
      <c r="O103" s="13">
        <f>N103*VLOOKUP('Données projet'!$B$9,Paramètres!$A$1:$I$89,3,0)*VLOOKUP('Données projet'!$B$9,Paramètres!$A$1:$I$89,5,0)</f>
        <v>148.44257999999999</v>
      </c>
      <c r="P103" s="13">
        <f t="shared" si="87"/>
        <v>38.224441634319653</v>
      </c>
      <c r="Q103" s="20">
        <f t="shared" si="107"/>
        <v>325.11172934644003</v>
      </c>
      <c r="R103" s="59">
        <f t="shared" si="55"/>
        <v>618.4450626797734</v>
      </c>
      <c r="S103" s="59">
        <f ca="1">AVERAGE(OFFSET($R$3,0,0,'Données projet'!$E$9+1,1))-AVERAGE(OFFSET($H$3,0,0,'Données projet'!$E$9+1,1))</f>
        <v>263.84804661819163</v>
      </c>
      <c r="T103" s="59">
        <f t="shared" si="88"/>
        <v>271.81541836379307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121.66812967120818</v>
      </c>
      <c r="AA103" s="21">
        <f>EXP(-LN(2)/25)*AA102+(1-EXP(-LN(2)/25))/(LN(2)/25)*Calculateur!V103*Calculateur!X103*VLOOKUP('Données projet'!$B$9,Paramètres!$A$1:$I$89,3,0)*0.475*44/12</f>
        <v>34.310019297650371</v>
      </c>
      <c r="AB103" s="21">
        <f>EXP(-LN(2)/2)*AB102+(1-EXP(-LN(2)/2))/(LN(2)/2)*V103*Y103*VLOOKUP('Données projet'!$B$9,Paramètres!$A$1:$I$89,3,0)*0.475*44/12</f>
        <v>5.2136408511793118</v>
      </c>
      <c r="AC103" s="22">
        <f t="shared" si="57"/>
        <v>161.19178982003785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270.04187128233121</v>
      </c>
      <c r="AO103" s="59">
        <f t="shared" si="90"/>
        <v>183.82555940776064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103.14135892586145</v>
      </c>
      <c r="AV103" s="21">
        <f>EXP(-LN(2)/25)*AV102+(1-EXP(-LN(2)/25))/(LN(2)/25)*Calculateur!AQ103*Calculateur!AS103*VLOOKUP('Données projet'!$B$10,Paramètres!$A$1:$I$89,3,0)*0.475*44/12</f>
        <v>29.719337945392084</v>
      </c>
      <c r="AW103" s="21">
        <f>EXP(-LN(2)/2)*AW102+(1-EXP(-LN(2)/2))/(LN(2)/2)*AQ103*AT103*VLOOKUP('Données projet'!$B$10,Paramètres!$A$1:$I$89,3,0)*0.475*44/12</f>
        <v>6.9059221485555378E-2</v>
      </c>
      <c r="AX103" s="21">
        <f t="shared" si="60"/>
        <v>132.9297560927391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5.6049999999999995</v>
      </c>
      <c r="BD103" s="12">
        <f>IF('Données projet'!$A$88&gt;35,BD102+BC103-BL102,IF(A103&lt;'Données projet'!$A$88,$BA$205^A103,IF(A103='Données projet'!$A$88,'Données projet'!$B$88,BD102+BC103-BL102)))</f>
        <v>457.99999999999977</v>
      </c>
      <c r="BE103" s="13">
        <f>BD103*VLOOKUP('Données projet'!$B$11,Paramètres!$A$1:$I$89,3,0)*VLOOKUP('Données projet'!$B$11,Paramètres!$A$1:$I$89,5,0)</f>
        <v>256.02199999999988</v>
      </c>
      <c r="BF103" s="13">
        <f t="shared" si="91"/>
        <v>61.873669712051253</v>
      </c>
      <c r="BG103" s="20">
        <f t="shared" si="61"/>
        <v>553.66829141515575</v>
      </c>
      <c r="BH103" s="59">
        <f t="shared" si="62"/>
        <v>847.00162474848912</v>
      </c>
      <c r="BI103" s="59">
        <f ca="1">AVERAGE(OFFSET($BH$3,0,0,'Données projet'!$E$11+1,1))-AVERAGE(OFFSET($H$3,0,0,'Données projet'!$E$11+1,1))</f>
        <v>293.82673322742102</v>
      </c>
      <c r="BJ103" s="59">
        <f t="shared" si="92"/>
        <v>138.78566015867693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56.757144851748272</v>
      </c>
      <c r="BQ103" s="21">
        <f>EXP(-LN(2)/25)*BQ102+(1-EXP(-LN(2)/25))/(LN(2)/25)*Calculateur!BL103*Calculateur!BN103*VLOOKUP('Données projet'!$B$11,Paramètres!$A$1:$I$89,3,0)*0.475*44/12</f>
        <v>19.175999148413432</v>
      </c>
      <c r="BR103" s="21">
        <f>EXP(-LN(2)/2)*BR102+(1-EXP(-LN(2)/2))/(LN(2)/2)*BL103*BO103*VLOOKUP('Données projet'!$B$11,Paramètres!$A$1:$I$89,3,0)*0.475*44/12</f>
        <v>2.3887390592781337</v>
      </c>
      <c r="BS103" s="22">
        <f t="shared" si="63"/>
        <v>78.321883059439841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8.8549999999999951</v>
      </c>
      <c r="N104" s="13">
        <f>IF('Données projet'!$A$36&gt;35,N103+M104-V103,IF(A104&lt;'Données projet'!$A$36,$K$205^A104,IF(A104='Données projet'!$A$36,'Données projet'!$B$36,N103+M104-V103)))</f>
        <v>326.04000000000002</v>
      </c>
      <c r="O104" s="13">
        <f>N104*VLOOKUP('Données projet'!$B$9,Paramètres!$A$1:$I$89,3,0)*VLOOKUP('Données projet'!$B$9,Paramètres!$A$1:$I$89,5,0)</f>
        <v>152.58672000000001</v>
      </c>
      <c r="P104" s="13">
        <f t="shared" si="87"/>
        <v>39.16584078944841</v>
      </c>
      <c r="Q104" s="20">
        <f t="shared" si="107"/>
        <v>333.96904337495596</v>
      </c>
      <c r="R104" s="59">
        <f t="shared" si="55"/>
        <v>627.30237670828933</v>
      </c>
      <c r="S104" s="59">
        <f ca="1">AVERAGE(OFFSET($R$3,0,0,'Données projet'!$E$9+1,1))-AVERAGE(OFFSET($H$3,0,0,'Données projet'!$E$9+1,1))</f>
        <v>263.84804661819163</v>
      </c>
      <c r="T104" s="59">
        <f t="shared" si="88"/>
        <v>271.81541836379307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119.28229185858723</v>
      </c>
      <c r="AA104" s="21">
        <f>EXP(-LN(2)/25)*AA103+(1-EXP(-LN(2)/25))/(LN(2)/25)*Calculateur!V104*Calculateur!X104*VLOOKUP('Données projet'!$B$9,Paramètres!$A$1:$I$89,3,0)*0.475*44/12</f>
        <v>33.371810015670626</v>
      </c>
      <c r="AB104" s="21">
        <f>EXP(-LN(2)/2)*AB103+(1-EXP(-LN(2)/2))/(LN(2)/2)*V104*Y104*VLOOKUP('Données projet'!$B$9,Paramètres!$A$1:$I$89,3,0)*0.475*44/12</f>
        <v>3.6866008005400954</v>
      </c>
      <c r="AC104" s="22">
        <f t="shared" si="57"/>
        <v>156.34070267479797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270.04187128233121</v>
      </c>
      <c r="AO104" s="59">
        <f t="shared" si="90"/>
        <v>183.82555940776064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101.1188197873424</v>
      </c>
      <c r="AV104" s="21">
        <f>EXP(-LN(2)/25)*AV103+(1-EXP(-LN(2)/25))/(LN(2)/25)*Calculateur!AQ104*Calculateur!AS104*VLOOKUP('Données projet'!$B$10,Paramètres!$A$1:$I$89,3,0)*0.475*44/12</f>
        <v>28.906661086403279</v>
      </c>
      <c r="AW104" s="21">
        <f>EXP(-LN(2)/2)*AW103+(1-EXP(-LN(2)/2))/(LN(2)/2)*AQ104*AT104*VLOOKUP('Données projet'!$B$10,Paramètres!$A$1:$I$89,3,0)*0.475*44/12</f>
        <v>4.8832243815899928E-2</v>
      </c>
      <c r="AX104" s="21">
        <f t="shared" si="60"/>
        <v>130.07431311756159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5.6049999999999995</v>
      </c>
      <c r="BD104" s="12">
        <f>IF('Données projet'!$A$88&gt;35,BD103+BC104-BL103,IF(A104&lt;'Données projet'!$A$88,$BA$205^A104,IF(A104='Données projet'!$A$88,'Données projet'!$B$88,BD103+BC104-BL103)))</f>
        <v>463.60499999999979</v>
      </c>
      <c r="BE104" s="13">
        <f>BD104*VLOOKUP('Données projet'!$B$11,Paramètres!$A$1:$I$89,3,0)*VLOOKUP('Données projet'!$B$11,Paramètres!$A$1:$I$89,5,0)</f>
        <v>259.15519499999988</v>
      </c>
      <c r="BF104" s="13">
        <f t="shared" si="91"/>
        <v>62.542265574310946</v>
      </c>
      <c r="BG104" s="20">
        <f t="shared" si="61"/>
        <v>560.28974383359127</v>
      </c>
      <c r="BH104" s="59">
        <f t="shared" si="62"/>
        <v>853.62307716692453</v>
      </c>
      <c r="BI104" s="59">
        <f ca="1">AVERAGE(OFFSET($BH$3,0,0,'Données projet'!$E$11+1,1))-AVERAGE(OFFSET($H$3,0,0,'Données projet'!$E$11+1,1))</f>
        <v>293.82673322742102</v>
      </c>
      <c r="BJ104" s="59">
        <f t="shared" si="92"/>
        <v>138.78566015867693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55.64417185964556</v>
      </c>
      <c r="BQ104" s="21">
        <f>EXP(-LN(2)/25)*BQ103+(1-EXP(-LN(2)/25))/(LN(2)/25)*Calculateur!BL104*Calculateur!BN104*VLOOKUP('Données projet'!$B$11,Paramètres!$A$1:$I$89,3,0)*0.475*44/12</f>
        <v>18.651630443278098</v>
      </c>
      <c r="BR104" s="21">
        <f>EXP(-LN(2)/2)*BR103+(1-EXP(-LN(2)/2))/(LN(2)/2)*BL104*BO104*VLOOKUP('Données projet'!$B$11,Paramètres!$A$1:$I$89,3,0)*0.475*44/12</f>
        <v>1.6890935873007427</v>
      </c>
      <c r="BS104" s="22">
        <f t="shared" si="63"/>
        <v>75.984895890224408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8.8549999999999951</v>
      </c>
      <c r="N105" s="13">
        <f>IF('Données projet'!$A$36&gt;35,N104+M105-V104,IF(A105&lt;'Données projet'!$A$36,$K$205^A105,IF(A105='Données projet'!$A$36,'Données projet'!$B$36,N104+M105-V104)))</f>
        <v>334.89500000000004</v>
      </c>
      <c r="O105" s="13">
        <f>N105*VLOOKUP('Données projet'!$B$9,Paramètres!$A$1:$I$89,3,0)*VLOOKUP('Données projet'!$B$9,Paramètres!$A$1:$I$89,5,0)</f>
        <v>156.73086000000001</v>
      </c>
      <c r="P105" s="13">
        <f t="shared" si="87"/>
        <v>40.104268178684563</v>
      </c>
      <c r="Q105" s="20">
        <f t="shared" si="107"/>
        <v>342.82118157787562</v>
      </c>
      <c r="R105" s="59">
        <f t="shared" si="55"/>
        <v>636.15451491120893</v>
      </c>
      <c r="S105" s="59">
        <f ca="1">AVERAGE(OFFSET($R$3,0,0,'Données projet'!$E$9+1,1))-AVERAGE(OFFSET($H$3,0,0,'Données projet'!$E$9+1,1))</f>
        <v>263.84804661819163</v>
      </c>
      <c r="T105" s="59">
        <f t="shared" si="88"/>
        <v>271.81541836379307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116.9432388702544</v>
      </c>
      <c r="AA105" s="21">
        <f>EXP(-LN(2)/25)*AA104+(1-EXP(-LN(2)/25))/(LN(2)/25)*Calculateur!V105*Calculateur!X105*VLOOKUP('Données projet'!$B$9,Paramètres!$A$1:$I$89,3,0)*0.475*44/12</f>
        <v>32.459256115844894</v>
      </c>
      <c r="AB105" s="21">
        <f>EXP(-LN(2)/2)*AB104+(1-EXP(-LN(2)/2))/(LN(2)/2)*V105*Y105*VLOOKUP('Données projet'!$B$9,Paramètres!$A$1:$I$89,3,0)*0.475*44/12</f>
        <v>2.6068204255896563</v>
      </c>
      <c r="AC105" s="22">
        <f t="shared" si="57"/>
        <v>152.00931541168896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270.04187128233121</v>
      </c>
      <c r="AO105" s="59">
        <f t="shared" si="90"/>
        <v>183.82555940776064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99.135941407702646</v>
      </c>
      <c r="AV105" s="21">
        <f>EXP(-LN(2)/25)*AV104+(1-EXP(-LN(2)/25))/(LN(2)/25)*Calculateur!AQ105*Calculateur!AS105*VLOOKUP('Données projet'!$B$10,Paramètres!$A$1:$I$89,3,0)*0.475*44/12</f>
        <v>28.116206918860343</v>
      </c>
      <c r="AW105" s="21">
        <f>EXP(-LN(2)/2)*AW104+(1-EXP(-LN(2)/2))/(LN(2)/2)*AQ105*AT105*VLOOKUP('Données projet'!$B$10,Paramètres!$A$1:$I$89,3,0)*0.475*44/12</f>
        <v>3.4529610742777689E-2</v>
      </c>
      <c r="AX105" s="21">
        <f t="shared" si="60"/>
        <v>127.28667793730577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5.6049999999999995</v>
      </c>
      <c r="BD105" s="12">
        <f>IF('Données projet'!$A$88&gt;35,BD104+BC105-BL104,IF(A105&lt;'Données projet'!$A$88,$BA$205^A105,IF(A105='Données projet'!$A$88,'Données projet'!$B$88,BD104+BC105-BL104)))</f>
        <v>469.20999999999981</v>
      </c>
      <c r="BE105" s="13">
        <f>BD105*VLOOKUP('Données projet'!$B$11,Paramètres!$A$1:$I$89,3,0)*VLOOKUP('Données projet'!$B$11,Paramètres!$A$1:$I$89,5,0)</f>
        <v>262.28838999999988</v>
      </c>
      <c r="BF105" s="13">
        <f t="shared" si="91"/>
        <v>63.209921172571796</v>
      </c>
      <c r="BG105" s="20">
        <f t="shared" si="61"/>
        <v>566.90955862556223</v>
      </c>
      <c r="BH105" s="59">
        <f t="shared" si="62"/>
        <v>860.2428919588956</v>
      </c>
      <c r="BI105" s="59">
        <f ca="1">AVERAGE(OFFSET($BH$3,0,0,'Données projet'!$E$11+1,1))-AVERAGE(OFFSET($H$3,0,0,'Données projet'!$E$11+1,1))</f>
        <v>293.82673322742102</v>
      </c>
      <c r="BJ105" s="59">
        <f t="shared" si="92"/>
        <v>138.78566015867693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54.553023589071486</v>
      </c>
      <c r="BQ105" s="21">
        <f>EXP(-LN(2)/25)*BQ104+(1-EXP(-LN(2)/25))/(LN(2)/25)*Calculateur!BL105*Calculateur!BN105*VLOOKUP('Données projet'!$B$11,Paramètres!$A$1:$I$89,3,0)*0.475*44/12</f>
        <v>18.141600627960042</v>
      </c>
      <c r="BR105" s="21">
        <f>EXP(-LN(2)/2)*BR104+(1-EXP(-LN(2)/2))/(LN(2)/2)*BL105*BO105*VLOOKUP('Données projet'!$B$11,Paramètres!$A$1:$I$89,3,0)*0.475*44/12</f>
        <v>1.1943695296390668</v>
      </c>
      <c r="BS105" s="22">
        <f t="shared" si="63"/>
        <v>73.888993746670593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8.8549999999999951</v>
      </c>
      <c r="N106" s="13">
        <f>IF('Données projet'!$A$36&gt;35,N105+M106-V105,IF(A106&lt;'Données projet'!$A$36,$K$205^A106,IF(A106='Données projet'!$A$36,'Données projet'!$B$36,N105+M106-V105)))</f>
        <v>343.75000000000006</v>
      </c>
      <c r="O106" s="13">
        <f>N106*VLOOKUP('Données projet'!$B$9,Paramètres!$A$1:$I$89,3,0)*VLOOKUP('Données projet'!$B$9,Paramètres!$A$1:$I$89,5,0)</f>
        <v>160.87500000000003</v>
      </c>
      <c r="P106" s="13">
        <f t="shared" si="87"/>
        <v>41.039811411008891</v>
      </c>
      <c r="Q106" s="20">
        <f t="shared" si="107"/>
        <v>351.66829654084057</v>
      </c>
      <c r="R106" s="59">
        <f t="shared" si="55"/>
        <v>645.00162987417389</v>
      </c>
      <c r="S106" s="59">
        <f ca="1">AVERAGE(OFFSET($R$3,0,0,'Données projet'!$E$9+1,1))-AVERAGE(OFFSET($H$3,0,0,'Données projet'!$E$9+1,1))</f>
        <v>263.84804661819163</v>
      </c>
      <c r="T106" s="59">
        <f t="shared" si="88"/>
        <v>271.81541836379307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114.65005328434134</v>
      </c>
      <c r="AA106" s="21">
        <f>EXP(-LN(2)/25)*AA105+(1-EXP(-LN(2)/25))/(LN(2)/25)*Calculateur!V106*Calculateur!X106*VLOOKUP('Données projet'!$B$9,Paramètres!$A$1:$I$89,3,0)*0.475*44/12</f>
        <v>31.571656050399024</v>
      </c>
      <c r="AB106" s="21">
        <f>EXP(-LN(2)/2)*AB105+(1-EXP(-LN(2)/2))/(LN(2)/2)*V106*Y106*VLOOKUP('Données projet'!$B$9,Paramètres!$A$1:$I$89,3,0)*0.475*44/12</f>
        <v>1.8433004002700479</v>
      </c>
      <c r="AC106" s="22">
        <f t="shared" si="57"/>
        <v>148.06500973501039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270.04187128233121</v>
      </c>
      <c r="AO106" s="59">
        <f t="shared" si="90"/>
        <v>183.82555940776064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97.191946063651244</v>
      </c>
      <c r="AV106" s="21">
        <f>EXP(-LN(2)/25)*AV105+(1-EXP(-LN(2)/25))/(LN(2)/25)*Calculateur!AQ106*Calculateur!AS106*VLOOKUP('Données projet'!$B$10,Paramètres!$A$1:$I$89,3,0)*0.475*44/12</f>
        <v>27.347367762097043</v>
      </c>
      <c r="AW106" s="21">
        <f>EXP(-LN(2)/2)*AW105+(1-EXP(-LN(2)/2))/(LN(2)/2)*AQ106*AT106*VLOOKUP('Données projet'!$B$10,Paramètres!$A$1:$I$89,3,0)*0.475*44/12</f>
        <v>2.4416121907949964E-2</v>
      </c>
      <c r="AX106" s="21">
        <f t="shared" si="60"/>
        <v>124.56372994765623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5.6049999999999995</v>
      </c>
      <c r="BD106" s="12">
        <f>IF('Données projet'!$A$88&gt;35,BD105+BC106-BL105,IF(A106&lt;'Données projet'!$A$88,$BA$205^A106,IF(A106='Données projet'!$A$88,'Données projet'!$B$88,BD105+BC106-BL105)))</f>
        <v>474.81499999999983</v>
      </c>
      <c r="BE106" s="13">
        <f>BD106*VLOOKUP('Données projet'!$B$11,Paramètres!$A$1:$I$89,3,0)*VLOOKUP('Données projet'!$B$11,Paramètres!$A$1:$I$89,5,0)</f>
        <v>265.42158499999994</v>
      </c>
      <c r="BF106" s="13">
        <f t="shared" si="91"/>
        <v>63.876649038155144</v>
      </c>
      <c r="BG106" s="20">
        <f t="shared" si="61"/>
        <v>573.52775761645341</v>
      </c>
      <c r="BH106" s="59">
        <f t="shared" si="62"/>
        <v>866.86109094978679</v>
      </c>
      <c r="BI106" s="59">
        <f ca="1">AVERAGE(OFFSET($BH$3,0,0,'Données projet'!$E$11+1,1))-AVERAGE(OFFSET($H$3,0,0,'Données projet'!$E$11+1,1))</f>
        <v>293.82673322742102</v>
      </c>
      <c r="BJ106" s="59">
        <f t="shared" si="92"/>
        <v>138.78566015867693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53.483272070548644</v>
      </c>
      <c r="BQ106" s="21">
        <f>EXP(-LN(2)/25)*BQ105+(1-EXP(-LN(2)/25))/(LN(2)/25)*Calculateur!BL106*Calculateur!BN106*VLOOKUP('Données projet'!$B$11,Paramètres!$A$1:$I$89,3,0)*0.475*44/12</f>
        <v>17.64551760476316</v>
      </c>
      <c r="BR106" s="21">
        <f>EXP(-LN(2)/2)*BR105+(1-EXP(-LN(2)/2))/(LN(2)/2)*BL106*BO106*VLOOKUP('Données projet'!$B$11,Paramètres!$A$1:$I$89,3,0)*0.475*44/12</f>
        <v>0.84454679365037133</v>
      </c>
      <c r="BS106" s="22">
        <f t="shared" si="63"/>
        <v>71.973336468962174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8.8549999999999951</v>
      </c>
      <c r="N107" s="13">
        <f>IF('Données projet'!$A$36&gt;35,N106+M107-V106,IF(A107&lt;'Données projet'!$A$36,$K$205^A107,IF(A107='Données projet'!$A$36,'Données projet'!$B$36,N106+M107-V106)))</f>
        <v>352.60500000000008</v>
      </c>
      <c r="O107" s="13">
        <f>N107*VLOOKUP('Données projet'!$B$9,Paramètres!$A$1:$I$89,3,0)*VLOOKUP('Données projet'!$B$9,Paramètres!$A$1:$I$89,5,0)</f>
        <v>165.01914000000005</v>
      </c>
      <c r="P107" s="13">
        <f t="shared" si="87"/>
        <v>41.972553324657</v>
      </c>
      <c r="Q107" s="20">
        <f t="shared" si="107"/>
        <v>360.51053254044433</v>
      </c>
      <c r="R107" s="59">
        <f t="shared" si="55"/>
        <v>653.84386587377764</v>
      </c>
      <c r="S107" s="59">
        <f ca="1">AVERAGE(OFFSET($R$3,0,0,'Données projet'!$E$9+1,1))-AVERAGE(OFFSET($H$3,0,0,'Données projet'!$E$9+1,1))</f>
        <v>263.84804661819163</v>
      </c>
      <c r="T107" s="59">
        <f t="shared" si="88"/>
        <v>271.81541836379307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112.40183566906293</v>
      </c>
      <c r="AA107" s="21">
        <f>EXP(-LN(2)/25)*AA106+(1-EXP(-LN(2)/25))/(LN(2)/25)*Calculateur!V107*Calculateur!X107*VLOOKUP('Données projet'!$B$9,Paramètres!$A$1:$I$89,3,0)*0.475*44/12</f>
        <v>30.708327455419628</v>
      </c>
      <c r="AB107" s="21">
        <f>EXP(-LN(2)/2)*AB106+(1-EXP(-LN(2)/2))/(LN(2)/2)*V107*Y107*VLOOKUP('Données projet'!$B$9,Paramètres!$A$1:$I$89,3,0)*0.475*44/12</f>
        <v>1.3034102127948284</v>
      </c>
      <c r="AC107" s="22">
        <f t="shared" si="57"/>
        <v>144.4135733372774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270.04187128233121</v>
      </c>
      <c r="AO107" s="59">
        <f t="shared" si="90"/>
        <v>183.82555940776064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95.2860712825766</v>
      </c>
      <c r="AV107" s="21">
        <f>EXP(-LN(2)/25)*AV106+(1-EXP(-LN(2)/25))/(LN(2)/25)*Calculateur!AQ107*Calculateur!AS107*VLOOKUP('Données projet'!$B$10,Paramètres!$A$1:$I$89,3,0)*0.475*44/12</f>
        <v>26.599552552506932</v>
      </c>
      <c r="AW107" s="21">
        <f>EXP(-LN(2)/2)*AW106+(1-EXP(-LN(2)/2))/(LN(2)/2)*AQ107*AT107*VLOOKUP('Données projet'!$B$10,Paramètres!$A$1:$I$89,3,0)*0.475*44/12</f>
        <v>1.7264805371388844E-2</v>
      </c>
      <c r="AX107" s="21">
        <f t="shared" si="60"/>
        <v>121.90288864045492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5.6049999999999995</v>
      </c>
      <c r="BD107" s="12">
        <f>IF('Données projet'!$A$88&gt;35,BD106+BC107-BL106,IF(A107&lt;'Données projet'!$A$88,$BA$205^A107,IF(A107='Données projet'!$A$88,'Données projet'!$B$88,BD106+BC107-BL106)))</f>
        <v>480.41999999999985</v>
      </c>
      <c r="BE107" s="13">
        <f>BD107*VLOOKUP('Données projet'!$B$11,Paramètres!$A$1:$I$89,3,0)*VLOOKUP('Données projet'!$B$11,Paramètres!$A$1:$I$89,5,0)</f>
        <v>268.55477999999988</v>
      </c>
      <c r="BF107" s="13">
        <f t="shared" si="91"/>
        <v>64.542461389502265</v>
      </c>
      <c r="BG107" s="20">
        <f t="shared" si="61"/>
        <v>580.14436208671611</v>
      </c>
      <c r="BH107" s="59">
        <f t="shared" si="62"/>
        <v>873.47769542004949</v>
      </c>
      <c r="BI107" s="59">
        <f ca="1">AVERAGE(OFFSET($BH$3,0,0,'Données projet'!$E$11+1,1))-AVERAGE(OFFSET($H$3,0,0,'Données projet'!$E$11+1,1))</f>
        <v>293.82673322742102</v>
      </c>
      <c r="BJ107" s="59">
        <f t="shared" si="92"/>
        <v>138.78566015867693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52.434497726820034</v>
      </c>
      <c r="BQ107" s="21">
        <f>EXP(-LN(2)/25)*BQ106+(1-EXP(-LN(2)/25))/(LN(2)/25)*Calculateur!BL107*Calculateur!BN107*VLOOKUP('Données projet'!$B$11,Paramètres!$A$1:$I$89,3,0)*0.475*44/12</f>
        <v>17.162999997923471</v>
      </c>
      <c r="BR107" s="21">
        <f>EXP(-LN(2)/2)*BR106+(1-EXP(-LN(2)/2))/(LN(2)/2)*BL107*BO107*VLOOKUP('Données projet'!$B$11,Paramètres!$A$1:$I$89,3,0)*0.475*44/12</f>
        <v>0.59718476481953342</v>
      </c>
      <c r="BS107" s="22">
        <f t="shared" si="63"/>
        <v>70.194682489563036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361.46</v>
      </c>
      <c r="L108" s="12">
        <f>VLOOKUP(A108,'Données projet'!$A$35:$I$55,9,0)</f>
        <v>8.8549999999999951</v>
      </c>
      <c r="M108" s="12">
        <f t="array" ref="M108">INDEX(L:L,MIN(IF(ISNUMBER(L108:L304),ROW(L108:L304),"")))</f>
        <v>8.8549999999999951</v>
      </c>
      <c r="N108" s="13">
        <f>IF('Données projet'!$A$36&gt;35,N107+M108-V107,IF(A108&lt;'Données projet'!$A$36,$K$205^A108,IF(A108='Données projet'!$A$36,'Données projet'!$B$36,N107+M108-V107)))</f>
        <v>361.46000000000009</v>
      </c>
      <c r="O108" s="13">
        <f>N108*VLOOKUP('Données projet'!$B$9,Paramètres!$A$1:$I$89,3,0)*VLOOKUP('Données projet'!$B$9,Paramètres!$A$1:$I$89,5,0)</f>
        <v>169.16328000000004</v>
      </c>
      <c r="P108" s="13">
        <f t="shared" si="87"/>
        <v>42.902572360102063</v>
      </c>
      <c r="Q108" s="20">
        <f t="shared" si="107"/>
        <v>369.34802619384442</v>
      </c>
      <c r="R108" s="59">
        <f t="shared" si="55"/>
        <v>662.68135952717773</v>
      </c>
      <c r="S108" s="59">
        <f ca="1">AVERAGE(OFFSET($R$3,0,0,'Données projet'!$E$9+1,1))-AVERAGE(OFFSET($H$3,0,0,'Données projet'!$E$9+1,1))</f>
        <v>263.84804661819163</v>
      </c>
      <c r="T108" s="59">
        <f t="shared" si="88"/>
        <v>271.81541836379307</v>
      </c>
      <c r="U108" s="15" t="str">
        <f>IF(ISNA(VLOOKUP(A108,'Données projet'!$A$35:$I$55,3,0)),0,VLOOKUP(A108,'Données projet'!$A$35:$I$55,3,0))</f>
        <v>CR</v>
      </c>
      <c r="V108" s="15">
        <f>IF(ISNA(VLOOKUP(A108,'Données projet'!$A$35:$I$55,4,0)),0,VLOOKUP(A108,'Données projet'!$A$35:$I$55,4,0))</f>
        <v>361.46</v>
      </c>
      <c r="W108" s="16">
        <f>IF(ISNA(VLOOKUP(A108,'Données projet'!$A$35:$I$55,5,0)),0%,VLOOKUP(A108,'Données projet'!$A$35:$I$55,5,0)*VLOOKUP('Données projet'!$B$9,Paramètres!$A$1:$I$89,7,0))</f>
        <v>0.33</v>
      </c>
      <c r="X108" s="16">
        <f>IF(ISNA(VLOOKUP(A108,'Données projet'!$A$35:$I$55,6,0)),0%,VLOOKUP(A108,'Données projet'!$A$35:$I$55,6,0)*VLOOKUP('Données projet'!$B$9,Paramètres!$A$1:$I$89,7,0))</f>
        <v>0.11000000000000001</v>
      </c>
      <c r="Y108" s="16">
        <f>IF(ISNA(VLOOKUP(A108,'Données projet'!$A$35:$I$55,7,0)),0%,VLOOKUP(A108,'Données projet'!$A$35:$I$55,7,0))</f>
        <v>0.2</v>
      </c>
      <c r="Z108" s="21">
        <f>EXP(-LN(2)/35)*Z107+(1-EXP(-LN(2)/35))/(LN(2)/35)*V108*W108*VLOOKUP('Données projet'!$B$9,Paramètres!$A$1:$I$89,3,0)*0.475*44/12</f>
        <v>184.2516823864197</v>
      </c>
      <c r="AA108" s="21">
        <f>EXP(-LN(2)/25)*AA107+(1-EXP(-LN(2)/25))/(LN(2)/25)*Calculateur!V108*Calculateur!X108*VLOOKUP('Données projet'!$B$9,Paramètres!$A$1:$I$89,3,0)*0.475*44/12</f>
        <v>54.456073102169441</v>
      </c>
      <c r="AB108" s="21">
        <f>EXP(-LN(2)/2)*AB107+(1-EXP(-LN(2)/2))/(LN(2)/2)*V108*Y108*VLOOKUP('Données projet'!$B$9,Paramètres!$A$1:$I$89,3,0)*0.475*44/12</f>
        <v>39.228076034437592</v>
      </c>
      <c r="AC108" s="22">
        <f t="shared" si="57"/>
        <v>277.93583152302676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270.04187128233121</v>
      </c>
      <c r="AO108" s="59">
        <f t="shared" si="90"/>
        <v>183.82555940776064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93.417569543490004</v>
      </c>
      <c r="AV108" s="21">
        <f>EXP(-LN(2)/25)*AV107+(1-EXP(-LN(2)/25))/(LN(2)/25)*Calculateur!AQ108*Calculateur!AS108*VLOOKUP('Données projet'!$B$10,Paramètres!$A$1:$I$89,3,0)*0.475*44/12</f>
        <v>25.872186389148954</v>
      </c>
      <c r="AW108" s="21">
        <f>EXP(-LN(2)/2)*AW107+(1-EXP(-LN(2)/2))/(LN(2)/2)*AQ108*AT108*VLOOKUP('Données projet'!$B$10,Paramètres!$A$1:$I$89,3,0)*0.475*44/12</f>
        <v>1.2208060953974982E-2</v>
      </c>
      <c r="AX108" s="21">
        <f t="shared" si="60"/>
        <v>119.30196399359293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5.6049999999999995</v>
      </c>
      <c r="BD108" s="12">
        <f>IF('Données projet'!$A$88&gt;35,BD107+BC108-BL107,IF(A108&lt;'Données projet'!$A$88,$BA$205^A108,IF(A108='Données projet'!$A$88,'Données projet'!$B$88,BD107+BC108-BL107)))</f>
        <v>486.02499999999986</v>
      </c>
      <c r="BE108" s="13">
        <f>BD108*VLOOKUP('Données projet'!$B$11,Paramètres!$A$1:$I$89,3,0)*VLOOKUP('Données projet'!$B$11,Paramètres!$A$1:$I$89,5,0)</f>
        <v>271.68797499999994</v>
      </c>
      <c r="BF108" s="13">
        <f t="shared" si="91"/>
        <v>65.207370143544097</v>
      </c>
      <c r="BG108" s="20">
        <f t="shared" si="61"/>
        <v>586.75939279167244</v>
      </c>
      <c r="BH108" s="59">
        <f t="shared" si="62"/>
        <v>880.09272612500581</v>
      </c>
      <c r="BI108" s="59">
        <f ca="1">AVERAGE(OFFSET($BH$3,0,0,'Données projet'!$E$11+1,1))-AVERAGE(OFFSET($H$3,0,0,'Données projet'!$E$11+1,1))</f>
        <v>293.82673322742102</v>
      </c>
      <c r="BJ108" s="59">
        <f t="shared" si="92"/>
        <v>138.78566015867693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51.406289208282757</v>
      </c>
      <c r="BQ108" s="21">
        <f>EXP(-LN(2)/25)*BQ107+(1-EXP(-LN(2)/25))/(LN(2)/25)*Calculateur!BL108*Calculateur!BN108*VLOOKUP('Données projet'!$B$11,Paramètres!$A$1:$I$89,3,0)*0.475*44/12</f>
        <v>16.693676860417309</v>
      </c>
      <c r="BR108" s="21">
        <f>EXP(-LN(2)/2)*BR107+(1-EXP(-LN(2)/2))/(LN(2)/2)*BL108*BO108*VLOOKUP('Données projet'!$B$11,Paramètres!$A$1:$I$89,3,0)*0.475*44/12</f>
        <v>0.42227339682518567</v>
      </c>
      <c r="BS108" s="22">
        <f t="shared" si="63"/>
        <v>68.52223946552526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5.3205440053716299E-14</v>
      </c>
      <c r="P109" s="13">
        <f t="shared" si="87"/>
        <v>8.602146238565607E-13</v>
      </c>
      <c r="Q109" s="20">
        <f t="shared" si="107"/>
        <v>1.590873277977066E-12</v>
      </c>
      <c r="R109" s="59">
        <f t="shared" si="55"/>
        <v>293.33333333333491</v>
      </c>
      <c r="S109" s="59">
        <f ca="1">AVERAGE(OFFSET($R$3,0,0,'Données projet'!$E$9+1,1))-AVERAGE(OFFSET($H$3,0,0,'Données projet'!$E$9+1,1))</f>
        <v>263.84804661819163</v>
      </c>
      <c r="T109" s="59">
        <f t="shared" si="88"/>
        <v>271.81541836379307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180.63861927725142</v>
      </c>
      <c r="AA109" s="21">
        <f>EXP(-LN(2)/25)*AA108+(1-EXP(-LN(2)/25))/(LN(2)/25)*Calculateur!V109*Calculateur!X109*VLOOKUP('Données projet'!$B$9,Paramètres!$A$1:$I$89,3,0)*0.475*44/12</f>
        <v>52.966968919470197</v>
      </c>
      <c r="AB109" s="21">
        <f>EXP(-LN(2)/2)*AB108+(1-EXP(-LN(2)/2))/(LN(2)/2)*V109*Y109*VLOOKUP('Données projet'!$B$9,Paramètres!$A$1:$I$89,3,0)*0.475*44/12</f>
        <v>27.738438576852314</v>
      </c>
      <c r="AC109" s="22">
        <f t="shared" si="57"/>
        <v>261.34402677357394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270.04187128233121</v>
      </c>
      <c r="AO109" s="59">
        <f t="shared" si="90"/>
        <v>183.82555940776064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91.585707983833373</v>
      </c>
      <c r="AV109" s="21">
        <f>EXP(-LN(2)/25)*AV108+(1-EXP(-LN(2)/25))/(LN(2)/25)*Calculateur!AQ109*Calculateur!AS109*VLOOKUP('Données projet'!$B$10,Paramètres!$A$1:$I$89,3,0)*0.475*44/12</f>
        <v>25.164710091778524</v>
      </c>
      <c r="AW109" s="21">
        <f>EXP(-LN(2)/2)*AW108+(1-EXP(-LN(2)/2))/(LN(2)/2)*AQ109*AT109*VLOOKUP('Données projet'!$B$10,Paramètres!$A$1:$I$89,3,0)*0.475*44/12</f>
        <v>8.6324026856944222E-3</v>
      </c>
      <c r="AX109" s="21">
        <f t="shared" si="60"/>
        <v>116.75905047829758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5.6049999999999995</v>
      </c>
      <c r="BD109" s="12">
        <f>IF('Données projet'!$A$88&gt;35,BD108+BC109-BL108,IF(A109&lt;'Données projet'!$A$88,$BA$205^A109,IF(A109='Données projet'!$A$88,'Données projet'!$B$88,BD108+BC109-BL108)))</f>
        <v>491.62999999999988</v>
      </c>
      <c r="BE109" s="13">
        <f>BD109*VLOOKUP('Données projet'!$B$11,Paramètres!$A$1:$I$89,3,0)*VLOOKUP('Données projet'!$B$11,Paramètres!$A$1:$I$89,5,0)</f>
        <v>274.82116999999994</v>
      </c>
      <c r="BF109" s="13">
        <f t="shared" si="91"/>
        <v>65.871386926530604</v>
      </c>
      <c r="BG109" s="20">
        <f t="shared" si="61"/>
        <v>593.37286998037405</v>
      </c>
      <c r="BH109" s="59">
        <f t="shared" si="62"/>
        <v>886.70620331370742</v>
      </c>
      <c r="BI109" s="59">
        <f ca="1">AVERAGE(OFFSET($BH$3,0,0,'Données projet'!$E$11+1,1))-AVERAGE(OFFSET($H$3,0,0,'Données projet'!$E$11+1,1))</f>
        <v>293.82673322742102</v>
      </c>
      <c r="BJ109" s="59">
        <f t="shared" si="92"/>
        <v>138.78566015867693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50.398243231648728</v>
      </c>
      <c r="BQ109" s="21">
        <f>EXP(-LN(2)/25)*BQ108+(1-EXP(-LN(2)/25))/(LN(2)/25)*Calculateur!BL109*Calculateur!BN109*VLOOKUP('Données projet'!$B$11,Paramètres!$A$1:$I$89,3,0)*0.475*44/12</f>
        <v>16.237187388786886</v>
      </c>
      <c r="BR109" s="21">
        <f>EXP(-LN(2)/2)*BR108+(1-EXP(-LN(2)/2))/(LN(2)/2)*BL109*BO109*VLOOKUP('Données projet'!$B$11,Paramètres!$A$1:$I$89,3,0)*0.475*44/12</f>
        <v>0.29859238240976671</v>
      </c>
      <c r="BS109" s="22">
        <f t="shared" si="63"/>
        <v>66.934023002845379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5.3205440053716299E-14</v>
      </c>
      <c r="P110" s="13">
        <f t="shared" si="87"/>
        <v>8.602146238565607E-13</v>
      </c>
      <c r="Q110" s="20">
        <f t="shared" si="107"/>
        <v>1.590873277977066E-12</v>
      </c>
      <c r="R110" s="59">
        <f t="shared" si="55"/>
        <v>293.33333333333491</v>
      </c>
      <c r="S110" s="59">
        <f ca="1">AVERAGE(OFFSET($R$3,0,0,'Données projet'!$E$9+1,1))-AVERAGE(OFFSET($H$3,0,0,'Données projet'!$E$9+1,1))</f>
        <v>263.84804661819163</v>
      </c>
      <c r="T110" s="59">
        <f t="shared" si="88"/>
        <v>271.81541836379307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177.09640613190305</v>
      </c>
      <c r="AA110" s="21">
        <f>EXP(-LN(2)/25)*AA109+(1-EXP(-LN(2)/25))/(LN(2)/25)*Calculateur!V110*Calculateur!X110*VLOOKUP('Données projet'!$B$9,Paramètres!$A$1:$I$89,3,0)*0.475*44/12</f>
        <v>51.518584368955445</v>
      </c>
      <c r="AB110" s="21">
        <f>EXP(-LN(2)/2)*AB109+(1-EXP(-LN(2)/2))/(LN(2)/2)*V110*Y110*VLOOKUP('Données projet'!$B$9,Paramètres!$A$1:$I$89,3,0)*0.475*44/12</f>
        <v>19.6140380172188</v>
      </c>
      <c r="AC110" s="22">
        <f t="shared" si="57"/>
        <v>248.22902851807729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270.04187128233121</v>
      </c>
      <c r="AO110" s="59">
        <f t="shared" si="90"/>
        <v>183.82555940776064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89.789768112036384</v>
      </c>
      <c r="AV110" s="21">
        <f>EXP(-LN(2)/25)*AV109+(1-EXP(-LN(2)/25))/(LN(2)/25)*Calculateur!AQ110*Calculateur!AS110*VLOOKUP('Données projet'!$B$10,Paramètres!$A$1:$I$89,3,0)*0.475*44/12</f>
        <v>24.47657977096425</v>
      </c>
      <c r="AW110" s="21">
        <f>EXP(-LN(2)/2)*AW109+(1-EXP(-LN(2)/2))/(LN(2)/2)*AQ110*AT110*VLOOKUP('Données projet'!$B$10,Paramètres!$A$1:$I$89,3,0)*0.475*44/12</f>
        <v>6.104030476987491E-3</v>
      </c>
      <c r="AX110" s="21">
        <f t="shared" si="60"/>
        <v>114.27245191347762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5.6049999999999995</v>
      </c>
      <c r="BD110" s="12">
        <f>IF('Données projet'!$A$88&gt;35,BD109+BC110-BL109,IF(A110&lt;'Données projet'!$A$88,$BA$205^A110,IF(A110='Données projet'!$A$88,'Données projet'!$B$88,BD109+BC110-BL109)))</f>
        <v>497.2349999999999</v>
      </c>
      <c r="BE110" s="13">
        <f>BD110*VLOOKUP('Données projet'!$B$11,Paramètres!$A$1:$I$89,3,0)*VLOOKUP('Données projet'!$B$11,Paramètres!$A$1:$I$89,5,0)</f>
        <v>277.95436499999994</v>
      </c>
      <c r="BF110" s="13">
        <f t="shared" si="91"/>
        <v>66.53452308435287</v>
      </c>
      <c r="BG110" s="20">
        <f t="shared" si="61"/>
        <v>599.98481341358115</v>
      </c>
      <c r="BH110" s="59">
        <f t="shared" si="62"/>
        <v>893.31814674691441</v>
      </c>
      <c r="BI110" s="59">
        <f ca="1">AVERAGE(OFFSET($BH$3,0,0,'Données projet'!$E$11+1,1))-AVERAGE(OFFSET($H$3,0,0,'Données projet'!$E$11+1,1))</f>
        <v>293.82673322742102</v>
      </c>
      <c r="BJ110" s="59">
        <f t="shared" si="92"/>
        <v>138.78566015867693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49.409964421769153</v>
      </c>
      <c r="BQ110" s="21">
        <f>EXP(-LN(2)/25)*BQ109+(1-EXP(-LN(2)/25))/(LN(2)/25)*Calculateur!BL110*Calculateur!BN110*VLOOKUP('Données projet'!$B$11,Paramètres!$A$1:$I$89,3,0)*0.475*44/12</f>
        <v>15.793180645763934</v>
      </c>
      <c r="BR110" s="21">
        <f>EXP(-LN(2)/2)*BR109+(1-EXP(-LN(2)/2))/(LN(2)/2)*BL110*BO110*VLOOKUP('Données projet'!$B$11,Paramètres!$A$1:$I$89,3,0)*0.475*44/12</f>
        <v>0.21113669841259283</v>
      </c>
      <c r="BS110" s="22">
        <f t="shared" si="63"/>
        <v>65.414281765945674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5.3205440053716299E-14</v>
      </c>
      <c r="P111" s="13">
        <f t="shared" si="87"/>
        <v>8.602146238565607E-13</v>
      </c>
      <c r="Q111" s="20">
        <f t="shared" si="107"/>
        <v>1.590873277977066E-12</v>
      </c>
      <c r="R111" s="59">
        <f t="shared" si="55"/>
        <v>293.33333333333491</v>
      </c>
      <c r="S111" s="59">
        <f ca="1">AVERAGE(OFFSET($R$3,0,0,'Données projet'!$E$9+1,1))-AVERAGE(OFFSET($H$3,0,0,'Données projet'!$E$9+1,1))</f>
        <v>263.84804661819163</v>
      </c>
      <c r="T111" s="59">
        <f t="shared" si="88"/>
        <v>271.81541836379307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173.62365362579826</v>
      </c>
      <c r="AA111" s="21">
        <f>EXP(-LN(2)/25)*AA110+(1-EXP(-LN(2)/25))/(LN(2)/25)*Calculateur!V111*Calculateur!X111*VLOOKUP('Données projet'!$B$9,Paramètres!$A$1:$I$89,3,0)*0.475*44/12</f>
        <v>50.10980597014175</v>
      </c>
      <c r="AB111" s="21">
        <f>EXP(-LN(2)/2)*AB110+(1-EXP(-LN(2)/2))/(LN(2)/2)*V111*Y111*VLOOKUP('Données projet'!$B$9,Paramètres!$A$1:$I$89,3,0)*0.475*44/12</f>
        <v>13.869219288426159</v>
      </c>
      <c r="AC111" s="22">
        <f t="shared" si="57"/>
        <v>237.60267888436618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270.04187128233121</v>
      </c>
      <c r="AO111" s="59">
        <f t="shared" si="90"/>
        <v>183.82555940776064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88.029045525710174</v>
      </c>
      <c r="AV111" s="21">
        <f>EXP(-LN(2)/25)*AV110+(1-EXP(-LN(2)/25))/(LN(2)/25)*Calculateur!AQ111*Calculateur!AS111*VLOOKUP('Données projet'!$B$10,Paramètres!$A$1:$I$89,3,0)*0.475*44/12</f>
        <v>23.807266409959844</v>
      </c>
      <c r="AW111" s="21">
        <f>EXP(-LN(2)/2)*AW110+(1-EXP(-LN(2)/2))/(LN(2)/2)*AQ111*AT111*VLOOKUP('Données projet'!$B$10,Paramètres!$A$1:$I$89,3,0)*0.475*44/12</f>
        <v>4.3162013428472111E-3</v>
      </c>
      <c r="AX111" s="21">
        <f t="shared" si="60"/>
        <v>111.84062813701286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>
        <f>VLOOKUP(A111,'Données projet'!$A$87:$I$107,2,0)</f>
        <v>502.84</v>
      </c>
      <c r="BB111" s="12">
        <f>VLOOKUP(A111,'Données projet'!$A$87:$I$107,9,0)</f>
        <v>5.6049999999999995</v>
      </c>
      <c r="BC111" s="12">
        <f t="array" ref="BC111">INDEX(BB:BB,MIN(IF(ISNUMBER(BB111:BB307),ROW(BB111:BB307),"")))</f>
        <v>5.6049999999999995</v>
      </c>
      <c r="BD111" s="12">
        <f>IF('Données projet'!$A$88&gt;35,BD110+BC111-BL110,IF(A111&lt;'Données projet'!$A$88,$BA$205^A111,IF(A111='Données projet'!$A$88,'Données projet'!$B$88,BD110+BC111-BL110)))</f>
        <v>502.83999999999992</v>
      </c>
      <c r="BE111" s="13">
        <f>BD111*VLOOKUP('Données projet'!$B$11,Paramètres!$A$1:$I$89,3,0)*VLOOKUP('Données projet'!$B$11,Paramètres!$A$1:$I$89,5,0)</f>
        <v>281.08755999999994</v>
      </c>
      <c r="BF111" s="13">
        <f t="shared" si="91"/>
        <v>67.19678969238592</v>
      </c>
      <c r="BG111" s="20">
        <f t="shared" si="61"/>
        <v>606.59524238090523</v>
      </c>
      <c r="BH111" s="59">
        <f t="shared" si="62"/>
        <v>899.9285757142386</v>
      </c>
      <c r="BI111" s="59">
        <f ca="1">AVERAGE(OFFSET($BH$3,0,0,'Données projet'!$E$11+1,1))-AVERAGE(OFFSET($H$3,0,0,'Données projet'!$E$11+1,1))</f>
        <v>293.82673322742102</v>
      </c>
      <c r="BJ111" s="59">
        <f t="shared" si="92"/>
        <v>138.78566015867693</v>
      </c>
      <c r="BK111" s="15">
        <f>IF(ISNA(VLOOKUP(A111,'Données projet'!$A$87:$I$107,3,0)),0,VLOOKUP(A111,'Données projet'!$A$87:$I$107,3,0))</f>
        <v>8</v>
      </c>
      <c r="BL111" s="15">
        <f>IF(ISNA(VLOOKUP(A111,'Données projet'!$A$87:$I$107,4,0)),0,VLOOKUP(A111,'Données projet'!$A$87:$I$107,4,0))</f>
        <v>65.25</v>
      </c>
      <c r="BM111" s="16">
        <f>IF(ISNA(VLOOKUP(A111,'Données projet'!$A$87:$I$107,5,0)),0%,VLOOKUP(A111,'Données projet'!$A$87:$I$107,5,0)*VLOOKUP('Données projet'!$B$11,Paramètres!$A$1:$I$89,7,0))</f>
        <v>0.33</v>
      </c>
      <c r="BN111" s="16">
        <f>IF(ISNA(VLOOKUP(A111,'Données projet'!$A$87:$I$107,6,0)),0%,VLOOKUP(A111,'Données projet'!$A$87:$I$107,6,0)*VLOOKUP('Données projet'!$B$11,Paramètres!$A$1:$I$89,7,0))</f>
        <v>0.11000000000000001</v>
      </c>
      <c r="BO111" s="16">
        <f>IF(ISNA(VLOOKUP(A111,'Données projet'!$A$87:$I$107,7,0)),0%,VLOOKUP(A111,'Données projet'!$A$87:$I$107,7,0))</f>
        <v>0.2</v>
      </c>
      <c r="BP111" s="21">
        <f>EXP(-LN(2)/35)*BP110+(1-EXP(-LN(2)/35))/(LN(2)/35)*BL111*BM111*VLOOKUP('Données projet'!$B$11,Paramètres!$A$1:$I$89,3,0)*0.475*44/12</f>
        <v>64.408480424005077</v>
      </c>
      <c r="BQ111" s="21">
        <f>EXP(-LN(2)/25)*BQ110+(1-EXP(-LN(2)/25))/(LN(2)/25)*Calculateur!BL111*Calculateur!BN111*VLOOKUP('Données projet'!$B$11,Paramètres!$A$1:$I$89,3,0)*0.475*44/12</f>
        <v>20.662830446969643</v>
      </c>
      <c r="BR111" s="21">
        <f>EXP(-LN(2)/2)*BR110+(1-EXP(-LN(2)/2))/(LN(2)/2)*BL111*BO111*VLOOKUP('Données projet'!$B$11,Paramètres!$A$1:$I$89,3,0)*0.475*44/12</f>
        <v>8.4088741900455748</v>
      </c>
      <c r="BS111" s="22">
        <f t="shared" si="63"/>
        <v>93.480185061020293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5.3205440053716299E-14</v>
      </c>
      <c r="P112" s="13">
        <f t="shared" si="87"/>
        <v>8.602146238565607E-13</v>
      </c>
      <c r="Q112" s="20">
        <f t="shared" si="107"/>
        <v>1.590873277977066E-12</v>
      </c>
      <c r="R112" s="59">
        <f t="shared" si="55"/>
        <v>293.33333333333491</v>
      </c>
      <c r="S112" s="59">
        <f ca="1">AVERAGE(OFFSET($R$3,0,0,'Données projet'!$E$9+1,1))-AVERAGE(OFFSET($H$3,0,0,'Données projet'!$E$9+1,1))</f>
        <v>263.84804661819163</v>
      </c>
      <c r="T112" s="59">
        <f t="shared" si="88"/>
        <v>271.81541836379307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170.2189996781683</v>
      </c>
      <c r="AA112" s="21">
        <f>EXP(-LN(2)/25)*AA111+(1-EXP(-LN(2)/25))/(LN(2)/25)*Calculateur!V112*Calculateur!X112*VLOOKUP('Données projet'!$B$9,Paramètres!$A$1:$I$89,3,0)*0.475*44/12</f>
        <v>48.739550690728052</v>
      </c>
      <c r="AB112" s="21">
        <f>EXP(-LN(2)/2)*AB111+(1-EXP(-LN(2)/2))/(LN(2)/2)*V112*Y112*VLOOKUP('Données projet'!$B$9,Paramètres!$A$1:$I$89,3,0)*0.475*44/12</f>
        <v>9.8070190086094016</v>
      </c>
      <c r="AC112" s="22">
        <f t="shared" si="57"/>
        <v>228.76556937750576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270.04187128233121</v>
      </c>
      <c r="AO112" s="59">
        <f t="shared" si="90"/>
        <v>183.82555940776064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86.302849635367082</v>
      </c>
      <c r="AV112" s="21">
        <f>EXP(-LN(2)/25)*AV111+(1-EXP(-LN(2)/25))/(LN(2)/25)*Calculateur!AQ112*Calculateur!AS112*VLOOKUP('Données projet'!$B$10,Paramètres!$A$1:$I$89,3,0)*0.475*44/12</f>
        <v>23.156255458009763</v>
      </c>
      <c r="AW112" s="21">
        <f>EXP(-LN(2)/2)*AW111+(1-EXP(-LN(2)/2))/(LN(2)/2)*AQ112*AT112*VLOOKUP('Données projet'!$B$10,Paramètres!$A$1:$I$89,3,0)*0.475*44/12</f>
        <v>3.0520152384937455E-3</v>
      </c>
      <c r="AX112" s="21">
        <f t="shared" si="60"/>
        <v>109.46215710861534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4.3516666666666692</v>
      </c>
      <c r="BD112" s="12">
        <f>IF('Données projet'!$A$88&gt;35,BD111+BC112-BL111,IF(A112&lt;'Données projet'!$A$88,$BA$205^A112,IF(A112='Données projet'!$A$88,'Données projet'!$B$88,BD111+BC112-BL111)))</f>
        <v>441.94166666666661</v>
      </c>
      <c r="BE112" s="13">
        <f>BD112*VLOOKUP('Données projet'!$B$11,Paramètres!$A$1:$I$89,3,0)*VLOOKUP('Données projet'!$B$11,Paramètres!$A$1:$I$89,5,0)</f>
        <v>247.04539166666666</v>
      </c>
      <c r="BF112" s="13">
        <f t="shared" si="91"/>
        <v>59.952818839099436</v>
      </c>
      <c r="BG112" s="20">
        <f t="shared" si="61"/>
        <v>534.6885499642093</v>
      </c>
      <c r="BH112" s="59">
        <f t="shared" si="62"/>
        <v>828.02188329754267</v>
      </c>
      <c r="BI112" s="59">
        <f ca="1">AVERAGE(OFFSET($BH$3,0,0,'Données projet'!$E$11+1,1))-AVERAGE(OFFSET($H$3,0,0,'Données projet'!$E$11+1,1))</f>
        <v>293.82673322742102</v>
      </c>
      <c r="BJ112" s="59">
        <f t="shared" si="92"/>
        <v>138.78566015867693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63.145469408184297</v>
      </c>
      <c r="BQ112" s="21">
        <f>EXP(-LN(2)/25)*BQ111+(1-EXP(-LN(2)/25))/(LN(2)/25)*Calculateur!BL112*Calculateur!BN112*VLOOKUP('Données projet'!$B$11,Paramètres!$A$1:$I$89,3,0)*0.475*44/12</f>
        <v>20.09780426178623</v>
      </c>
      <c r="BR112" s="21">
        <f>EXP(-LN(2)/2)*BR111+(1-EXP(-LN(2)/2))/(LN(2)/2)*BL112*BO112*VLOOKUP('Données projet'!$B$11,Paramètres!$A$1:$I$89,3,0)*0.475*44/12</f>
        <v>5.945971961925764</v>
      </c>
      <c r="BS112" s="22">
        <f t="shared" si="63"/>
        <v>89.189245631896299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5.3205440053716299E-14</v>
      </c>
      <c r="P113" s="13">
        <f t="shared" si="87"/>
        <v>8.602146238565607E-13</v>
      </c>
      <c r="Q113" s="20">
        <f t="shared" si="107"/>
        <v>1.590873277977066E-12</v>
      </c>
      <c r="R113" s="59">
        <f t="shared" si="55"/>
        <v>293.33333333333491</v>
      </c>
      <c r="S113" s="59">
        <f ca="1">AVERAGE(OFFSET($R$3,0,0,'Données projet'!$E$9+1,1))-AVERAGE(OFFSET($H$3,0,0,'Données projet'!$E$9+1,1))</f>
        <v>263.84804661819163</v>
      </c>
      <c r="T113" s="59">
        <f t="shared" si="88"/>
        <v>271.81541836379307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166.88110891781753</v>
      </c>
      <c r="AA113" s="21">
        <f>EXP(-LN(2)/25)*AA112+(1-EXP(-LN(2)/25))/(LN(2)/25)*Calculateur!V113*Calculateur!X113*VLOOKUP('Données projet'!$B$9,Paramètres!$A$1:$I$89,3,0)*0.475*44/12</f>
        <v>47.40676511398852</v>
      </c>
      <c r="AB113" s="21">
        <f>EXP(-LN(2)/2)*AB112+(1-EXP(-LN(2)/2))/(LN(2)/2)*V113*Y113*VLOOKUP('Données projet'!$B$9,Paramètres!$A$1:$I$89,3,0)*0.475*44/12</f>
        <v>6.9346096442130811</v>
      </c>
      <c r="AC113" s="22">
        <f t="shared" si="57"/>
        <v>221.22248367601912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270.04187128233121</v>
      </c>
      <c r="AO113" s="59">
        <f t="shared" si="90"/>
        <v>183.82555940776064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84.610503393558091</v>
      </c>
      <c r="AV113" s="21">
        <f>EXP(-LN(2)/25)*AV112+(1-EXP(-LN(2)/25))/(LN(2)/25)*Calculateur!AQ113*Calculateur!AS113*VLOOKUP('Données projet'!$B$10,Paramètres!$A$1:$I$89,3,0)*0.475*44/12</f>
        <v>22.523046434775935</v>
      </c>
      <c r="AW113" s="21">
        <f>EXP(-LN(2)/2)*AW112+(1-EXP(-LN(2)/2))/(LN(2)/2)*AQ113*AT113*VLOOKUP('Données projet'!$B$10,Paramètres!$A$1:$I$89,3,0)*0.475*44/12</f>
        <v>2.1581006714236056E-3</v>
      </c>
      <c r="AX113" s="21">
        <f t="shared" si="60"/>
        <v>107.13570792900545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4.3516666666666692</v>
      </c>
      <c r="BD113" s="12">
        <f>IF('Données projet'!$A$88&gt;35,BD112+BC113-BL112,IF(A113&lt;'Données projet'!$A$88,$BA$205^A113,IF(A113='Données projet'!$A$88,'Données projet'!$B$88,BD112+BC113-BL112)))</f>
        <v>446.29333333333329</v>
      </c>
      <c r="BE113" s="13">
        <f>BD113*VLOOKUP('Données projet'!$B$11,Paramètres!$A$1:$I$89,3,0)*VLOOKUP('Données projet'!$B$11,Paramètres!$A$1:$I$89,5,0)</f>
        <v>249.47797333333332</v>
      </c>
      <c r="BF113" s="13">
        <f t="shared" si="91"/>
        <v>60.474143103068428</v>
      </c>
      <c r="BG113" s="20">
        <f t="shared" si="61"/>
        <v>539.83326946006639</v>
      </c>
      <c r="BH113" s="59">
        <f t="shared" si="62"/>
        <v>833.16660279339976</v>
      </c>
      <c r="BI113" s="59">
        <f ca="1">AVERAGE(OFFSET($BH$3,0,0,'Données projet'!$E$11+1,1))-AVERAGE(OFFSET($H$3,0,0,'Données projet'!$E$11+1,1))</f>
        <v>293.82673322742102</v>
      </c>
      <c r="BJ113" s="59">
        <f t="shared" si="92"/>
        <v>138.78566015867693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61.907225268023112</v>
      </c>
      <c r="BQ113" s="21">
        <f>EXP(-LN(2)/25)*BQ112+(1-EXP(-LN(2)/25))/(LN(2)/25)*Calculateur!BL113*Calculateur!BN113*VLOOKUP('Données projet'!$B$11,Paramètres!$A$1:$I$89,3,0)*0.475*44/12</f>
        <v>19.548228747350095</v>
      </c>
      <c r="BR113" s="21">
        <f>EXP(-LN(2)/2)*BR112+(1-EXP(-LN(2)/2))/(LN(2)/2)*BL113*BO113*VLOOKUP('Données projet'!$B$11,Paramètres!$A$1:$I$89,3,0)*0.475*44/12</f>
        <v>4.2044370950227883</v>
      </c>
      <c r="BS113" s="22">
        <f t="shared" si="63"/>
        <v>85.659891110395989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5.3205440053716299E-14</v>
      </c>
      <c r="P114" s="13">
        <f t="shared" si="87"/>
        <v>8.602146238565607E-13</v>
      </c>
      <c r="Q114" s="20">
        <f t="shared" si="107"/>
        <v>1.590873277977066E-12</v>
      </c>
      <c r="R114" s="59">
        <f t="shared" si="55"/>
        <v>293.33333333333491</v>
      </c>
      <c r="S114" s="59">
        <f ca="1">AVERAGE(OFFSET($R$3,0,0,'Données projet'!$E$9+1,1))-AVERAGE(OFFSET($H$3,0,0,'Données projet'!$E$9+1,1))</f>
        <v>263.84804661819163</v>
      </c>
      <c r="T114" s="59">
        <f t="shared" si="88"/>
        <v>271.81541836379307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163.60867215936489</v>
      </c>
      <c r="AA114" s="21">
        <f>EXP(-LN(2)/25)*AA113+(1-EXP(-LN(2)/25))/(LN(2)/25)*Calculateur!V114*Calculateur!X114*VLOOKUP('Données projet'!$B$9,Paramètres!$A$1:$I$89,3,0)*0.475*44/12</f>
        <v>46.110424628933075</v>
      </c>
      <c r="AB114" s="21">
        <f>EXP(-LN(2)/2)*AB113+(1-EXP(-LN(2)/2))/(LN(2)/2)*V114*Y114*VLOOKUP('Données projet'!$B$9,Paramètres!$A$1:$I$89,3,0)*0.475*44/12</f>
        <v>4.9035095043047017</v>
      </c>
      <c r="AC114" s="22">
        <f t="shared" si="57"/>
        <v>214.62260629260268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270.04187128233121</v>
      </c>
      <c r="AO114" s="59">
        <f t="shared" si="90"/>
        <v>183.82555940776064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82.951343029321691</v>
      </c>
      <c r="AV114" s="21">
        <f>EXP(-LN(2)/25)*AV113+(1-EXP(-LN(2)/25))/(LN(2)/25)*Calculateur!AQ114*Calculateur!AS114*VLOOKUP('Données projet'!$B$10,Paramètres!$A$1:$I$89,3,0)*0.475*44/12</f>
        <v>21.907152545581454</v>
      </c>
      <c r="AW114" s="21">
        <f>EXP(-LN(2)/2)*AW113+(1-EXP(-LN(2)/2))/(LN(2)/2)*AQ114*AT114*VLOOKUP('Données projet'!$B$10,Paramètres!$A$1:$I$89,3,0)*0.475*44/12</f>
        <v>1.5260076192468728E-3</v>
      </c>
      <c r="AX114" s="21">
        <f t="shared" si="60"/>
        <v>104.86002158252239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4.3516666666666692</v>
      </c>
      <c r="BD114" s="12">
        <f>IF('Données projet'!$A$88&gt;35,BD113+BC114-BL113,IF(A114&lt;'Données projet'!$A$88,$BA$205^A114,IF(A114='Données projet'!$A$88,'Données projet'!$B$88,BD113+BC114-BL113)))</f>
        <v>450.64499999999998</v>
      </c>
      <c r="BE114" s="13">
        <f>BD114*VLOOKUP('Données projet'!$B$11,Paramètres!$A$1:$I$89,3,0)*VLOOKUP('Données projet'!$B$11,Paramètres!$A$1:$I$89,5,0)</f>
        <v>251.91055499999999</v>
      </c>
      <c r="BF114" s="13">
        <f t="shared" si="91"/>
        <v>60.994876000174997</v>
      </c>
      <c r="BG114" s="20">
        <f t="shared" si="61"/>
        <v>544.9769589919714</v>
      </c>
      <c r="BH114" s="59">
        <f t="shared" si="62"/>
        <v>838.31029232530477</v>
      </c>
      <c r="BI114" s="59">
        <f ca="1">AVERAGE(OFFSET($BH$3,0,0,'Données projet'!$E$11+1,1))-AVERAGE(OFFSET($H$3,0,0,'Données projet'!$E$11+1,1))</f>
        <v>293.82673322742102</v>
      </c>
      <c r="BJ114" s="59">
        <f t="shared" si="92"/>
        <v>138.78566015867693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60.693262340196135</v>
      </c>
      <c r="BQ114" s="21">
        <f>EXP(-LN(2)/25)*BQ113+(1-EXP(-LN(2)/25))/(LN(2)/25)*Calculateur!BL114*Calculateur!BN114*VLOOKUP('Données projet'!$B$11,Paramètres!$A$1:$I$89,3,0)*0.475*44/12</f>
        <v>19.013681404257134</v>
      </c>
      <c r="BR114" s="21">
        <f>EXP(-LN(2)/2)*BR113+(1-EXP(-LN(2)/2))/(LN(2)/2)*BL114*BO114*VLOOKUP('Données projet'!$B$11,Paramètres!$A$1:$I$89,3,0)*0.475*44/12</f>
        <v>2.9729859809628825</v>
      </c>
      <c r="BS114" s="22">
        <f t="shared" si="63"/>
        <v>82.679929725416159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5.3205440053716299E-14</v>
      </c>
      <c r="P115" s="13">
        <f t="shared" si="87"/>
        <v>8.602146238565607E-13</v>
      </c>
      <c r="Q115" s="20">
        <f t="shared" si="107"/>
        <v>1.590873277977066E-12</v>
      </c>
      <c r="R115" s="59">
        <f t="shared" si="55"/>
        <v>293.33333333333491</v>
      </c>
      <c r="S115" s="59">
        <f ca="1">AVERAGE(OFFSET($R$3,0,0,'Données projet'!$E$9+1,1))-AVERAGE(OFFSET($H$3,0,0,'Données projet'!$E$9+1,1))</f>
        <v>263.84804661819163</v>
      </c>
      <c r="T115" s="59">
        <f t="shared" si="88"/>
        <v>271.81541836379307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160.40040588975617</v>
      </c>
      <c r="AA115" s="21">
        <f>EXP(-LN(2)/25)*AA114+(1-EXP(-LN(2)/25))/(LN(2)/25)*Calculateur!V115*Calculateur!X115*VLOOKUP('Données projet'!$B$9,Paramètres!$A$1:$I$89,3,0)*0.475*44/12</f>
        <v>44.849532642613056</v>
      </c>
      <c r="AB115" s="21">
        <f>EXP(-LN(2)/2)*AB114+(1-EXP(-LN(2)/2))/(LN(2)/2)*V115*Y115*VLOOKUP('Données projet'!$B$9,Paramètres!$A$1:$I$89,3,0)*0.475*44/12</f>
        <v>3.467304822106541</v>
      </c>
      <c r="AC115" s="22">
        <f t="shared" si="57"/>
        <v>208.71724335447578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270.04187128233121</v>
      </c>
      <c r="AO115" s="59">
        <f t="shared" si="90"/>
        <v>183.82555940776064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81.324717787840072</v>
      </c>
      <c r="AV115" s="21">
        <f>EXP(-LN(2)/25)*AV114+(1-EXP(-LN(2)/25))/(LN(2)/25)*Calculateur!AQ115*Calculateur!AS115*VLOOKUP('Données projet'!$B$10,Paramètres!$A$1:$I$89,3,0)*0.475*44/12</f>
        <v>21.308100307175447</v>
      </c>
      <c r="AW115" s="21">
        <f>EXP(-LN(2)/2)*AW114+(1-EXP(-LN(2)/2))/(LN(2)/2)*AQ115*AT115*VLOOKUP('Données projet'!$B$10,Paramètres!$A$1:$I$89,3,0)*0.475*44/12</f>
        <v>1.0790503357118028E-3</v>
      </c>
      <c r="AX115" s="21">
        <f t="shared" si="60"/>
        <v>102.63389714535124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4.3516666666666692</v>
      </c>
      <c r="BD115" s="12">
        <f>IF('Données projet'!$A$88&gt;35,BD114+BC115-BL114,IF(A115&lt;'Données projet'!$A$88,$BA$205^A115,IF(A115='Données projet'!$A$88,'Données projet'!$B$88,BD114+BC115-BL114)))</f>
        <v>454.99666666666667</v>
      </c>
      <c r="BE115" s="13">
        <f>BD115*VLOOKUP('Données projet'!$B$11,Paramètres!$A$1:$I$89,3,0)*VLOOKUP('Données projet'!$B$11,Paramètres!$A$1:$I$89,5,0)</f>
        <v>254.34313666666665</v>
      </c>
      <c r="BF115" s="13">
        <f t="shared" si="91"/>
        <v>61.51502390229593</v>
      </c>
      <c r="BG115" s="20">
        <f t="shared" si="61"/>
        <v>550.11962965760983</v>
      </c>
      <c r="BH115" s="59">
        <f t="shared" si="62"/>
        <v>843.45296299094321</v>
      </c>
      <c r="BI115" s="59">
        <f ca="1">AVERAGE(OFFSET($BH$3,0,0,'Données projet'!$E$11+1,1))-AVERAGE(OFFSET($H$3,0,0,'Données projet'!$E$11+1,1))</f>
        <v>293.82673322742102</v>
      </c>
      <c r="BJ115" s="59">
        <f t="shared" si="92"/>
        <v>138.78566015867693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59.50310448493957</v>
      </c>
      <c r="BQ115" s="21">
        <f>EXP(-LN(2)/25)*BQ114+(1-EXP(-LN(2)/25))/(LN(2)/25)*Calculateur!BL115*Calculateur!BN115*VLOOKUP('Données projet'!$B$11,Paramètres!$A$1:$I$89,3,0)*0.475*44/12</f>
        <v>18.493751286371676</v>
      </c>
      <c r="BR115" s="21">
        <f>EXP(-LN(2)/2)*BR114+(1-EXP(-LN(2)/2))/(LN(2)/2)*BL115*BO115*VLOOKUP('Données projet'!$B$11,Paramètres!$A$1:$I$89,3,0)*0.475*44/12</f>
        <v>2.1022185475113946</v>
      </c>
      <c r="BS115" s="22">
        <f t="shared" si="63"/>
        <v>80.099074318822645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5.3205440053716299E-14</v>
      </c>
      <c r="P116" s="13">
        <f t="shared" si="87"/>
        <v>8.602146238565607E-13</v>
      </c>
      <c r="Q116" s="20">
        <f t="shared" si="107"/>
        <v>1.590873277977066E-12</v>
      </c>
      <c r="R116" s="59">
        <f t="shared" si="55"/>
        <v>293.33333333333491</v>
      </c>
      <c r="S116" s="59">
        <f ca="1">AVERAGE(OFFSET($R$3,0,0,'Données projet'!$E$9+1,1))-AVERAGE(OFFSET($H$3,0,0,'Données projet'!$E$9+1,1))</f>
        <v>263.84804661819163</v>
      </c>
      <c r="T116" s="59">
        <f t="shared" si="88"/>
        <v>271.81541836379307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157.25505176484529</v>
      </c>
      <c r="AA116" s="21">
        <f>EXP(-LN(2)/25)*AA115+(1-EXP(-LN(2)/25))/(LN(2)/25)*Calculateur!V116*Calculateur!X116*VLOOKUP('Données projet'!$B$9,Paramètres!$A$1:$I$89,3,0)*0.475*44/12</f>
        <v>43.623119813966383</v>
      </c>
      <c r="AB116" s="21">
        <f>EXP(-LN(2)/2)*AB115+(1-EXP(-LN(2)/2))/(LN(2)/2)*V116*Y116*VLOOKUP('Données projet'!$B$9,Paramètres!$A$1:$I$89,3,0)*0.475*44/12</f>
        <v>2.4517547521523513</v>
      </c>
      <c r="AC116" s="22">
        <f t="shared" si="57"/>
        <v>203.32992633096401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270.04187128233121</v>
      </c>
      <c r="AO116" s="59">
        <f t="shared" si="90"/>
        <v>183.82555940776064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79.729989675200471</v>
      </c>
      <c r="AV116" s="21">
        <f>EXP(-LN(2)/25)*AV115+(1-EXP(-LN(2)/25))/(LN(2)/25)*Calculateur!AQ116*Calculateur!AS116*VLOOKUP('Données projet'!$B$10,Paramètres!$A$1:$I$89,3,0)*0.475*44/12</f>
        <v>20.725429183731439</v>
      </c>
      <c r="AW116" s="21">
        <f>EXP(-LN(2)/2)*AW115+(1-EXP(-LN(2)/2))/(LN(2)/2)*AQ116*AT116*VLOOKUP('Données projet'!$B$10,Paramètres!$A$1:$I$89,3,0)*0.475*44/12</f>
        <v>7.6300380962343638E-4</v>
      </c>
      <c r="AX116" s="21">
        <f t="shared" si="60"/>
        <v>100.45618186274153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4.3516666666666692</v>
      </c>
      <c r="BD116" s="12">
        <f>IF('Données projet'!$A$88&gt;35,BD115+BC116-BL115,IF(A116&lt;'Données projet'!$A$88,$BA$205^A116,IF(A116='Données projet'!$A$88,'Données projet'!$B$88,BD115+BC116-BL115)))</f>
        <v>459.34833333333336</v>
      </c>
      <c r="BE116" s="13">
        <f>BD116*VLOOKUP('Données projet'!$B$11,Paramètres!$A$1:$I$89,3,0)*VLOOKUP('Données projet'!$B$11,Paramètres!$A$1:$I$89,5,0)</f>
        <v>256.77571833333337</v>
      </c>
      <c r="BF116" s="13">
        <f t="shared" si="91"/>
        <v>62.034593052397071</v>
      </c>
      <c r="BG116" s="20">
        <f t="shared" si="61"/>
        <v>555.26129233014706</v>
      </c>
      <c r="BH116" s="59">
        <f t="shared" si="62"/>
        <v>848.59462566348043</v>
      </c>
      <c r="BI116" s="59">
        <f ca="1">AVERAGE(OFFSET($BH$3,0,0,'Données projet'!$E$11+1,1))-AVERAGE(OFFSET($H$3,0,0,'Données projet'!$E$11+1,1))</f>
        <v>293.82673322742102</v>
      </c>
      <c r="BJ116" s="59">
        <f t="shared" si="92"/>
        <v>138.78566015867693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58.336284899299976</v>
      </c>
      <c r="BQ116" s="21">
        <f>EXP(-LN(2)/25)*BQ115+(1-EXP(-LN(2)/25))/(LN(2)/25)*Calculateur!BL116*Calculateur!BN116*VLOOKUP('Données projet'!$B$11,Paramètres!$A$1:$I$89,3,0)*0.475*44/12</f>
        <v>17.988038684901731</v>
      </c>
      <c r="BR116" s="21">
        <f>EXP(-LN(2)/2)*BR115+(1-EXP(-LN(2)/2))/(LN(2)/2)*BL116*BO116*VLOOKUP('Données projet'!$B$11,Paramètres!$A$1:$I$89,3,0)*0.475*44/12</f>
        <v>1.4864929904814415</v>
      </c>
      <c r="BS116" s="22">
        <f t="shared" si="63"/>
        <v>77.810816574683145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5.3205440053716299E-14</v>
      </c>
      <c r="P117" s="13">
        <f t="shared" si="87"/>
        <v>8.602146238565607E-13</v>
      </c>
      <c r="Q117" s="20">
        <f t="shared" si="107"/>
        <v>1.590873277977066E-12</v>
      </c>
      <c r="R117" s="59">
        <f t="shared" si="55"/>
        <v>293.33333333333491</v>
      </c>
      <c r="S117" s="59">
        <f ca="1">AVERAGE(OFFSET($R$3,0,0,'Données projet'!$E$9+1,1))-AVERAGE(OFFSET($H$3,0,0,'Données projet'!$E$9+1,1))</f>
        <v>263.84804661819163</v>
      </c>
      <c r="T117" s="59">
        <f t="shared" si="88"/>
        <v>271.81541836379307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154.17137611584732</v>
      </c>
      <c r="AA117" s="21">
        <f>EXP(-LN(2)/25)*AA116+(1-EXP(-LN(2)/25))/(LN(2)/25)*Calculateur!V117*Calculateur!X117*VLOOKUP('Données projet'!$B$9,Paramètres!$A$1:$I$89,3,0)*0.475*44/12</f>
        <v>42.430243308613306</v>
      </c>
      <c r="AB117" s="21">
        <f>EXP(-LN(2)/2)*AB116+(1-EXP(-LN(2)/2))/(LN(2)/2)*V117*Y117*VLOOKUP('Données projet'!$B$9,Paramètres!$A$1:$I$89,3,0)*0.475*44/12</f>
        <v>1.7336524110532707</v>
      </c>
      <c r="AC117" s="22">
        <f t="shared" si="57"/>
        <v>198.33527183551391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270.04187128233121</v>
      </c>
      <c r="AO117" s="59">
        <f t="shared" si="90"/>
        <v>183.82555940776064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78.166533208161624</v>
      </c>
      <c r="AV117" s="21">
        <f>EXP(-LN(2)/25)*AV116+(1-EXP(-LN(2)/25))/(LN(2)/25)*Calculateur!AQ117*Calculateur!AS117*VLOOKUP('Données projet'!$B$10,Paramètres!$A$1:$I$89,3,0)*0.475*44/12</f>
        <v>20.158691232799352</v>
      </c>
      <c r="AW117" s="21">
        <f>EXP(-LN(2)/2)*AW116+(1-EXP(-LN(2)/2))/(LN(2)/2)*AQ117*AT117*VLOOKUP('Données projet'!$B$10,Paramètres!$A$1:$I$89,3,0)*0.475*44/12</f>
        <v>5.3952516785590139E-4</v>
      </c>
      <c r="AX117" s="21">
        <f t="shared" si="60"/>
        <v>98.325763966128832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4.3516666666666692</v>
      </c>
      <c r="BD117" s="12">
        <f>IF('Données projet'!$A$88&gt;35,BD116+BC117-BL116,IF(A117&lt;'Données projet'!$A$88,$BA$205^A117,IF(A117='Données projet'!$A$88,'Données projet'!$B$88,BD116+BC117-BL116)))</f>
        <v>463.70000000000005</v>
      </c>
      <c r="BE117" s="13">
        <f>BD117*VLOOKUP('Données projet'!$B$11,Paramètres!$A$1:$I$89,3,0)*VLOOKUP('Données projet'!$B$11,Paramètres!$A$1:$I$89,5,0)</f>
        <v>259.20830000000001</v>
      </c>
      <c r="BF117" s="13">
        <f t="shared" si="91"/>
        <v>62.553589568337109</v>
      </c>
      <c r="BG117" s="20">
        <f t="shared" si="61"/>
        <v>560.40195766485374</v>
      </c>
      <c r="BH117" s="59">
        <f t="shared" si="62"/>
        <v>853.73529099818711</v>
      </c>
      <c r="BI117" s="59">
        <f ca="1">AVERAGE(OFFSET($BH$3,0,0,'Données projet'!$E$11+1,1))-AVERAGE(OFFSET($H$3,0,0,'Données projet'!$E$11+1,1))</f>
        <v>293.82673322742102</v>
      </c>
      <c r="BJ117" s="59">
        <f t="shared" si="92"/>
        <v>138.78566015867693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57.1923459340451</v>
      </c>
      <c r="BQ117" s="21">
        <f>EXP(-LN(2)/25)*BQ116+(1-EXP(-LN(2)/25))/(LN(2)/25)*Calculateur!BL117*Calculateur!BN117*VLOOKUP('Données projet'!$B$11,Paramètres!$A$1:$I$89,3,0)*0.475*44/12</f>
        <v>17.496154821113251</v>
      </c>
      <c r="BR117" s="21">
        <f>EXP(-LN(2)/2)*BR116+(1-EXP(-LN(2)/2))/(LN(2)/2)*BL117*BO117*VLOOKUP('Données projet'!$B$11,Paramètres!$A$1:$I$89,3,0)*0.475*44/12</f>
        <v>1.0511092737556973</v>
      </c>
      <c r="BS117" s="22">
        <f t="shared" si="63"/>
        <v>75.739610028914043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5.3205440053716299E-14</v>
      </c>
      <c r="P118" s="13">
        <f t="shared" si="87"/>
        <v>8.602146238565607E-13</v>
      </c>
      <c r="Q118" s="20">
        <f t="shared" si="107"/>
        <v>1.590873277977066E-12</v>
      </c>
      <c r="R118" s="59">
        <f t="shared" si="55"/>
        <v>293.33333333333491</v>
      </c>
      <c r="S118" s="59">
        <f ca="1">AVERAGE(OFFSET($R$3,0,0,'Données projet'!$E$9+1,1))-AVERAGE(OFFSET($H$3,0,0,'Données projet'!$E$9+1,1))</f>
        <v>263.84804661819163</v>
      </c>
      <c r="T118" s="59">
        <f t="shared" si="88"/>
        <v>271.81541836379307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151.14816946546978</v>
      </c>
      <c r="AA118" s="21">
        <f>EXP(-LN(2)/25)*AA117+(1-EXP(-LN(2)/25))/(LN(2)/25)*Calculateur!V118*Calculateur!X118*VLOOKUP('Données projet'!$B$9,Paramètres!$A$1:$I$89,3,0)*0.475*44/12</f>
        <v>41.269986074029752</v>
      </c>
      <c r="AB118" s="21">
        <f>EXP(-LN(2)/2)*AB117+(1-EXP(-LN(2)/2))/(LN(2)/2)*V118*Y118*VLOOKUP('Données projet'!$B$9,Paramètres!$A$1:$I$89,3,0)*0.475*44/12</f>
        <v>1.2258773760761756</v>
      </c>
      <c r="AC118" s="22">
        <f t="shared" si="57"/>
        <v>193.64403291557571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270.04187128233121</v>
      </c>
      <c r="AO118" s="59">
        <f t="shared" si="90"/>
        <v>183.82555940776064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76.63373516882713</v>
      </c>
      <c r="AV118" s="21">
        <f>EXP(-LN(2)/25)*AV117+(1-EXP(-LN(2)/25))/(LN(2)/25)*Calculateur!AQ118*Calculateur!AS118*VLOOKUP('Données projet'!$B$10,Paramètres!$A$1:$I$89,3,0)*0.475*44/12</f>
        <v>19.607450760938956</v>
      </c>
      <c r="AW118" s="21">
        <f>EXP(-LN(2)/2)*AW117+(1-EXP(-LN(2)/2))/(LN(2)/2)*AQ118*AT118*VLOOKUP('Données projet'!$B$10,Paramètres!$A$1:$I$89,3,0)*0.475*44/12</f>
        <v>3.8150190481171819E-4</v>
      </c>
      <c r="AX118" s="21">
        <f t="shared" si="60"/>
        <v>96.241567431670902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4.3516666666666692</v>
      </c>
      <c r="BD118" s="12">
        <f>IF('Données projet'!$A$88&gt;35,BD117+BC118-BL117,IF(A118&lt;'Données projet'!$A$88,$BA$205^A118,IF(A118='Données projet'!$A$88,'Données projet'!$B$88,BD117+BC118-BL117)))</f>
        <v>468.05166666666673</v>
      </c>
      <c r="BE118" s="13">
        <f>BD118*VLOOKUP('Données projet'!$B$11,Paramètres!$A$1:$I$89,3,0)*VLOOKUP('Données projet'!$B$11,Paramètres!$A$1:$I$89,5,0)</f>
        <v>261.6408816666667</v>
      </c>
      <c r="BF118" s="13">
        <f t="shared" si="91"/>
        <v>63.072019446524735</v>
      </c>
      <c r="BG118" s="20">
        <f t="shared" si="61"/>
        <v>565.54163610547505</v>
      </c>
      <c r="BH118" s="59">
        <f t="shared" si="62"/>
        <v>858.87496943880842</v>
      </c>
      <c r="BI118" s="59">
        <f ca="1">AVERAGE(OFFSET($BH$3,0,0,'Données projet'!$E$11+1,1))-AVERAGE(OFFSET($H$3,0,0,'Données projet'!$E$11+1,1))</f>
        <v>293.82673322742102</v>
      </c>
      <c r="BJ118" s="59">
        <f t="shared" si="92"/>
        <v>138.78566015867693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56.070838914164995</v>
      </c>
      <c r="BQ118" s="21">
        <f>EXP(-LN(2)/25)*BQ117+(1-EXP(-LN(2)/25))/(LN(2)/25)*Calculateur!BL118*Calculateur!BN118*VLOOKUP('Données projet'!$B$11,Paramètres!$A$1:$I$89,3,0)*0.475*44/12</f>
        <v>17.017721547447113</v>
      </c>
      <c r="BR118" s="21">
        <f>EXP(-LN(2)/2)*BR117+(1-EXP(-LN(2)/2))/(LN(2)/2)*BL118*BO118*VLOOKUP('Données projet'!$B$11,Paramètres!$A$1:$I$89,3,0)*0.475*44/12</f>
        <v>0.74324649524072073</v>
      </c>
      <c r="BS118" s="22">
        <f t="shared" si="63"/>
        <v>73.83180695685283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5.3205440053716299E-14</v>
      </c>
      <c r="P119" s="13">
        <f t="shared" si="87"/>
        <v>8.602146238565607E-13</v>
      </c>
      <c r="Q119" s="20">
        <f t="shared" si="107"/>
        <v>1.590873277977066E-12</v>
      </c>
      <c r="R119" s="59">
        <f t="shared" si="55"/>
        <v>293.33333333333491</v>
      </c>
      <c r="S119" s="59">
        <f ca="1">AVERAGE(OFFSET($R$3,0,0,'Données projet'!$E$9+1,1))-AVERAGE(OFFSET($H$3,0,0,'Données projet'!$E$9+1,1))</f>
        <v>263.84804661819163</v>
      </c>
      <c r="T119" s="59">
        <f t="shared" si="88"/>
        <v>271.81541836379307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148.18424605353215</v>
      </c>
      <c r="AA119" s="21">
        <f>EXP(-LN(2)/25)*AA118+(1-EXP(-LN(2)/25))/(LN(2)/25)*Calculateur!V119*Calculateur!X119*VLOOKUP('Données projet'!$B$9,Paramètres!$A$1:$I$89,3,0)*0.475*44/12</f>
        <v>40.141456134541166</v>
      </c>
      <c r="AB119" s="21">
        <f>EXP(-LN(2)/2)*AB118+(1-EXP(-LN(2)/2))/(LN(2)/2)*V119*Y119*VLOOKUP('Données projet'!$B$9,Paramètres!$A$1:$I$89,3,0)*0.475*44/12</f>
        <v>0.86682620552663536</v>
      </c>
      <c r="AC119" s="22">
        <f t="shared" si="57"/>
        <v>189.19252839359996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270.04187128233121</v>
      </c>
      <c r="AO119" s="59">
        <f t="shared" si="90"/>
        <v>183.82555940776064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75.130994364129492</v>
      </c>
      <c r="AV119" s="21">
        <f>EXP(-LN(2)/25)*AV118+(1-EXP(-LN(2)/25))/(LN(2)/25)*Calculateur!AQ119*Calculateur!AS119*VLOOKUP('Données projet'!$B$10,Paramètres!$A$1:$I$89,3,0)*0.475*44/12</f>
        <v>19.071283988770059</v>
      </c>
      <c r="AW119" s="21">
        <f>EXP(-LN(2)/2)*AW118+(1-EXP(-LN(2)/2))/(LN(2)/2)*AQ119*AT119*VLOOKUP('Données projet'!$B$10,Paramètres!$A$1:$I$89,3,0)*0.475*44/12</f>
        <v>2.6976258392795069E-4</v>
      </c>
      <c r="AX119" s="21">
        <f t="shared" si="60"/>
        <v>94.202548115483481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4.3516666666666692</v>
      </c>
      <c r="BD119" s="12">
        <f>IF('Données projet'!$A$88&gt;35,BD118+BC119-BL118,IF(A119&lt;'Données projet'!$A$88,$BA$205^A119,IF(A119='Données projet'!$A$88,'Données projet'!$B$88,BD118+BC119-BL118)))</f>
        <v>472.40333333333342</v>
      </c>
      <c r="BE119" s="13">
        <f>BD119*VLOOKUP('Données projet'!$B$11,Paramètres!$A$1:$I$89,3,0)*VLOOKUP('Données projet'!$B$11,Paramètres!$A$1:$I$89,5,0)</f>
        <v>264.07346333333339</v>
      </c>
      <c r="BF119" s="13">
        <f t="shared" si="91"/>
        <v>63.589888565435864</v>
      </c>
      <c r="BG119" s="20">
        <f t="shared" si="61"/>
        <v>570.68033789035644</v>
      </c>
      <c r="BH119" s="59">
        <f t="shared" si="62"/>
        <v>864.0136712236897</v>
      </c>
      <c r="BI119" s="59">
        <f ca="1">AVERAGE(OFFSET($BH$3,0,0,'Données projet'!$E$11+1,1))-AVERAGE(OFFSET($H$3,0,0,'Données projet'!$E$11+1,1))</f>
        <v>293.82673322742102</v>
      </c>
      <c r="BJ119" s="59">
        <f t="shared" si="92"/>
        <v>138.78566015867693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54.971323962893003</v>
      </c>
      <c r="BQ119" s="21">
        <f>EXP(-LN(2)/25)*BQ118+(1-EXP(-LN(2)/25))/(LN(2)/25)*Calculateur!BL119*Calculateur!BN119*VLOOKUP('Données projet'!$B$11,Paramètres!$A$1:$I$89,3,0)*0.475*44/12</f>
        <v>16.55237105680909</v>
      </c>
      <c r="BR119" s="21">
        <f>EXP(-LN(2)/2)*BR118+(1-EXP(-LN(2)/2))/(LN(2)/2)*BL119*BO119*VLOOKUP('Données projet'!$B$11,Paramètres!$A$1:$I$89,3,0)*0.475*44/12</f>
        <v>0.52555463687784865</v>
      </c>
      <c r="BS119" s="22">
        <f t="shared" si="63"/>
        <v>72.049249656579931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5.3205440053716299E-14</v>
      </c>
      <c r="P120" s="13">
        <f t="shared" si="87"/>
        <v>8.602146238565607E-13</v>
      </c>
      <c r="Q120" s="20">
        <f t="shared" si="107"/>
        <v>1.590873277977066E-12</v>
      </c>
      <c r="R120" s="59">
        <f t="shared" si="55"/>
        <v>293.33333333333491</v>
      </c>
      <c r="S120" s="59">
        <f ca="1">AVERAGE(OFFSET($R$3,0,0,'Données projet'!$E$9+1,1))-AVERAGE(OFFSET($H$3,0,0,'Données projet'!$E$9+1,1))</f>
        <v>263.84804661819163</v>
      </c>
      <c r="T120" s="59">
        <f t="shared" si="88"/>
        <v>271.81541836379307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145.27844337188785</v>
      </c>
      <c r="AA120" s="21">
        <f>EXP(-LN(2)/25)*AA119+(1-EXP(-LN(2)/25))/(LN(2)/25)*Calculateur!V120*Calculateur!X120*VLOOKUP('Données projet'!$B$9,Paramètres!$A$1:$I$89,3,0)*0.475*44/12</f>
        <v>39.043785905594703</v>
      </c>
      <c r="AB120" s="21">
        <f>EXP(-LN(2)/2)*AB119+(1-EXP(-LN(2)/2))/(LN(2)/2)*V120*Y120*VLOOKUP('Données projet'!$B$9,Paramètres!$A$1:$I$89,3,0)*0.475*44/12</f>
        <v>0.61293868803808782</v>
      </c>
      <c r="AC120" s="22">
        <f t="shared" si="57"/>
        <v>184.93516796552066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270.04187128233121</v>
      </c>
      <c r="AO120" s="59">
        <f t="shared" si="90"/>
        <v>183.82555940776064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73.657721390030588</v>
      </c>
      <c r="AV120" s="21">
        <f>EXP(-LN(2)/25)*AV119+(1-EXP(-LN(2)/25))/(LN(2)/25)*Calculateur!AQ120*Calculateur!AS120*VLOOKUP('Données projet'!$B$10,Paramètres!$A$1:$I$89,3,0)*0.475*44/12</f>
        <v>18.549778725181906</v>
      </c>
      <c r="AW120" s="21">
        <f>EXP(-LN(2)/2)*AW119+(1-EXP(-LN(2)/2))/(LN(2)/2)*AQ120*AT120*VLOOKUP('Données projet'!$B$10,Paramètres!$A$1:$I$89,3,0)*0.475*44/12</f>
        <v>1.907509524058591E-4</v>
      </c>
      <c r="AX120" s="21">
        <f t="shared" si="60"/>
        <v>92.207690866164896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4.3516666666666692</v>
      </c>
      <c r="BD120" s="12">
        <f>IF('Données projet'!$A$88&gt;35,BD119+BC120-BL119,IF(A120&lt;'Données projet'!$A$88,$BA$205^A120,IF(A120='Données projet'!$A$88,'Données projet'!$B$88,BD119+BC120-BL119)))</f>
        <v>476.75500000000011</v>
      </c>
      <c r="BE120" s="13">
        <f>BD120*VLOOKUP('Données projet'!$B$11,Paramètres!$A$1:$I$89,3,0)*VLOOKUP('Données projet'!$B$11,Paramètres!$A$1:$I$89,5,0)</f>
        <v>266.50604500000009</v>
      </c>
      <c r="BF120" s="13">
        <f t="shared" si="91"/>
        <v>64.10720268899766</v>
      </c>
      <c r="BG120" s="20">
        <f t="shared" si="61"/>
        <v>575.81807305833763</v>
      </c>
      <c r="BH120" s="59">
        <f t="shared" si="62"/>
        <v>869.15140639167089</v>
      </c>
      <c r="BI120" s="59">
        <f ca="1">AVERAGE(OFFSET($BH$3,0,0,'Données projet'!$E$11+1,1))-AVERAGE(OFFSET($H$3,0,0,'Données projet'!$E$11+1,1))</f>
        <v>293.82673322742102</v>
      </c>
      <c r="BJ120" s="59">
        <f t="shared" si="92"/>
        <v>138.78566015867693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53.893369829177558</v>
      </c>
      <c r="BQ120" s="21">
        <f>EXP(-LN(2)/25)*BQ119+(1-EXP(-LN(2)/25))/(LN(2)/25)*Calculateur!BL120*Calculateur!BN120*VLOOKUP('Données projet'!$B$11,Paramètres!$A$1:$I$89,3,0)*0.475*44/12</f>
        <v>16.099745599809282</v>
      </c>
      <c r="BR120" s="21">
        <f>EXP(-LN(2)/2)*BR119+(1-EXP(-LN(2)/2))/(LN(2)/2)*BL120*BO120*VLOOKUP('Données projet'!$B$11,Paramètres!$A$1:$I$89,3,0)*0.475*44/12</f>
        <v>0.37162324762036036</v>
      </c>
      <c r="BS120" s="22">
        <f t="shared" si="63"/>
        <v>70.364738676607203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5.3205440053716299E-14</v>
      </c>
      <c r="P121" s="13">
        <f t="shared" si="87"/>
        <v>8.602146238565607E-13</v>
      </c>
      <c r="Q121" s="20">
        <f t="shared" si="107"/>
        <v>1.590873277977066E-12</v>
      </c>
      <c r="R121" s="59">
        <f t="shared" si="55"/>
        <v>293.33333333333491</v>
      </c>
      <c r="S121" s="59">
        <f ca="1">AVERAGE(OFFSET($R$3,0,0,'Données projet'!$E$9+1,1))-AVERAGE(OFFSET($H$3,0,0,'Données projet'!$E$9+1,1))</f>
        <v>263.84804661819163</v>
      </c>
      <c r="T121" s="59">
        <f t="shared" si="88"/>
        <v>271.81541836379307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142.42962170846596</v>
      </c>
      <c r="AA121" s="21">
        <f>EXP(-LN(2)/25)*AA120+(1-EXP(-LN(2)/25))/(LN(2)/25)*Calculateur!V121*Calculateur!X121*VLOOKUP('Données projet'!$B$9,Paramètres!$A$1:$I$89,3,0)*0.475*44/12</f>
        <v>37.976131526782751</v>
      </c>
      <c r="AB121" s="21">
        <f>EXP(-LN(2)/2)*AB120+(1-EXP(-LN(2)/2))/(LN(2)/2)*V121*Y121*VLOOKUP('Données projet'!$B$9,Paramètres!$A$1:$I$89,3,0)*0.475*44/12</f>
        <v>0.43341310276331768</v>
      </c>
      <c r="AC121" s="22">
        <f t="shared" si="57"/>
        <v>180.83916633801203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270.04187128233121</v>
      </c>
      <c r="AO121" s="59">
        <f t="shared" si="90"/>
        <v>183.82555940776064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72.213338400345989</v>
      </c>
      <c r="AV121" s="21">
        <f>EXP(-LN(2)/25)*AV120+(1-EXP(-LN(2)/25))/(LN(2)/25)*Calculateur!AQ121*Calculateur!AS121*VLOOKUP('Données projet'!$B$10,Paramètres!$A$1:$I$89,3,0)*0.475*44/12</f>
        <v>18.042534050451341</v>
      </c>
      <c r="AW121" s="21">
        <f>EXP(-LN(2)/2)*AW120+(1-EXP(-LN(2)/2))/(LN(2)/2)*AQ121*AT121*VLOOKUP('Données projet'!$B$10,Paramètres!$A$1:$I$89,3,0)*0.475*44/12</f>
        <v>1.3488129196397535E-4</v>
      </c>
      <c r="AX121" s="21">
        <f t="shared" si="60"/>
        <v>90.256007332089297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4.3516666666666692</v>
      </c>
      <c r="BD121" s="12">
        <f>IF('Données projet'!$A$88&gt;35,BD120+BC121-BL120,IF(A121&lt;'Données projet'!$A$88,$BA$205^A121,IF(A121='Données projet'!$A$88,'Données projet'!$B$88,BD120+BC121-BL120)))</f>
        <v>481.1066666666668</v>
      </c>
      <c r="BE121" s="13">
        <f>BD121*VLOOKUP('Données projet'!$B$11,Paramètres!$A$1:$I$89,3,0)*VLOOKUP('Données projet'!$B$11,Paramètres!$A$1:$I$89,5,0)</f>
        <v>268.93862666666678</v>
      </c>
      <c r="BF121" s="13">
        <f t="shared" si="91"/>
        <v>64.623967469845283</v>
      </c>
      <c r="BG121" s="20">
        <f t="shared" si="61"/>
        <v>580.95485145442512</v>
      </c>
      <c r="BH121" s="59">
        <f t="shared" si="62"/>
        <v>874.28818478775838</v>
      </c>
      <c r="BI121" s="59">
        <f ca="1">AVERAGE(OFFSET($BH$3,0,0,'Données projet'!$E$11+1,1))-AVERAGE(OFFSET($H$3,0,0,'Données projet'!$E$11+1,1))</f>
        <v>293.82673322742102</v>
      </c>
      <c r="BJ121" s="59">
        <f t="shared" si="92"/>
        <v>138.78566015867693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52.836553718537168</v>
      </c>
      <c r="BQ121" s="21">
        <f>EXP(-LN(2)/25)*BQ120+(1-EXP(-LN(2)/25))/(LN(2)/25)*Calculateur!BL121*Calculateur!BN121*VLOOKUP('Données projet'!$B$11,Paramètres!$A$1:$I$89,3,0)*0.475*44/12</f>
        <v>15.659497209733672</v>
      </c>
      <c r="BR121" s="21">
        <f>EXP(-LN(2)/2)*BR120+(1-EXP(-LN(2)/2))/(LN(2)/2)*BL121*BO121*VLOOKUP('Données projet'!$B$11,Paramètres!$A$1:$I$89,3,0)*0.475*44/12</f>
        <v>0.26277731843892432</v>
      </c>
      <c r="BS121" s="22">
        <f t="shared" si="63"/>
        <v>68.758828246709768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5.3205440053716299E-14</v>
      </c>
      <c r="P122" s="13">
        <f t="shared" si="87"/>
        <v>8.602146238565607E-13</v>
      </c>
      <c r="Q122" s="20">
        <f t="shared" si="107"/>
        <v>1.590873277977066E-12</v>
      </c>
      <c r="R122" s="59">
        <f t="shared" si="55"/>
        <v>293.33333333333491</v>
      </c>
      <c r="S122" s="59">
        <f ca="1">AVERAGE(OFFSET($R$3,0,0,'Données projet'!$E$9+1,1))-AVERAGE(OFFSET($H$3,0,0,'Données projet'!$E$9+1,1))</f>
        <v>263.84804661819163</v>
      </c>
      <c r="T122" s="59">
        <f t="shared" si="88"/>
        <v>271.81541836379307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139.63666370025413</v>
      </c>
      <c r="AA122" s="21">
        <f>EXP(-LN(2)/25)*AA121+(1-EXP(-LN(2)/25))/(LN(2)/25)*Calculateur!V122*Calculateur!X122*VLOOKUP('Données projet'!$B$9,Paramètres!$A$1:$I$89,3,0)*0.475*44/12</f>
        <v>36.937672213104918</v>
      </c>
      <c r="AB122" s="21">
        <f>EXP(-LN(2)/2)*AB121+(1-EXP(-LN(2)/2))/(LN(2)/2)*V122*Y122*VLOOKUP('Données projet'!$B$9,Paramètres!$A$1:$I$89,3,0)*0.475*44/12</f>
        <v>0.30646934401904391</v>
      </c>
      <c r="AC122" s="22">
        <f t="shared" si="57"/>
        <v>176.88080525737809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270.04187128233121</v>
      </c>
      <c r="AO122" s="59">
        <f t="shared" si="90"/>
        <v>183.82555940776064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70.797278880102468</v>
      </c>
      <c r="AV122" s="21">
        <f>EXP(-LN(2)/25)*AV121+(1-EXP(-LN(2)/25))/(LN(2)/25)*Calculateur!AQ122*Calculateur!AS122*VLOOKUP('Données projet'!$B$10,Paramètres!$A$1:$I$89,3,0)*0.475*44/12</f>
        <v>17.549160008026121</v>
      </c>
      <c r="AW122" s="21">
        <f>EXP(-LN(2)/2)*AW121+(1-EXP(-LN(2)/2))/(LN(2)/2)*AQ122*AT122*VLOOKUP('Données projet'!$B$10,Paramètres!$A$1:$I$89,3,0)*0.475*44/12</f>
        <v>9.5375476202929548E-5</v>
      </c>
      <c r="AX122" s="21">
        <f t="shared" si="60"/>
        <v>88.346534263604795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4.3516666666666692</v>
      </c>
      <c r="BD122" s="12">
        <f>IF('Données projet'!$A$88&gt;35,BD121+BC122-BL121,IF(A122&lt;'Données projet'!$A$88,$BA$205^A122,IF(A122='Données projet'!$A$88,'Données projet'!$B$88,BD121+BC122-BL121)))</f>
        <v>485.45833333333348</v>
      </c>
      <c r="BE122" s="13">
        <f>BD122*VLOOKUP('Données projet'!$B$11,Paramètres!$A$1:$I$89,3,0)*VLOOKUP('Données projet'!$B$11,Paramètres!$A$1:$I$89,5,0)</f>
        <v>271.37120833333341</v>
      </c>
      <c r="BF122" s="13">
        <f t="shared" si="91"/>
        <v>65.140188452457693</v>
      </c>
      <c r="BG122" s="20">
        <f t="shared" si="61"/>
        <v>586.09068273525281</v>
      </c>
      <c r="BH122" s="59">
        <f t="shared" si="62"/>
        <v>879.42401606858607</v>
      </c>
      <c r="BI122" s="59">
        <f ca="1">AVERAGE(OFFSET($BH$3,0,0,'Données projet'!$E$11+1,1))-AVERAGE(OFFSET($H$3,0,0,'Données projet'!$E$11+1,1))</f>
        <v>293.82673322742102</v>
      </c>
      <c r="BJ122" s="59">
        <f t="shared" si="92"/>
        <v>138.78566015867693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51.800461127232261</v>
      </c>
      <c r="BQ122" s="21">
        <f>EXP(-LN(2)/25)*BQ121+(1-EXP(-LN(2)/25))/(LN(2)/25)*Calculateur!BL122*Calculateur!BN122*VLOOKUP('Données projet'!$B$11,Paramètres!$A$1:$I$89,3,0)*0.475*44/12</f>
        <v>15.231287435036338</v>
      </c>
      <c r="BR122" s="21">
        <f>EXP(-LN(2)/2)*BR121+(1-EXP(-LN(2)/2))/(LN(2)/2)*BL122*BO122*VLOOKUP('Données projet'!$B$11,Paramètres!$A$1:$I$89,3,0)*0.475*44/12</f>
        <v>0.18581162381018018</v>
      </c>
      <c r="BS122" s="22">
        <f t="shared" si="63"/>
        <v>67.217560186078785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5.3205440053716299E-14</v>
      </c>
      <c r="P123" s="13">
        <f t="shared" si="87"/>
        <v>8.602146238565607E-13</v>
      </c>
      <c r="Q123" s="20">
        <f t="shared" si="107"/>
        <v>1.590873277977066E-12</v>
      </c>
      <c r="R123" s="59">
        <f t="shared" si="55"/>
        <v>293.33333333333491</v>
      </c>
      <c r="S123" s="59">
        <f ca="1">AVERAGE(OFFSET($R$3,0,0,'Données projet'!$E$9+1,1))-AVERAGE(OFFSET($H$3,0,0,'Données projet'!$E$9+1,1))</f>
        <v>263.84804661819163</v>
      </c>
      <c r="T123" s="59">
        <f t="shared" si="88"/>
        <v>271.81541836379307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136.89847389504718</v>
      </c>
      <c r="AA123" s="21">
        <f>EXP(-LN(2)/25)*AA122+(1-EXP(-LN(2)/25))/(LN(2)/25)*Calculateur!V123*Calculateur!X123*VLOOKUP('Données projet'!$B$9,Paramètres!$A$1:$I$89,3,0)*0.475*44/12</f>
        <v>35.927609623969808</v>
      </c>
      <c r="AB123" s="21">
        <f>EXP(-LN(2)/2)*AB122+(1-EXP(-LN(2)/2))/(LN(2)/2)*V123*Y123*VLOOKUP('Données projet'!$B$9,Paramètres!$A$1:$I$89,3,0)*0.475*44/12</f>
        <v>0.21670655138165884</v>
      </c>
      <c r="AC123" s="22">
        <f t="shared" si="57"/>
        <v>173.04279007039864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270.04187128233121</v>
      </c>
      <c r="AO123" s="59">
        <f t="shared" si="90"/>
        <v>183.82555940776064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69.408987423339894</v>
      </c>
      <c r="AV123" s="21">
        <f>EXP(-LN(2)/25)*AV122+(1-EXP(-LN(2)/25))/(LN(2)/25)*Calculateur!AQ123*Calculateur!AS123*VLOOKUP('Données projet'!$B$10,Paramètres!$A$1:$I$89,3,0)*0.475*44/12</f>
        <v>17.069277304736431</v>
      </c>
      <c r="AW123" s="21">
        <f>EXP(-LN(2)/2)*AW122+(1-EXP(-LN(2)/2))/(LN(2)/2)*AQ123*AT123*VLOOKUP('Données projet'!$B$10,Paramètres!$A$1:$I$89,3,0)*0.475*44/12</f>
        <v>6.7440645981987673E-5</v>
      </c>
      <c r="AX123" s="21">
        <f t="shared" si="60"/>
        <v>86.478332168722304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489.81</v>
      </c>
      <c r="BB123" s="12">
        <f>VLOOKUP(A123,'Données projet'!$A$87:$I$107,9,0)</f>
        <v>4.3516666666666692</v>
      </c>
      <c r="BC123" s="12">
        <f t="array" ref="BC123">INDEX(BB:BB,MIN(IF(ISNUMBER(BB123:BB319),ROW(BB123:BB319),"")))</f>
        <v>4.3516666666666692</v>
      </c>
      <c r="BD123" s="12">
        <f>IF('Données projet'!$A$88&gt;35,BD122+BC123-BL122,IF(A123&lt;'Données projet'!$A$88,$BA$205^A123,IF(A123='Données projet'!$A$88,'Données projet'!$B$88,BD122+BC123-BL122)))</f>
        <v>489.81000000000017</v>
      </c>
      <c r="BE123" s="13">
        <f>BD123*VLOOKUP('Données projet'!$B$11,Paramètres!$A$1:$I$89,3,0)*VLOOKUP('Données projet'!$B$11,Paramètres!$A$1:$I$89,5,0)</f>
        <v>273.80379000000011</v>
      </c>
      <c r="BF123" s="13">
        <f t="shared" si="91"/>
        <v>65.655871076177263</v>
      </c>
      <c r="BG123" s="20">
        <f t="shared" si="61"/>
        <v>591.22557637434227</v>
      </c>
      <c r="BH123" s="59">
        <f t="shared" si="62"/>
        <v>884.55890970767564</v>
      </c>
      <c r="BI123" s="59">
        <f ca="1">AVERAGE(OFFSET($BH$3,0,0,'Données projet'!$E$11+1,1))-AVERAGE(OFFSET($H$3,0,0,'Données projet'!$E$11+1,1))</f>
        <v>293.82673322742102</v>
      </c>
      <c r="BJ123" s="59">
        <f t="shared" si="92"/>
        <v>138.78566015867693</v>
      </c>
      <c r="BK123" s="15" t="str">
        <f>IF(ISNA(VLOOKUP(A123,'Données projet'!$A$87:$I$107,3,0)),0,VLOOKUP(A123,'Données projet'!$A$87:$I$107,3,0))</f>
        <v>CR</v>
      </c>
      <c r="BL123" s="15">
        <f>IF(ISNA(VLOOKUP(A123,'Données projet'!$A$87:$I$107,4,0)),0,VLOOKUP(A123,'Données projet'!$A$87:$I$107,4,0))</f>
        <v>489.81</v>
      </c>
      <c r="BM123" s="16">
        <f>IF(ISNA(VLOOKUP(A123,'Données projet'!$A$87:$I$107,5,0)),0%,VLOOKUP(A123,'Données projet'!$A$87:$I$107,5,0)*VLOOKUP('Données projet'!$B$11,Paramètres!$A$1:$I$89,7,0))</f>
        <v>0.33</v>
      </c>
      <c r="BN123" s="16">
        <f>IF(ISNA(VLOOKUP(A123,'Données projet'!$A$87:$I$107,6,0)),0%,VLOOKUP(A123,'Données projet'!$A$87:$I$107,6,0)*VLOOKUP('Données projet'!$B$11,Paramètres!$A$1:$I$89,7,0))</f>
        <v>0.11000000000000001</v>
      </c>
      <c r="BO123" s="16">
        <f>IF(ISNA(VLOOKUP(A123,'Données projet'!$A$87:$I$107,7,0)),0%,VLOOKUP(A123,'Données projet'!$A$87:$I$107,7,0))</f>
        <v>0.2</v>
      </c>
      <c r="BP123" s="21">
        <f>EXP(-LN(2)/35)*BP122+(1-EXP(-LN(2)/35))/(LN(2)/35)*BL123*BM123*VLOOKUP('Données projet'!$B$11,Paramètres!$A$1:$I$89,3,0)*0.475*44/12</f>
        <v>170.64674962063742</v>
      </c>
      <c r="BQ123" s="21">
        <f>EXP(-LN(2)/25)*BQ122+(1-EXP(-LN(2)/25))/(LN(2)/25)*Calculateur!BL123*Calculateur!BN123*VLOOKUP('Données projet'!$B$11,Paramètres!$A$1:$I$89,3,0)*0.475*44/12</f>
        <v>54.611494187208748</v>
      </c>
      <c r="BR123" s="21">
        <f>EXP(-LN(2)/2)*BR122+(1-EXP(-LN(2)/2))/(LN(2)/2)*BL123*BO123*VLOOKUP('Données projet'!$B$11,Paramètres!$A$1:$I$89,3,0)*0.475*44/12</f>
        <v>62.133287503850255</v>
      </c>
      <c r="BS123" s="22">
        <f t="shared" si="63"/>
        <v>287.39153131169644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5.3205440053716299E-14</v>
      </c>
      <c r="P124" s="13">
        <f t="shared" si="87"/>
        <v>8.602146238565607E-13</v>
      </c>
      <c r="Q124" s="20">
        <f t="shared" si="107"/>
        <v>1.590873277977066E-12</v>
      </c>
      <c r="R124" s="59">
        <f t="shared" si="55"/>
        <v>293.33333333333491</v>
      </c>
      <c r="S124" s="59">
        <f ca="1">AVERAGE(OFFSET($R$3,0,0,'Données projet'!$E$9+1,1))-AVERAGE(OFFSET($H$3,0,0,'Données projet'!$E$9+1,1))</f>
        <v>263.84804661819163</v>
      </c>
      <c r="T124" s="59">
        <f t="shared" si="88"/>
        <v>271.81541836379307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134.21397832178945</v>
      </c>
      <c r="AA124" s="21">
        <f>EXP(-LN(2)/25)*AA123+(1-EXP(-LN(2)/25))/(LN(2)/25)*Calculateur!V124*Calculateur!X124*VLOOKUP('Données projet'!$B$9,Paramètres!$A$1:$I$89,3,0)*0.475*44/12</f>
        <v>34.94516724945148</v>
      </c>
      <c r="AB124" s="21">
        <f>EXP(-LN(2)/2)*AB123+(1-EXP(-LN(2)/2))/(LN(2)/2)*V124*Y124*VLOOKUP('Données projet'!$B$9,Paramètres!$A$1:$I$89,3,0)*0.475*44/12</f>
        <v>0.15323467200952195</v>
      </c>
      <c r="AC124" s="22">
        <f t="shared" si="57"/>
        <v>169.31238024325046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270.04187128233121</v>
      </c>
      <c r="AO124" s="59">
        <f t="shared" si="90"/>
        <v>183.82555940776064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68.047919515270266</v>
      </c>
      <c r="AV124" s="21">
        <f>EXP(-LN(2)/25)*AV123+(1-EXP(-LN(2)/25))/(LN(2)/25)*Calculateur!AQ124*Calculateur!AS124*VLOOKUP('Données projet'!$B$10,Paramètres!$A$1:$I$89,3,0)*0.475*44/12</f>
        <v>16.602517019204132</v>
      </c>
      <c r="AW124" s="21">
        <f>EXP(-LN(2)/2)*AW123+(1-EXP(-LN(2)/2))/(LN(2)/2)*AQ124*AT124*VLOOKUP('Données projet'!$B$10,Paramètres!$A$1:$I$89,3,0)*0.475*44/12</f>
        <v>4.7687738101464774E-5</v>
      </c>
      <c r="AX124" s="21">
        <f t="shared" si="60"/>
        <v>84.650484222212498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9.5326413429575044E-14</v>
      </c>
      <c r="BF124" s="13">
        <f t="shared" si="91"/>
        <v>1.4400742856080346E-12</v>
      </c>
      <c r="BG124" s="20">
        <f t="shared" si="61"/>
        <v>2.6741562174905032E-12</v>
      </c>
      <c r="BH124" s="59">
        <f t="shared" si="62"/>
        <v>293.33333333333599</v>
      </c>
      <c r="BI124" s="59">
        <f ca="1">AVERAGE(OFFSET($BH$3,0,0,'Données projet'!$E$11+1,1))-AVERAGE(OFFSET($H$3,0,0,'Données projet'!$E$11+1,1))</f>
        <v>293.82673322742102</v>
      </c>
      <c r="BJ124" s="59">
        <f t="shared" si="92"/>
        <v>138.78566015867693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167.30047094481654</v>
      </c>
      <c r="BQ124" s="21">
        <f>EXP(-LN(2)/25)*BQ123+(1-EXP(-LN(2)/25))/(LN(2)/25)*Calculateur!BL124*Calculateur!BN124*VLOOKUP('Données projet'!$B$11,Paramètres!$A$1:$I$89,3,0)*0.475*44/12</f>
        <v>53.118140006765863</v>
      </c>
      <c r="BR124" s="21">
        <f>EXP(-LN(2)/2)*BR123+(1-EXP(-LN(2)/2))/(LN(2)/2)*BL124*BO124*VLOOKUP('Données projet'!$B$11,Paramètres!$A$1:$I$89,3,0)*0.475*44/12</f>
        <v>43.934868931385893</v>
      </c>
      <c r="BS124" s="22">
        <f t="shared" si="63"/>
        <v>264.35347988296826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5.3205440053716299E-14</v>
      </c>
      <c r="P125" s="13">
        <f t="shared" si="87"/>
        <v>8.602146238565607E-13</v>
      </c>
      <c r="Q125" s="20">
        <f t="shared" si="107"/>
        <v>1.590873277977066E-12</v>
      </c>
      <c r="R125" s="59">
        <f t="shared" si="55"/>
        <v>293.33333333333491</v>
      </c>
      <c r="S125" s="59">
        <f ca="1">AVERAGE(OFFSET($R$3,0,0,'Données projet'!$E$9+1,1))-AVERAGE(OFFSET($H$3,0,0,'Données projet'!$E$9+1,1))</f>
        <v>263.84804661819163</v>
      </c>
      <c r="T125" s="59">
        <f t="shared" si="88"/>
        <v>271.81541836379307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131.58212406934268</v>
      </c>
      <c r="AA125" s="21">
        <f>EXP(-LN(2)/25)*AA124+(1-EXP(-LN(2)/25))/(LN(2)/25)*Calculateur!V125*Calculateur!X125*VLOOKUP('Données projet'!$B$9,Paramètres!$A$1:$I$89,3,0)*0.475*44/12</f>
        <v>33.989589813328749</v>
      </c>
      <c r="AB125" s="21">
        <f>EXP(-LN(2)/2)*AB124+(1-EXP(-LN(2)/2))/(LN(2)/2)*V125*Y125*VLOOKUP('Données projet'!$B$9,Paramètres!$A$1:$I$89,3,0)*0.475*44/12</f>
        <v>0.10835327569082942</v>
      </c>
      <c r="AC125" s="22">
        <f t="shared" si="57"/>
        <v>165.68006715836225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270.04187128233121</v>
      </c>
      <c r="AO125" s="59">
        <f t="shared" si="90"/>
        <v>183.82555940776064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66.713541318708423</v>
      </c>
      <c r="AV125" s="21">
        <f>EXP(-LN(2)/25)*AV124+(1-EXP(-LN(2)/25))/(LN(2)/25)*Calculateur!AQ125*Calculateur!AS125*VLOOKUP('Données projet'!$B$10,Paramètres!$A$1:$I$89,3,0)*0.475*44/12</f>
        <v>16.148520318225572</v>
      </c>
      <c r="AW125" s="21">
        <f>EXP(-LN(2)/2)*AW124+(1-EXP(-LN(2)/2))/(LN(2)/2)*AQ125*AT125*VLOOKUP('Données projet'!$B$10,Paramètres!$A$1:$I$89,3,0)*0.475*44/12</f>
        <v>3.3720322990993837E-5</v>
      </c>
      <c r="AX125" s="21">
        <f t="shared" si="60"/>
        <v>82.862095357256976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9.5326413429575044E-14</v>
      </c>
      <c r="BF125" s="13">
        <f t="shared" si="91"/>
        <v>1.4400742856080346E-12</v>
      </c>
      <c r="BG125" s="20">
        <f t="shared" si="61"/>
        <v>2.6741562174905032E-12</v>
      </c>
      <c r="BH125" s="59">
        <f t="shared" si="62"/>
        <v>293.33333333333599</v>
      </c>
      <c r="BI125" s="59">
        <f ca="1">AVERAGE(OFFSET($BH$3,0,0,'Données projet'!$E$11+1,1))-AVERAGE(OFFSET($H$3,0,0,'Données projet'!$E$11+1,1))</f>
        <v>293.82673322742102</v>
      </c>
      <c r="BJ125" s="59">
        <f t="shared" si="92"/>
        <v>138.78566015867693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164.01981075280003</v>
      </c>
      <c r="BQ125" s="21">
        <f>EXP(-LN(2)/25)*BQ124+(1-EXP(-LN(2)/25))/(LN(2)/25)*Calculateur!BL125*Calculateur!BN125*VLOOKUP('Données projet'!$B$11,Paramètres!$A$1:$I$89,3,0)*0.475*44/12</f>
        <v>51.665621674919272</v>
      </c>
      <c r="BR125" s="21">
        <f>EXP(-LN(2)/2)*BR124+(1-EXP(-LN(2)/2))/(LN(2)/2)*BL125*BO125*VLOOKUP('Données projet'!$B$11,Paramètres!$A$1:$I$89,3,0)*0.475*44/12</f>
        <v>31.066643751925131</v>
      </c>
      <c r="BS125" s="22">
        <f t="shared" si="63"/>
        <v>246.75207617964443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5.3205440053716299E-14</v>
      </c>
      <c r="P126" s="13">
        <f t="shared" si="87"/>
        <v>8.602146238565607E-13</v>
      </c>
      <c r="Q126" s="20">
        <f t="shared" si="107"/>
        <v>1.590873277977066E-12</v>
      </c>
      <c r="R126" s="59">
        <f t="shared" si="55"/>
        <v>293.33333333333491</v>
      </c>
      <c r="S126" s="59">
        <f ca="1">AVERAGE(OFFSET($R$3,0,0,'Données projet'!$E$9+1,1))-AVERAGE(OFFSET($H$3,0,0,'Données projet'!$E$9+1,1))</f>
        <v>263.84804661819163</v>
      </c>
      <c r="T126" s="59">
        <f t="shared" si="88"/>
        <v>271.81541836379307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129.00187887351382</v>
      </c>
      <c r="AA126" s="21">
        <f>EXP(-LN(2)/25)*AA125+(1-EXP(-LN(2)/25))/(LN(2)/25)*Calculateur!V126*Calculateur!X126*VLOOKUP('Données projet'!$B$9,Paramètres!$A$1:$I$89,3,0)*0.475*44/12</f>
        <v>33.06014269244843</v>
      </c>
      <c r="AB126" s="21">
        <f>EXP(-LN(2)/2)*AB125+(1-EXP(-LN(2)/2))/(LN(2)/2)*V126*Y126*VLOOKUP('Données projet'!$B$9,Paramètres!$A$1:$I$89,3,0)*0.475*44/12</f>
        <v>7.6617336004760977E-2</v>
      </c>
      <c r="AC126" s="22">
        <f t="shared" si="57"/>
        <v>162.13863890196703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270.04187128233121</v>
      </c>
      <c r="AO126" s="59">
        <f t="shared" si="90"/>
        <v>183.82555940776064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65.405329464690823</v>
      </c>
      <c r="AV126" s="21">
        <f>EXP(-LN(2)/25)*AV125+(1-EXP(-LN(2)/25))/(LN(2)/25)*Calculateur!AQ126*Calculateur!AS126*VLOOKUP('Données projet'!$B$10,Paramètres!$A$1:$I$89,3,0)*0.475*44/12</f>
        <v>15.706938180909917</v>
      </c>
      <c r="AW126" s="21">
        <f>EXP(-LN(2)/2)*AW125+(1-EXP(-LN(2)/2))/(LN(2)/2)*AQ126*AT126*VLOOKUP('Données projet'!$B$10,Paramètres!$A$1:$I$89,3,0)*0.475*44/12</f>
        <v>2.3843869050732387E-5</v>
      </c>
      <c r="AX126" s="21">
        <f t="shared" si="60"/>
        <v>81.112291489469783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9.5326413429575044E-14</v>
      </c>
      <c r="BF126" s="13">
        <f t="shared" si="91"/>
        <v>1.4400742856080346E-12</v>
      </c>
      <c r="BG126" s="20">
        <f t="shared" si="61"/>
        <v>2.6741562174905032E-12</v>
      </c>
      <c r="BH126" s="59">
        <f t="shared" si="62"/>
        <v>293.33333333333599</v>
      </c>
      <c r="BI126" s="59">
        <f ca="1">AVERAGE(OFFSET($BH$3,0,0,'Données projet'!$E$11+1,1))-AVERAGE(OFFSET($H$3,0,0,'Données projet'!$E$11+1,1))</f>
        <v>293.82673322742102</v>
      </c>
      <c r="BJ126" s="59">
        <f t="shared" si="92"/>
        <v>138.78566015867693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160.80348230614382</v>
      </c>
      <c r="BQ126" s="21">
        <f>EXP(-LN(2)/25)*BQ125+(1-EXP(-LN(2)/25))/(LN(2)/25)*Calculateur!BL126*Calculateur!BN126*VLOOKUP('Données projet'!$B$11,Paramètres!$A$1:$I$89,3,0)*0.475*44/12</f>
        <v>50.252822533241641</v>
      </c>
      <c r="BR126" s="21">
        <f>EXP(-LN(2)/2)*BR125+(1-EXP(-LN(2)/2))/(LN(2)/2)*BL126*BO126*VLOOKUP('Données projet'!$B$11,Paramètres!$A$1:$I$89,3,0)*0.475*44/12</f>
        <v>21.96743446569295</v>
      </c>
      <c r="BS126" s="22">
        <f t="shared" si="63"/>
        <v>233.02373930507841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5.3205440053716299E-14</v>
      </c>
      <c r="P127" s="13">
        <f t="shared" si="87"/>
        <v>8.602146238565607E-13</v>
      </c>
      <c r="Q127" s="20">
        <f t="shared" si="107"/>
        <v>1.590873277977066E-12</v>
      </c>
      <c r="R127" s="59">
        <f t="shared" si="55"/>
        <v>293.33333333333491</v>
      </c>
      <c r="S127" s="59">
        <f ca="1">AVERAGE(OFFSET($R$3,0,0,'Données projet'!$E$9+1,1))-AVERAGE(OFFSET($H$3,0,0,'Données projet'!$E$9+1,1))</f>
        <v>263.84804661819163</v>
      </c>
      <c r="T127" s="59">
        <f t="shared" si="88"/>
        <v>271.81541836379307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126.47223071218099</v>
      </c>
      <c r="AA127" s="21">
        <f>EXP(-LN(2)/25)*AA126+(1-EXP(-LN(2)/25))/(LN(2)/25)*Calculateur!V127*Calculateur!X127*VLOOKUP('Données projet'!$B$9,Paramètres!$A$1:$I$89,3,0)*0.475*44/12</f>
        <v>32.156111351966082</v>
      </c>
      <c r="AB127" s="21">
        <f>EXP(-LN(2)/2)*AB126+(1-EXP(-LN(2)/2))/(LN(2)/2)*V127*Y127*VLOOKUP('Données projet'!$B$9,Paramètres!$A$1:$I$89,3,0)*0.475*44/12</f>
        <v>5.417663784541471E-2</v>
      </c>
      <c r="AC127" s="22">
        <f t="shared" si="57"/>
        <v>158.68251870199248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270.04187128233121</v>
      </c>
      <c r="AO127" s="59">
        <f t="shared" si="90"/>
        <v>183.82555940776064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64.122770847200073</v>
      </c>
      <c r="AV127" s="21">
        <f>EXP(-LN(2)/25)*AV126+(1-EXP(-LN(2)/25))/(LN(2)/25)*Calculateur!AQ127*Calculateur!AS127*VLOOKUP('Données projet'!$B$10,Paramètres!$A$1:$I$89,3,0)*0.475*44/12</f>
        <v>15.277431130360956</v>
      </c>
      <c r="AW127" s="21">
        <f>EXP(-LN(2)/2)*AW126+(1-EXP(-LN(2)/2))/(LN(2)/2)*AQ127*AT127*VLOOKUP('Données projet'!$B$10,Paramètres!$A$1:$I$89,3,0)*0.475*44/12</f>
        <v>1.6860161495496918E-5</v>
      </c>
      <c r="AX127" s="21">
        <f t="shared" si="60"/>
        <v>79.40021883772252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9.5326413429575044E-14</v>
      </c>
      <c r="BF127" s="13">
        <f t="shared" si="91"/>
        <v>1.4400742856080346E-12</v>
      </c>
      <c r="BG127" s="20">
        <f t="shared" si="61"/>
        <v>2.6741562174905032E-12</v>
      </c>
      <c r="BH127" s="59">
        <f t="shared" si="62"/>
        <v>293.33333333333599</v>
      </c>
      <c r="BI127" s="59">
        <f ca="1">AVERAGE(OFFSET($BH$3,0,0,'Données projet'!$E$11+1,1))-AVERAGE(OFFSET($H$3,0,0,'Données projet'!$E$11+1,1))</f>
        <v>293.82673322742102</v>
      </c>
      <c r="BJ127" s="59">
        <f t="shared" si="92"/>
        <v>138.78566015867693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157.6502240985599</v>
      </c>
      <c r="BQ127" s="21">
        <f>EXP(-LN(2)/25)*BQ126+(1-EXP(-LN(2)/25))/(LN(2)/25)*Calculateur!BL127*Calculateur!BN127*VLOOKUP('Données projet'!$B$11,Paramètres!$A$1:$I$89,3,0)*0.475*44/12</f>
        <v>48.878656458389067</v>
      </c>
      <c r="BR127" s="21">
        <f>EXP(-LN(2)/2)*BR126+(1-EXP(-LN(2)/2))/(LN(2)/2)*BL127*BO127*VLOOKUP('Données projet'!$B$11,Paramètres!$A$1:$I$89,3,0)*0.475*44/12</f>
        <v>15.533321875962569</v>
      </c>
      <c r="BS127" s="22">
        <f t="shared" si="63"/>
        <v>222.06220243291153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5.3205440053716299E-14</v>
      </c>
      <c r="P128" s="13">
        <f t="shared" si="87"/>
        <v>8.602146238565607E-13</v>
      </c>
      <c r="Q128" s="20">
        <f t="shared" si="107"/>
        <v>1.590873277977066E-12</v>
      </c>
      <c r="R128" s="59">
        <f t="shared" si="55"/>
        <v>293.33333333333491</v>
      </c>
      <c r="S128" s="59">
        <f ca="1">AVERAGE(OFFSET($R$3,0,0,'Données projet'!$E$9+1,1))-AVERAGE(OFFSET($H$3,0,0,'Données projet'!$E$9+1,1))</f>
        <v>263.84804661819163</v>
      </c>
      <c r="T128" s="59">
        <f t="shared" si="88"/>
        <v>271.81541836379307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123.99218740835887</v>
      </c>
      <c r="AA128" s="21">
        <f>EXP(-LN(2)/25)*AA127+(1-EXP(-LN(2)/25))/(LN(2)/25)*Calculateur!V128*Calculateur!X128*VLOOKUP('Données projet'!$B$9,Paramètres!$A$1:$I$89,3,0)*0.475*44/12</f>
        <v>31.276800796030166</v>
      </c>
      <c r="AB128" s="21">
        <f>EXP(-LN(2)/2)*AB127+(1-EXP(-LN(2)/2))/(LN(2)/2)*V128*Y128*VLOOKUP('Données projet'!$B$9,Paramètres!$A$1:$I$89,3,0)*0.475*44/12</f>
        <v>3.8308668002380489E-2</v>
      </c>
      <c r="AC128" s="22">
        <f t="shared" si="57"/>
        <v>155.30729687239142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270.04187128233121</v>
      </c>
      <c r="AO128" s="59">
        <f t="shared" si="90"/>
        <v>183.82555940776064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62.865362421914803</v>
      </c>
      <c r="AV128" s="21">
        <f>EXP(-LN(2)/25)*AV127+(1-EXP(-LN(2)/25))/(LN(2)/25)*Calculateur!AQ128*Calculateur!AS128*VLOOKUP('Données projet'!$B$10,Paramètres!$A$1:$I$89,3,0)*0.475*44/12</f>
        <v>14.859668972696049</v>
      </c>
      <c r="AW128" s="21">
        <f>EXP(-LN(2)/2)*AW127+(1-EXP(-LN(2)/2))/(LN(2)/2)*AQ128*AT128*VLOOKUP('Données projet'!$B$10,Paramètres!$A$1:$I$89,3,0)*0.475*44/12</f>
        <v>1.1921934525366193E-5</v>
      </c>
      <c r="AX128" s="21">
        <f t="shared" si="60"/>
        <v>77.725043316545381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9.5326413429575044E-14</v>
      </c>
      <c r="BF128" s="13">
        <f t="shared" si="91"/>
        <v>1.4400742856080346E-12</v>
      </c>
      <c r="BG128" s="20">
        <f t="shared" si="61"/>
        <v>2.6741562174905032E-12</v>
      </c>
      <c r="BH128" s="59">
        <f t="shared" si="62"/>
        <v>293.33333333333599</v>
      </c>
      <c r="BI128" s="59">
        <f ca="1">AVERAGE(OFFSET($BH$3,0,0,'Données projet'!$E$11+1,1))-AVERAGE(OFFSET($H$3,0,0,'Données projet'!$E$11+1,1))</f>
        <v>293.82673322742102</v>
      </c>
      <c r="BJ128" s="59">
        <f t="shared" si="92"/>
        <v>138.78566015867693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154.5587993611291</v>
      </c>
      <c r="BQ128" s="21">
        <f>EXP(-LN(2)/25)*BQ127+(1-EXP(-LN(2)/25))/(LN(2)/25)*Calculateur!BL128*Calculateur!BN128*VLOOKUP('Données projet'!$B$11,Paramètres!$A$1:$I$89,3,0)*0.475*44/12</f>
        <v>47.542067027117589</v>
      </c>
      <c r="BR128" s="21">
        <f>EXP(-LN(2)/2)*BR127+(1-EXP(-LN(2)/2))/(LN(2)/2)*BL128*BO128*VLOOKUP('Données projet'!$B$11,Paramètres!$A$1:$I$89,3,0)*0.475*44/12</f>
        <v>10.983717232846477</v>
      </c>
      <c r="BS128" s="22">
        <f t="shared" si="63"/>
        <v>213.08458362109317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5.3205440053716299E-14</v>
      </c>
      <c r="P129" s="13">
        <f t="shared" si="87"/>
        <v>8.602146238565607E-13</v>
      </c>
      <c r="Q129" s="20">
        <f t="shared" si="107"/>
        <v>1.590873277977066E-12</v>
      </c>
      <c r="R129" s="59">
        <f t="shared" si="55"/>
        <v>293.33333333333491</v>
      </c>
      <c r="S129" s="59">
        <f ca="1">AVERAGE(OFFSET($R$3,0,0,'Données projet'!$E$9+1,1))-AVERAGE(OFFSET($H$3,0,0,'Données projet'!$E$9+1,1))</f>
        <v>263.84804661819163</v>
      </c>
      <c r="T129" s="59">
        <f t="shared" si="88"/>
        <v>271.81541836379307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121.56077624104765</v>
      </c>
      <c r="AA129" s="21">
        <f>EXP(-LN(2)/25)*AA128+(1-EXP(-LN(2)/25))/(LN(2)/25)*Calculateur!V129*Calculateur!X129*VLOOKUP('Données projet'!$B$9,Paramètres!$A$1:$I$89,3,0)*0.475*44/12</f>
        <v>30.421535033487253</v>
      </c>
      <c r="AB129" s="21">
        <f>EXP(-LN(2)/2)*AB128+(1-EXP(-LN(2)/2))/(LN(2)/2)*V129*Y129*VLOOKUP('Données projet'!$B$9,Paramètres!$A$1:$I$89,3,0)*0.475*44/12</f>
        <v>2.7088318922707355E-2</v>
      </c>
      <c r="AC129" s="22">
        <f t="shared" si="57"/>
        <v>152.0093995934576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270.04187128233121</v>
      </c>
      <c r="AO129" s="59">
        <f t="shared" si="90"/>
        <v>183.82555940776064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61.632611008905968</v>
      </c>
      <c r="AV129" s="21">
        <f>EXP(-LN(2)/25)*AV128+(1-EXP(-LN(2)/25))/(LN(2)/25)*Calculateur!AQ129*Calculateur!AS129*VLOOKUP('Données projet'!$B$10,Paramètres!$A$1:$I$89,3,0)*0.475*44/12</f>
        <v>14.453330543201647</v>
      </c>
      <c r="AW129" s="21">
        <f>EXP(-LN(2)/2)*AW128+(1-EXP(-LN(2)/2))/(LN(2)/2)*AQ129*AT129*VLOOKUP('Données projet'!$B$10,Paramètres!$A$1:$I$89,3,0)*0.475*44/12</f>
        <v>8.4300807477484592E-6</v>
      </c>
      <c r="AX129" s="21">
        <f t="shared" si="60"/>
        <v>76.085949982188367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9.5326413429575044E-14</v>
      </c>
      <c r="BF129" s="13">
        <f t="shared" si="91"/>
        <v>1.4400742856080346E-12</v>
      </c>
      <c r="BG129" s="20">
        <f t="shared" si="61"/>
        <v>2.6741562174905032E-12</v>
      </c>
      <c r="BH129" s="59">
        <f t="shared" si="62"/>
        <v>293.33333333333599</v>
      </c>
      <c r="BI129" s="59">
        <f ca="1">AVERAGE(OFFSET($BH$3,0,0,'Données projet'!$E$11+1,1))-AVERAGE(OFFSET($H$3,0,0,'Données projet'!$E$11+1,1))</f>
        <v>293.82673322742102</v>
      </c>
      <c r="BJ129" s="59">
        <f t="shared" si="92"/>
        <v>138.78566015867693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151.52799557721642</v>
      </c>
      <c r="BQ129" s="21">
        <f>EXP(-LN(2)/25)*BQ128+(1-EXP(-LN(2)/25))/(LN(2)/25)*Calculateur!BL129*Calculateur!BN129*VLOOKUP('Données projet'!$B$11,Paramètres!$A$1:$I$89,3,0)*0.475*44/12</f>
        <v>46.242026704132414</v>
      </c>
      <c r="BR129" s="21">
        <f>EXP(-LN(2)/2)*BR128+(1-EXP(-LN(2)/2))/(LN(2)/2)*BL129*BO129*VLOOKUP('Données projet'!$B$11,Paramètres!$A$1:$I$89,3,0)*0.475*44/12</f>
        <v>7.7666609379812854</v>
      </c>
      <c r="BS129" s="22">
        <f t="shared" si="63"/>
        <v>205.53668321933009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5.3205440053716299E-14</v>
      </c>
      <c r="P130" s="13">
        <f t="shared" si="87"/>
        <v>8.602146238565607E-13</v>
      </c>
      <c r="Q130" s="20">
        <f t="shared" si="107"/>
        <v>1.590873277977066E-12</v>
      </c>
      <c r="R130" s="59">
        <f t="shared" si="55"/>
        <v>293.33333333333491</v>
      </c>
      <c r="S130" s="59">
        <f ca="1">AVERAGE(OFFSET($R$3,0,0,'Données projet'!$E$9+1,1))-AVERAGE(OFFSET($H$3,0,0,'Données projet'!$E$9+1,1))</f>
        <v>263.84804661819163</v>
      </c>
      <c r="T130" s="59">
        <f t="shared" si="88"/>
        <v>271.81541836379307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119.17704356371303</v>
      </c>
      <c r="AA130" s="21">
        <f>EXP(-LN(2)/25)*AA129+(1-EXP(-LN(2)/25))/(LN(2)/25)*Calculateur!V130*Calculateur!X130*VLOOKUP('Données projet'!$B$9,Paramètres!$A$1:$I$89,3,0)*0.475*44/12</f>
        <v>29.589656558197547</v>
      </c>
      <c r="AB130" s="21">
        <f>EXP(-LN(2)/2)*AB129+(1-EXP(-LN(2)/2))/(LN(2)/2)*V130*Y130*VLOOKUP('Données projet'!$B$9,Paramètres!$A$1:$I$89,3,0)*0.475*44/12</f>
        <v>1.9154334001190244E-2</v>
      </c>
      <c r="AC130" s="22">
        <f t="shared" si="57"/>
        <v>148.78585445591176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270.04187128233121</v>
      </c>
      <c r="AO130" s="59">
        <f t="shared" si="90"/>
        <v>183.82555940776064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60.42403309920212</v>
      </c>
      <c r="AV130" s="21">
        <f>EXP(-LN(2)/25)*AV129+(1-EXP(-LN(2)/25))/(LN(2)/25)*Calculateur!AQ130*Calculateur!AS130*VLOOKUP('Données projet'!$B$10,Paramètres!$A$1:$I$89,3,0)*0.475*44/12</f>
        <v>14.058103459430178</v>
      </c>
      <c r="AW130" s="21">
        <f>EXP(-LN(2)/2)*AW129+(1-EXP(-LN(2)/2))/(LN(2)/2)*AQ130*AT130*VLOOKUP('Données projet'!$B$10,Paramètres!$A$1:$I$89,3,0)*0.475*44/12</f>
        <v>5.9609672626830967E-6</v>
      </c>
      <c r="AX130" s="21">
        <f t="shared" si="60"/>
        <v>74.482142519599563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9.5326413429575044E-14</v>
      </c>
      <c r="BF130" s="13">
        <f t="shared" si="91"/>
        <v>1.4400742856080346E-12</v>
      </c>
      <c r="BG130" s="20">
        <f t="shared" si="61"/>
        <v>2.6741562174905032E-12</v>
      </c>
      <c r="BH130" s="59">
        <f t="shared" si="62"/>
        <v>293.33333333333599</v>
      </c>
      <c r="BI130" s="59">
        <f ca="1">AVERAGE(OFFSET($BH$3,0,0,'Données projet'!$E$11+1,1))-AVERAGE(OFFSET($H$3,0,0,'Données projet'!$E$11+1,1))</f>
        <v>293.82673322742102</v>
      </c>
      <c r="BJ130" s="59">
        <f t="shared" si="92"/>
        <v>138.78566015867693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148.55662400689849</v>
      </c>
      <c r="BQ130" s="21">
        <f>EXP(-LN(2)/25)*BQ129+(1-EXP(-LN(2)/25))/(LN(2)/25)*Calculateur!BL130*Calculateur!BN130*VLOOKUP('Données projet'!$B$11,Paramètres!$A$1:$I$89,3,0)*0.475*44/12</f>
        <v>44.977536052145418</v>
      </c>
      <c r="BR130" s="21">
        <f>EXP(-LN(2)/2)*BR129+(1-EXP(-LN(2)/2))/(LN(2)/2)*BL130*BO130*VLOOKUP('Données projet'!$B$11,Paramètres!$A$1:$I$89,3,0)*0.475*44/12</f>
        <v>5.4918586164232392</v>
      </c>
      <c r="BS130" s="22">
        <f t="shared" si="63"/>
        <v>199.02601867546713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5.3205440053716299E-14</v>
      </c>
      <c r="P131" s="13">
        <f t="shared" si="87"/>
        <v>8.602146238565607E-13</v>
      </c>
      <c r="Q131" s="20">
        <f t="shared" ref="Q131:Q153" si="108">(O131+P131)*0.475*44/12</f>
        <v>1.590873277977066E-12</v>
      </c>
      <c r="R131" s="59">
        <f t="shared" ref="R131:R194" si="109">Q131+(I131+J131)*44/12</f>
        <v>293.33333333333491</v>
      </c>
      <c r="S131" s="59">
        <f ca="1">AVERAGE(OFFSET($R$3,0,0,'Données projet'!$E$9+1,1))-AVERAGE(OFFSET($H$3,0,0,'Données projet'!$E$9+1,1))</f>
        <v>263.84804661819163</v>
      </c>
      <c r="T131" s="59">
        <f t="shared" si="88"/>
        <v>271.81541836379307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116.84005443024756</v>
      </c>
      <c r="AA131" s="21">
        <f>EXP(-LN(2)/25)*AA130+(1-EXP(-LN(2)/25))/(LN(2)/25)*Calculateur!V131*Calculateur!X131*VLOOKUP('Données projet'!$B$9,Paramètres!$A$1:$I$89,3,0)*0.475*44/12</f>
        <v>28.780525843561225</v>
      </c>
      <c r="AB131" s="21">
        <f>EXP(-LN(2)/2)*AB130+(1-EXP(-LN(2)/2))/(LN(2)/2)*V131*Y131*VLOOKUP('Données projet'!$B$9,Paramètres!$A$1:$I$89,3,0)*0.475*44/12</f>
        <v>1.3544159461353678E-2</v>
      </c>
      <c r="AC131" s="22">
        <f t="shared" si="57"/>
        <v>145.63412443327016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270.04187128233121</v>
      </c>
      <c r="AO131" s="59">
        <f t="shared" si="90"/>
        <v>183.82555940776064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59.239154665147829</v>
      </c>
      <c r="AV131" s="21">
        <f>EXP(-LN(2)/25)*AV130+(1-EXP(-LN(2)/25))/(LN(2)/25)*Calculateur!AQ131*Calculateur!AS131*VLOOKUP('Données projet'!$B$10,Paramètres!$A$1:$I$89,3,0)*0.475*44/12</f>
        <v>13.673683881048529</v>
      </c>
      <c r="AW131" s="21">
        <f>EXP(-LN(2)/2)*AW130+(1-EXP(-LN(2)/2))/(LN(2)/2)*AQ131*AT131*VLOOKUP('Données projet'!$B$10,Paramètres!$A$1:$I$89,3,0)*0.475*44/12</f>
        <v>4.2150403738742296E-6</v>
      </c>
      <c r="AX131" s="21">
        <f t="shared" si="60"/>
        <v>72.912842761236732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9.5326413429575044E-14</v>
      </c>
      <c r="BF131" s="13">
        <f t="shared" si="91"/>
        <v>1.4400742856080346E-12</v>
      </c>
      <c r="BG131" s="20">
        <f t="shared" si="61"/>
        <v>2.6741562174905032E-12</v>
      </c>
      <c r="BH131" s="59">
        <f t="shared" si="62"/>
        <v>293.33333333333599</v>
      </c>
      <c r="BI131" s="59">
        <f ca="1">AVERAGE(OFFSET($BH$3,0,0,'Données projet'!$E$11+1,1))-AVERAGE(OFFSET($H$3,0,0,'Données projet'!$E$11+1,1))</f>
        <v>293.82673322742102</v>
      </c>
      <c r="BJ131" s="59">
        <f t="shared" si="92"/>
        <v>138.78566015867693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145.6435192207168</v>
      </c>
      <c r="BQ131" s="21">
        <f>EXP(-LN(2)/25)*BQ130+(1-EXP(-LN(2)/25))/(LN(2)/25)*Calculateur!BL131*Calculateur!BN131*VLOOKUP('Données projet'!$B$11,Paramètres!$A$1:$I$89,3,0)*0.475*44/12</f>
        <v>43.747622963533679</v>
      </c>
      <c r="BR131" s="21">
        <f>EXP(-LN(2)/2)*BR130+(1-EXP(-LN(2)/2))/(LN(2)/2)*BL131*BO131*VLOOKUP('Données projet'!$B$11,Paramètres!$A$1:$I$89,3,0)*0.475*44/12</f>
        <v>3.8833304689906432</v>
      </c>
      <c r="BS131" s="22">
        <f t="shared" si="63"/>
        <v>193.27447265324111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5.3205440053716299E-14</v>
      </c>
      <c r="P132" s="13">
        <f t="shared" si="87"/>
        <v>8.602146238565607E-13</v>
      </c>
      <c r="Q132" s="20">
        <f t="shared" si="108"/>
        <v>1.590873277977066E-12</v>
      </c>
      <c r="R132" s="59">
        <f t="shared" si="109"/>
        <v>293.33333333333491</v>
      </c>
      <c r="S132" s="59">
        <f ca="1">AVERAGE(OFFSET($R$3,0,0,'Données projet'!$E$9+1,1))-AVERAGE(OFFSET($H$3,0,0,'Données projet'!$E$9+1,1))</f>
        <v>263.84804661819163</v>
      </c>
      <c r="T132" s="59">
        <f t="shared" si="88"/>
        <v>271.81541836379307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114.54889222826674</v>
      </c>
      <c r="AA132" s="21">
        <f>EXP(-LN(2)/25)*AA131+(1-EXP(-LN(2)/25))/(LN(2)/25)*Calculateur!V132*Calculateur!X132*VLOOKUP('Données projet'!$B$9,Paramètres!$A$1:$I$89,3,0)*0.475*44/12</f>
        <v>27.993520850866968</v>
      </c>
      <c r="AB132" s="21">
        <f>EXP(-LN(2)/2)*AB131+(1-EXP(-LN(2)/2))/(LN(2)/2)*V132*Y132*VLOOKUP('Données projet'!$B$9,Paramètres!$A$1:$I$89,3,0)*0.475*44/12</f>
        <v>9.5771670005951222E-3</v>
      </c>
      <c r="AC132" s="22">
        <f t="shared" ref="AC132:AC153" si="111">SUM(Z132:AB132)</f>
        <v>142.5519902461343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270.04187128233121</v>
      </c>
      <c r="AO132" s="59">
        <f t="shared" si="90"/>
        <v>183.82555940776064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58.077510974480859</v>
      </c>
      <c r="AV132" s="21">
        <f>EXP(-LN(2)/25)*AV131+(1-EXP(-LN(2)/25))/(LN(2)/25)*Calculateur!AQ132*Calculateur!AS132*VLOOKUP('Données projet'!$B$10,Paramètres!$A$1:$I$89,3,0)*0.475*44/12</f>
        <v>13.299776276253473</v>
      </c>
      <c r="AW132" s="21">
        <f>EXP(-LN(2)/2)*AW131+(1-EXP(-LN(2)/2))/(LN(2)/2)*AQ132*AT132*VLOOKUP('Données projet'!$B$10,Paramètres!$A$1:$I$89,3,0)*0.475*44/12</f>
        <v>2.9804836313415484E-6</v>
      </c>
      <c r="AX132" s="21">
        <f t="shared" ref="AX132:AX153" si="114">SUM(AU132:AW132)</f>
        <v>71.377290231217955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9.5326413429575044E-14</v>
      </c>
      <c r="BF132" s="13">
        <f t="shared" si="91"/>
        <v>1.4400742856080346E-12</v>
      </c>
      <c r="BG132" s="20">
        <f t="shared" ref="BG132:BG153" si="115">(BE132+BF132)*0.475*44/12</f>
        <v>2.6741562174905032E-12</v>
      </c>
      <c r="BH132" s="59">
        <f t="shared" ref="BH132:BH195" si="116">BG132+(AY132+AZ132)*44/12</f>
        <v>293.33333333333599</v>
      </c>
      <c r="BI132" s="59">
        <f ca="1">AVERAGE(OFFSET($BH$3,0,0,'Données projet'!$E$11+1,1))-AVERAGE(OFFSET($H$3,0,0,'Données projet'!$E$11+1,1))</f>
        <v>293.82673322742102</v>
      </c>
      <c r="BJ132" s="59">
        <f t="shared" si="92"/>
        <v>138.78566015867693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142.78753864257365</v>
      </c>
      <c r="BQ132" s="21">
        <f>EXP(-LN(2)/25)*BQ131+(1-EXP(-LN(2)/25))/(LN(2)/25)*Calculateur!BL132*Calculateur!BN132*VLOOKUP('Données projet'!$B$11,Paramètres!$A$1:$I$89,3,0)*0.475*44/12</f>
        <v>42.551341913008343</v>
      </c>
      <c r="BR132" s="21">
        <f>EXP(-LN(2)/2)*BR131+(1-EXP(-LN(2)/2))/(LN(2)/2)*BL132*BO132*VLOOKUP('Données projet'!$B$11,Paramètres!$A$1:$I$89,3,0)*0.475*44/12</f>
        <v>2.7459293082116201</v>
      </c>
      <c r="BS132" s="22">
        <f t="shared" ref="BS132:BS153" si="117">SUM(BP132:BR132)</f>
        <v>188.08480986379362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5.3205440053716299E-14</v>
      </c>
      <c r="P133" s="13">
        <f t="shared" ref="P133:P196" si="141">EXP(-1.0587+0.8836*LN(O133)+0.284)</f>
        <v>8.602146238565607E-13</v>
      </c>
      <c r="Q133" s="20">
        <f t="shared" si="108"/>
        <v>1.590873277977066E-12</v>
      </c>
      <c r="R133" s="59">
        <f t="shared" si="109"/>
        <v>293.33333333333491</v>
      </c>
      <c r="S133" s="59">
        <f ca="1">AVERAGE(OFFSET($R$3,0,0,'Données projet'!$E$9+1,1))-AVERAGE(OFFSET($H$3,0,0,'Données projet'!$E$9+1,1))</f>
        <v>263.84804661819163</v>
      </c>
      <c r="T133" s="59">
        <f t="shared" ref="T133:T196" si="142">$T$3</f>
        <v>271.81541836379307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112.30265831959581</v>
      </c>
      <c r="AA133" s="21">
        <f>EXP(-LN(2)/25)*AA132+(1-EXP(-LN(2)/25))/(LN(2)/25)*Calculateur!V133*Calculateur!X133*VLOOKUP('Données projet'!$B$9,Paramètres!$A$1:$I$89,3,0)*0.475*44/12</f>
        <v>27.228036551084731</v>
      </c>
      <c r="AB133" s="21">
        <f>EXP(-LN(2)/2)*AB132+(1-EXP(-LN(2)/2))/(LN(2)/2)*V133*Y133*VLOOKUP('Données projet'!$B$9,Paramètres!$A$1:$I$89,3,0)*0.475*44/12</f>
        <v>6.7720797306768388E-3</v>
      </c>
      <c r="AC133" s="22">
        <f t="shared" si="111"/>
        <v>139.53746695041121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270.04187128233121</v>
      </c>
      <c r="AO133" s="59">
        <f t="shared" ref="AO133:AO196" si="144">$AO$3</f>
        <v>183.82555940776064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56.938646408055178</v>
      </c>
      <c r="AV133" s="21">
        <f>EXP(-LN(2)/25)*AV132+(1-EXP(-LN(2)/25))/(LN(2)/25)*Calculateur!AQ133*Calculateur!AS133*VLOOKUP('Données projet'!$B$10,Paramètres!$A$1:$I$89,3,0)*0.475*44/12</f>
        <v>12.936093194574484</v>
      </c>
      <c r="AW133" s="21">
        <f>EXP(-LN(2)/2)*AW132+(1-EXP(-LN(2)/2))/(LN(2)/2)*AQ133*AT133*VLOOKUP('Données projet'!$B$10,Paramètres!$A$1:$I$89,3,0)*0.475*44/12</f>
        <v>2.1075201869371148E-6</v>
      </c>
      <c r="AX133" s="21">
        <f t="shared" si="114"/>
        <v>69.874741710149848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9.5326413429575044E-14</v>
      </c>
      <c r="BF133" s="13">
        <f t="shared" ref="BF133:BF153" si="145">EXP(-1.0587+0.8836*LN(BE133)+0.284)</f>
        <v>1.4400742856080346E-12</v>
      </c>
      <c r="BG133" s="20">
        <f t="shared" si="115"/>
        <v>2.6741562174905032E-12</v>
      </c>
      <c r="BH133" s="59">
        <f t="shared" si="116"/>
        <v>293.33333333333599</v>
      </c>
      <c r="BI133" s="59">
        <f ca="1">AVERAGE(OFFSET($BH$3,0,0,'Données projet'!$E$11+1,1))-AVERAGE(OFFSET($H$3,0,0,'Données projet'!$E$11+1,1))</f>
        <v>293.82673322742102</v>
      </c>
      <c r="BJ133" s="59">
        <f t="shared" ref="BJ133:BJ196" si="146">$BJ$3</f>
        <v>138.78566015867693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139.98756210159175</v>
      </c>
      <c r="BQ133" s="21">
        <f>EXP(-LN(2)/25)*BQ132+(1-EXP(-LN(2)/25))/(LN(2)/25)*Calculateur!BL133*Calculateur!BN133*VLOOKUP('Données projet'!$B$11,Paramètres!$A$1:$I$89,3,0)*0.475*44/12</f>
        <v>41.387773230719311</v>
      </c>
      <c r="BR133" s="21">
        <f>EXP(-LN(2)/2)*BR132+(1-EXP(-LN(2)/2))/(LN(2)/2)*BL133*BO133*VLOOKUP('Données projet'!$B$11,Paramètres!$A$1:$I$89,3,0)*0.475*44/12</f>
        <v>1.941665234495322</v>
      </c>
      <c r="BS133" s="22">
        <f t="shared" si="117"/>
        <v>183.3170005668064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5.3205440053716299E-14</v>
      </c>
      <c r="P134" s="13">
        <f t="shared" si="141"/>
        <v>8.602146238565607E-13</v>
      </c>
      <c r="Q134" s="20">
        <f t="shared" si="108"/>
        <v>1.590873277977066E-12</v>
      </c>
      <c r="R134" s="59">
        <f t="shared" si="109"/>
        <v>293.33333333333491</v>
      </c>
      <c r="S134" s="59">
        <f ca="1">AVERAGE(OFFSET($R$3,0,0,'Données projet'!$E$9+1,1))-AVERAGE(OFFSET($H$3,0,0,'Données projet'!$E$9+1,1))</f>
        <v>263.84804661819163</v>
      </c>
      <c r="T134" s="59">
        <f t="shared" si="142"/>
        <v>271.81541836379307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110.1004716878065</v>
      </c>
      <c r="AA134" s="21">
        <f>EXP(-LN(2)/25)*AA133+(1-EXP(-LN(2)/25))/(LN(2)/25)*Calculateur!V134*Calculateur!X134*VLOOKUP('Données projet'!$B$9,Paramètres!$A$1:$I$89,3,0)*0.475*44/12</f>
        <v>26.483484459735106</v>
      </c>
      <c r="AB134" s="21">
        <f>EXP(-LN(2)/2)*AB133+(1-EXP(-LN(2)/2))/(LN(2)/2)*V134*Y134*VLOOKUP('Données projet'!$B$9,Paramètres!$A$1:$I$89,3,0)*0.475*44/12</f>
        <v>4.7885835002975611E-3</v>
      </c>
      <c r="AC134" s="22">
        <f t="shared" si="111"/>
        <v>136.58874473104191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270.04187128233121</v>
      </c>
      <c r="AO134" s="59">
        <f t="shared" si="144"/>
        <v>183.82555940776064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55.822114281138305</v>
      </c>
      <c r="AV134" s="21">
        <f>EXP(-LN(2)/25)*AV133+(1-EXP(-LN(2)/25))/(LN(2)/25)*Calculateur!AQ134*Calculateur!AS134*VLOOKUP('Données projet'!$B$10,Paramètres!$A$1:$I$89,3,0)*0.475*44/12</f>
        <v>12.582355045889269</v>
      </c>
      <c r="AW134" s="21">
        <f>EXP(-LN(2)/2)*AW133+(1-EXP(-LN(2)/2))/(LN(2)/2)*AQ134*AT134*VLOOKUP('Données projet'!$B$10,Paramètres!$A$1:$I$89,3,0)*0.475*44/12</f>
        <v>1.4902418156707742E-6</v>
      </c>
      <c r="AX134" s="21">
        <f t="shared" si="114"/>
        <v>68.404470817269384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9.5326413429575044E-14</v>
      </c>
      <c r="BF134" s="13">
        <f t="shared" si="145"/>
        <v>1.4400742856080346E-12</v>
      </c>
      <c r="BG134" s="20">
        <f t="shared" si="115"/>
        <v>2.6741562174905032E-12</v>
      </c>
      <c r="BH134" s="59">
        <f t="shared" si="116"/>
        <v>293.33333333333599</v>
      </c>
      <c r="BI134" s="59">
        <f ca="1">AVERAGE(OFFSET($BH$3,0,0,'Données projet'!$E$11+1,1))-AVERAGE(OFFSET($H$3,0,0,'Données projet'!$E$11+1,1))</f>
        <v>293.82673322742102</v>
      </c>
      <c r="BJ134" s="59">
        <f t="shared" si="146"/>
        <v>138.78566015867693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137.24249139276145</v>
      </c>
      <c r="BQ134" s="21">
        <f>EXP(-LN(2)/25)*BQ133+(1-EXP(-LN(2)/25))/(LN(2)/25)*Calculateur!BL134*Calculateur!BN134*VLOOKUP('Données projet'!$B$11,Paramètres!$A$1:$I$89,3,0)*0.475*44/12</f>
        <v>40.25602239523689</v>
      </c>
      <c r="BR134" s="21">
        <f>EXP(-LN(2)/2)*BR133+(1-EXP(-LN(2)/2))/(LN(2)/2)*BL134*BO134*VLOOKUP('Données projet'!$B$11,Paramètres!$A$1:$I$89,3,0)*0.475*44/12</f>
        <v>1.3729646541058103</v>
      </c>
      <c r="BS134" s="22">
        <f t="shared" si="117"/>
        <v>178.87147844210415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5.3205440053716299E-14</v>
      </c>
      <c r="P135" s="13">
        <f t="shared" si="141"/>
        <v>8.602146238565607E-13</v>
      </c>
      <c r="Q135" s="20">
        <f t="shared" si="108"/>
        <v>1.590873277977066E-12</v>
      </c>
      <c r="R135" s="59">
        <f t="shared" si="109"/>
        <v>293.33333333333491</v>
      </c>
      <c r="S135" s="59">
        <f ca="1">AVERAGE(OFFSET($R$3,0,0,'Données projet'!$E$9+1,1))-AVERAGE(OFFSET($H$3,0,0,'Données projet'!$E$9+1,1))</f>
        <v>263.84804661819163</v>
      </c>
      <c r="T135" s="59">
        <f t="shared" si="142"/>
        <v>271.81541836379307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107.94146859266537</v>
      </c>
      <c r="AA135" s="21">
        <f>EXP(-LN(2)/25)*AA134+(1-EXP(-LN(2)/25))/(LN(2)/25)*Calculateur!V135*Calculateur!X135*VLOOKUP('Données projet'!$B$9,Paramètres!$A$1:$I$89,3,0)*0.475*44/12</f>
        <v>25.759292184477729</v>
      </c>
      <c r="AB135" s="21">
        <f>EXP(-LN(2)/2)*AB134+(1-EXP(-LN(2)/2))/(LN(2)/2)*V135*Y135*VLOOKUP('Données projet'!$B$9,Paramètres!$A$1:$I$89,3,0)*0.475*44/12</f>
        <v>3.3860398653384194E-3</v>
      </c>
      <c r="AC135" s="22">
        <f t="shared" si="111"/>
        <v>133.70414681700845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270.04187128233121</v>
      </c>
      <c r="AO135" s="59">
        <f t="shared" si="144"/>
        <v>183.82555940776064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54.727476668212923</v>
      </c>
      <c r="AV135" s="21">
        <f>EXP(-LN(2)/25)*AV134+(1-EXP(-LN(2)/25))/(LN(2)/25)*Calculateur!AQ135*Calculateur!AS135*VLOOKUP('Données projet'!$B$10,Paramètres!$A$1:$I$89,3,0)*0.475*44/12</f>
        <v>12.238289885482132</v>
      </c>
      <c r="AW135" s="21">
        <f>EXP(-LN(2)/2)*AW134+(1-EXP(-LN(2)/2))/(LN(2)/2)*AQ135*AT135*VLOOKUP('Données projet'!$B$10,Paramètres!$A$1:$I$89,3,0)*0.475*44/12</f>
        <v>1.0537600934685574E-6</v>
      </c>
      <c r="AX135" s="21">
        <f t="shared" si="114"/>
        <v>66.965767607455149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9.5326413429575044E-14</v>
      </c>
      <c r="BF135" s="13">
        <f t="shared" si="145"/>
        <v>1.4400742856080346E-12</v>
      </c>
      <c r="BG135" s="20">
        <f t="shared" si="115"/>
        <v>2.6741562174905032E-12</v>
      </c>
      <c r="BH135" s="59">
        <f t="shared" si="116"/>
        <v>293.33333333333599</v>
      </c>
      <c r="BI135" s="59">
        <f ca="1">AVERAGE(OFFSET($BH$3,0,0,'Données projet'!$E$11+1,1))-AVERAGE(OFFSET($H$3,0,0,'Données projet'!$E$11+1,1))</f>
        <v>293.82673322742102</v>
      </c>
      <c r="BJ135" s="59">
        <f t="shared" si="146"/>
        <v>138.78566015867693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134.55124984620352</v>
      </c>
      <c r="BQ135" s="21">
        <f>EXP(-LN(2)/25)*BQ134+(1-EXP(-LN(2)/25))/(LN(2)/25)*Calculateur!BL135*Calculateur!BN135*VLOOKUP('Données projet'!$B$11,Paramètres!$A$1:$I$89,3,0)*0.475*44/12</f>
        <v>39.155219345866925</v>
      </c>
      <c r="BR135" s="21">
        <f>EXP(-LN(2)/2)*BR134+(1-EXP(-LN(2)/2))/(LN(2)/2)*BL135*BO135*VLOOKUP('Données projet'!$B$11,Paramètres!$A$1:$I$89,3,0)*0.475*44/12</f>
        <v>0.97083261724766112</v>
      </c>
      <c r="BS135" s="22">
        <f t="shared" si="117"/>
        <v>174.6773018093181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5.3205440053716299E-14</v>
      </c>
      <c r="P136" s="13">
        <f t="shared" si="141"/>
        <v>8.602146238565607E-13</v>
      </c>
      <c r="Q136" s="20">
        <f t="shared" si="108"/>
        <v>1.590873277977066E-12</v>
      </c>
      <c r="R136" s="59">
        <f t="shared" si="109"/>
        <v>293.33333333333491</v>
      </c>
      <c r="S136" s="59">
        <f ca="1">AVERAGE(OFFSET($R$3,0,0,'Données projet'!$E$9+1,1))-AVERAGE(OFFSET($H$3,0,0,'Données projet'!$E$9+1,1))</f>
        <v>263.84804661819163</v>
      </c>
      <c r="T136" s="59">
        <f t="shared" si="142"/>
        <v>271.81541836379307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105.82480223135811</v>
      </c>
      <c r="AA136" s="21">
        <f>EXP(-LN(2)/25)*AA135+(1-EXP(-LN(2)/25))/(LN(2)/25)*Calculateur!V136*Calculateur!X136*VLOOKUP('Données projet'!$B$9,Paramètres!$A$1:$I$89,3,0)*0.475*44/12</f>
        <v>25.054902985070882</v>
      </c>
      <c r="AB136" s="21">
        <f>EXP(-LN(2)/2)*AB135+(1-EXP(-LN(2)/2))/(LN(2)/2)*V136*Y136*VLOOKUP('Données projet'!$B$9,Paramètres!$A$1:$I$89,3,0)*0.475*44/12</f>
        <v>2.3942917501487805E-3</v>
      </c>
      <c r="AC136" s="22">
        <f t="shared" si="111"/>
        <v>130.88209950817912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270.04187128233121</v>
      </c>
      <c r="AO136" s="59">
        <f t="shared" si="144"/>
        <v>183.82555940776064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53.654304231213985</v>
      </c>
      <c r="AV136" s="21">
        <f>EXP(-LN(2)/25)*AV135+(1-EXP(-LN(2)/25))/(LN(2)/25)*Calculateur!AQ136*Calculateur!AS136*VLOOKUP('Données projet'!$B$10,Paramètres!$A$1:$I$89,3,0)*0.475*44/12</f>
        <v>11.903633204979929</v>
      </c>
      <c r="AW136" s="21">
        <f>EXP(-LN(2)/2)*AW135+(1-EXP(-LN(2)/2))/(LN(2)/2)*AQ136*AT136*VLOOKUP('Données projet'!$B$10,Paramètres!$A$1:$I$89,3,0)*0.475*44/12</f>
        <v>7.4512090783538709E-7</v>
      </c>
      <c r="AX136" s="21">
        <f t="shared" si="114"/>
        <v>65.557938181314825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9.5326413429575044E-14</v>
      </c>
      <c r="BF136" s="13">
        <f t="shared" si="145"/>
        <v>1.4400742856080346E-12</v>
      </c>
      <c r="BG136" s="20">
        <f t="shared" si="115"/>
        <v>2.6741562174905032E-12</v>
      </c>
      <c r="BH136" s="59">
        <f t="shared" si="116"/>
        <v>293.33333333333599</v>
      </c>
      <c r="BI136" s="59">
        <f ca="1">AVERAGE(OFFSET($BH$3,0,0,'Données projet'!$E$11+1,1))-AVERAGE(OFFSET($H$3,0,0,'Données projet'!$E$11+1,1))</f>
        <v>293.82673322742102</v>
      </c>
      <c r="BJ136" s="59">
        <f t="shared" si="146"/>
        <v>138.78566015867693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131.91278190487833</v>
      </c>
      <c r="BQ136" s="21">
        <f>EXP(-LN(2)/25)*BQ135+(1-EXP(-LN(2)/25))/(LN(2)/25)*Calculateur!BL136*Calculateur!BN136*VLOOKUP('Données projet'!$B$11,Paramètres!$A$1:$I$89,3,0)*0.475*44/12</f>
        <v>38.084517813770702</v>
      </c>
      <c r="BR136" s="21">
        <f>EXP(-LN(2)/2)*BR135+(1-EXP(-LN(2)/2))/(LN(2)/2)*BL136*BO136*VLOOKUP('Données projet'!$B$11,Paramètres!$A$1:$I$89,3,0)*0.475*44/12</f>
        <v>0.68648232705290524</v>
      </c>
      <c r="BS136" s="22">
        <f t="shared" si="117"/>
        <v>170.68378204570195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5.3205440053716299E-14</v>
      </c>
      <c r="P137" s="13">
        <f t="shared" si="141"/>
        <v>8.602146238565607E-13</v>
      </c>
      <c r="Q137" s="20">
        <f t="shared" si="108"/>
        <v>1.590873277977066E-12</v>
      </c>
      <c r="R137" s="59">
        <f t="shared" si="109"/>
        <v>293.33333333333491</v>
      </c>
      <c r="S137" s="59">
        <f ca="1">AVERAGE(OFFSET($R$3,0,0,'Données projet'!$E$9+1,1))-AVERAGE(OFFSET($H$3,0,0,'Données projet'!$E$9+1,1))</f>
        <v>263.84804661819163</v>
      </c>
      <c r="T137" s="59">
        <f t="shared" si="142"/>
        <v>271.81541836379307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103.74964240635707</v>
      </c>
      <c r="AA137" s="21">
        <f>EXP(-LN(2)/25)*AA136+(1-EXP(-LN(2)/25))/(LN(2)/25)*Calculateur!V137*Calculateur!X137*VLOOKUP('Données projet'!$B$9,Paramètres!$A$1:$I$89,3,0)*0.475*44/12</f>
        <v>24.369775345364033</v>
      </c>
      <c r="AB137" s="21">
        <f>EXP(-LN(2)/2)*AB136+(1-EXP(-LN(2)/2))/(LN(2)/2)*V137*Y137*VLOOKUP('Données projet'!$B$9,Paramètres!$A$1:$I$89,3,0)*0.475*44/12</f>
        <v>1.6930199326692097E-3</v>
      </c>
      <c r="AC137" s="22">
        <f t="shared" si="111"/>
        <v>128.12111077165378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270.04187128233121</v>
      </c>
      <c r="AO137" s="59">
        <f t="shared" si="144"/>
        <v>183.82555940776064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52.602176051134045</v>
      </c>
      <c r="AV137" s="21">
        <f>EXP(-LN(2)/25)*AV136+(1-EXP(-LN(2)/25))/(LN(2)/25)*Calculateur!AQ137*Calculateur!AS137*VLOOKUP('Données projet'!$B$10,Paramètres!$A$1:$I$89,3,0)*0.475*44/12</f>
        <v>11.578127729004889</v>
      </c>
      <c r="AW137" s="21">
        <f>EXP(-LN(2)/2)*AW136+(1-EXP(-LN(2)/2))/(LN(2)/2)*AQ137*AT137*VLOOKUP('Données projet'!$B$10,Paramètres!$A$1:$I$89,3,0)*0.475*44/12</f>
        <v>5.268800467342787E-7</v>
      </c>
      <c r="AX137" s="21">
        <f t="shared" si="114"/>
        <v>64.180304307018972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9.5326413429575044E-14</v>
      </c>
      <c r="BF137" s="13">
        <f t="shared" si="145"/>
        <v>1.4400742856080346E-12</v>
      </c>
      <c r="BG137" s="20">
        <f t="shared" si="115"/>
        <v>2.6741562174905032E-12</v>
      </c>
      <c r="BH137" s="59">
        <f t="shared" si="116"/>
        <v>293.33333333333599</v>
      </c>
      <c r="BI137" s="59">
        <f ca="1">AVERAGE(OFFSET($BH$3,0,0,'Données projet'!$E$11+1,1))-AVERAGE(OFFSET($H$3,0,0,'Données projet'!$E$11+1,1))</f>
        <v>293.82673322742102</v>
      </c>
      <c r="BJ137" s="59">
        <f t="shared" si="146"/>
        <v>138.78566015867693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129.32605271057596</v>
      </c>
      <c r="BQ137" s="21">
        <f>EXP(-LN(2)/25)*BQ136+(1-EXP(-LN(2)/25))/(LN(2)/25)*Calculateur!BL137*Calculateur!BN137*VLOOKUP('Données projet'!$B$11,Paramètres!$A$1:$I$89,3,0)*0.475*44/12</f>
        <v>37.043094671375393</v>
      </c>
      <c r="BR137" s="21">
        <f>EXP(-LN(2)/2)*BR136+(1-EXP(-LN(2)/2))/(LN(2)/2)*BL137*BO137*VLOOKUP('Données projet'!$B$11,Paramètres!$A$1:$I$89,3,0)*0.475*44/12</f>
        <v>0.48541630862383067</v>
      </c>
      <c r="BS137" s="22">
        <f t="shared" si="117"/>
        <v>166.85456369057519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5.3205440053716299E-14</v>
      </c>
      <c r="P138" s="13">
        <f t="shared" si="141"/>
        <v>8.602146238565607E-13</v>
      </c>
      <c r="Q138" s="20">
        <f t="shared" si="108"/>
        <v>1.590873277977066E-12</v>
      </c>
      <c r="R138" s="59">
        <f t="shared" si="109"/>
        <v>293.33333333333491</v>
      </c>
      <c r="S138" s="59">
        <f ca="1">AVERAGE(OFFSET($R$3,0,0,'Données projet'!$E$9+1,1))-AVERAGE(OFFSET($H$3,0,0,'Données projet'!$E$9+1,1))</f>
        <v>263.84804661819163</v>
      </c>
      <c r="T138" s="59">
        <f t="shared" si="142"/>
        <v>271.81541836379307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101.71517519980179</v>
      </c>
      <c r="AA138" s="21">
        <f>EXP(-LN(2)/25)*AA137+(1-EXP(-LN(2)/25))/(LN(2)/25)*Calculateur!V138*Calculateur!X138*VLOOKUP('Données projet'!$B$9,Paramètres!$A$1:$I$89,3,0)*0.475*44/12</f>
        <v>23.703382556994267</v>
      </c>
      <c r="AB138" s="21">
        <f>EXP(-LN(2)/2)*AB137+(1-EXP(-LN(2)/2))/(LN(2)/2)*V138*Y138*VLOOKUP('Données projet'!$B$9,Paramètres!$A$1:$I$89,3,0)*0.475*44/12</f>
        <v>1.1971458750743903E-3</v>
      </c>
      <c r="AC138" s="22">
        <f t="shared" si="111"/>
        <v>125.41975490267113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270.04187128233121</v>
      </c>
      <c r="AO138" s="59">
        <f t="shared" si="144"/>
        <v>183.82555940776064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51.570679462930649</v>
      </c>
      <c r="AV138" s="21">
        <f>EXP(-LN(2)/25)*AV137+(1-EXP(-LN(2)/25))/(LN(2)/25)*Calculateur!AQ138*Calculateur!AS138*VLOOKUP('Données projet'!$B$10,Paramètres!$A$1:$I$89,3,0)*0.475*44/12</f>
        <v>11.261523217387975</v>
      </c>
      <c r="AW138" s="21">
        <f>EXP(-LN(2)/2)*AW137+(1-EXP(-LN(2)/2))/(LN(2)/2)*AQ138*AT138*VLOOKUP('Données projet'!$B$10,Paramètres!$A$1:$I$89,3,0)*0.475*44/12</f>
        <v>3.7256045391769355E-7</v>
      </c>
      <c r="AX138" s="21">
        <f t="shared" si="114"/>
        <v>62.83220305287908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9.5326413429575044E-14</v>
      </c>
      <c r="BF138" s="13">
        <f t="shared" si="145"/>
        <v>1.4400742856080346E-12</v>
      </c>
      <c r="BG138" s="20">
        <f t="shared" si="115"/>
        <v>2.6741562174905032E-12</v>
      </c>
      <c r="BH138" s="59">
        <f t="shared" si="116"/>
        <v>293.33333333333599</v>
      </c>
      <c r="BI138" s="59">
        <f ca="1">AVERAGE(OFFSET($BH$3,0,0,'Données projet'!$E$11+1,1))-AVERAGE(OFFSET($H$3,0,0,'Données projet'!$E$11+1,1))</f>
        <v>293.82673322742102</v>
      </c>
      <c r="BJ138" s="59">
        <f t="shared" si="146"/>
        <v>138.78566015867693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126.79004769802486</v>
      </c>
      <c r="BQ138" s="21">
        <f>EXP(-LN(2)/25)*BQ137+(1-EXP(-LN(2)/25))/(LN(2)/25)*Calculateur!BL138*Calculateur!BN138*VLOOKUP('Données projet'!$B$11,Paramètres!$A$1:$I$89,3,0)*0.475*44/12</f>
        <v>36.030149299574944</v>
      </c>
      <c r="BR138" s="21">
        <f>EXP(-LN(2)/2)*BR137+(1-EXP(-LN(2)/2))/(LN(2)/2)*BL138*BO138*VLOOKUP('Données projet'!$B$11,Paramètres!$A$1:$I$89,3,0)*0.475*44/12</f>
        <v>0.34324116352645268</v>
      </c>
      <c r="BS138" s="22">
        <f t="shared" si="117"/>
        <v>163.16343816112624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5.3205440053716299E-14</v>
      </c>
      <c r="P139" s="13">
        <f t="shared" si="141"/>
        <v>8.602146238565607E-13</v>
      </c>
      <c r="Q139" s="20">
        <f t="shared" si="108"/>
        <v>1.590873277977066E-12</v>
      </c>
      <c r="R139" s="59">
        <f t="shared" si="109"/>
        <v>293.33333333333491</v>
      </c>
      <c r="S139" s="59">
        <f ca="1">AVERAGE(OFFSET($R$3,0,0,'Données projet'!$E$9+1,1))-AVERAGE(OFFSET($H$3,0,0,'Données projet'!$E$9+1,1))</f>
        <v>263.84804661819163</v>
      </c>
      <c r="T139" s="59">
        <f t="shared" si="142"/>
        <v>271.81541836379307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99.720602654264596</v>
      </c>
      <c r="AA139" s="21">
        <f>EXP(-LN(2)/25)*AA138+(1-EXP(-LN(2)/25))/(LN(2)/25)*Calculateur!V139*Calculateur!X139*VLOOKUP('Données projet'!$B$9,Paramètres!$A$1:$I$89,3,0)*0.475*44/12</f>
        <v>23.055212314466544</v>
      </c>
      <c r="AB139" s="21">
        <f>EXP(-LN(2)/2)*AB138+(1-EXP(-LN(2)/2))/(LN(2)/2)*V139*Y139*VLOOKUP('Données projet'!$B$9,Paramètres!$A$1:$I$89,3,0)*0.475*44/12</f>
        <v>8.4650996633460485E-4</v>
      </c>
      <c r="AC139" s="22">
        <f t="shared" si="111"/>
        <v>122.77666147869748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270.04187128233121</v>
      </c>
      <c r="AO139" s="59">
        <f t="shared" si="144"/>
        <v>183.82555940776064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50.559409893671123</v>
      </c>
      <c r="AV139" s="21">
        <f>EXP(-LN(2)/25)*AV138+(1-EXP(-LN(2)/25))/(LN(2)/25)*Calculateur!AQ139*Calculateur!AS139*VLOOKUP('Données projet'!$B$10,Paramètres!$A$1:$I$89,3,0)*0.475*44/12</f>
        <v>10.953576272790732</v>
      </c>
      <c r="AW139" s="21">
        <f>EXP(-LN(2)/2)*AW138+(1-EXP(-LN(2)/2))/(LN(2)/2)*AQ139*AT139*VLOOKUP('Données projet'!$B$10,Paramètres!$A$1:$I$89,3,0)*0.475*44/12</f>
        <v>2.6344002336713935E-7</v>
      </c>
      <c r="AX139" s="21">
        <f t="shared" si="114"/>
        <v>61.512986429901879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9.5326413429575044E-14</v>
      </c>
      <c r="BF139" s="13">
        <f t="shared" si="145"/>
        <v>1.4400742856080346E-12</v>
      </c>
      <c r="BG139" s="20">
        <f t="shared" si="115"/>
        <v>2.6741562174905032E-12</v>
      </c>
      <c r="BH139" s="59">
        <f t="shared" si="116"/>
        <v>293.33333333333599</v>
      </c>
      <c r="BI139" s="59">
        <f ca="1">AVERAGE(OFFSET($BH$3,0,0,'Données projet'!$E$11+1,1))-AVERAGE(OFFSET($H$3,0,0,'Données projet'!$E$11+1,1))</f>
        <v>293.82673322742102</v>
      </c>
      <c r="BJ139" s="59">
        <f t="shared" si="146"/>
        <v>138.78566015867693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124.30377219695957</v>
      </c>
      <c r="BQ139" s="21">
        <f>EXP(-LN(2)/25)*BQ138+(1-EXP(-LN(2)/25))/(LN(2)/25)*Calculateur!BL139*Calculateur!BN139*VLOOKUP('Données projet'!$B$11,Paramètres!$A$1:$I$89,3,0)*0.475*44/12</f>
        <v>35.044902972234866</v>
      </c>
      <c r="BR139" s="21">
        <f>EXP(-LN(2)/2)*BR138+(1-EXP(-LN(2)/2))/(LN(2)/2)*BL139*BO139*VLOOKUP('Données projet'!$B$11,Paramètres!$A$1:$I$89,3,0)*0.475*44/12</f>
        <v>0.24270815431191536</v>
      </c>
      <c r="BS139" s="22">
        <f t="shared" si="117"/>
        <v>159.59138332350636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5.3205440053716299E-14</v>
      </c>
      <c r="P140" s="13">
        <f t="shared" si="141"/>
        <v>8.602146238565607E-13</v>
      </c>
      <c r="Q140" s="20">
        <f t="shared" si="108"/>
        <v>1.590873277977066E-12</v>
      </c>
      <c r="R140" s="59">
        <f t="shared" si="109"/>
        <v>293.33333333333491</v>
      </c>
      <c r="S140" s="59">
        <f ca="1">AVERAGE(OFFSET($R$3,0,0,'Données projet'!$E$9+1,1))-AVERAGE(OFFSET($H$3,0,0,'Données projet'!$E$9+1,1))</f>
        <v>263.84804661819163</v>
      </c>
      <c r="T140" s="59">
        <f t="shared" si="142"/>
        <v>271.81541836379307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97.765142459776257</v>
      </c>
      <c r="AA140" s="21">
        <f>EXP(-LN(2)/25)*AA139+(1-EXP(-LN(2)/25))/(LN(2)/25)*Calculateur!V140*Calculateur!X140*VLOOKUP('Données projet'!$B$9,Paramètres!$A$1:$I$89,3,0)*0.475*44/12</f>
        <v>22.424766321306535</v>
      </c>
      <c r="AB140" s="21">
        <f>EXP(-LN(2)/2)*AB139+(1-EXP(-LN(2)/2))/(LN(2)/2)*V140*Y140*VLOOKUP('Données projet'!$B$9,Paramètres!$A$1:$I$89,3,0)*0.475*44/12</f>
        <v>5.9857293753719514E-4</v>
      </c>
      <c r="AC140" s="22">
        <f t="shared" si="111"/>
        <v>120.19050735402033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270.04187128233121</v>
      </c>
      <c r="AO140" s="59">
        <f t="shared" si="144"/>
        <v>183.82555940776064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49.567970703851252</v>
      </c>
      <c r="AV140" s="21">
        <f>EXP(-LN(2)/25)*AV139+(1-EXP(-LN(2)/25))/(LN(2)/25)*Calculateur!AQ140*Calculateur!AS140*VLOOKUP('Données projet'!$B$10,Paramètres!$A$1:$I$89,3,0)*0.475*44/12</f>
        <v>10.654050153587729</v>
      </c>
      <c r="AW140" s="21">
        <f>EXP(-LN(2)/2)*AW139+(1-EXP(-LN(2)/2))/(LN(2)/2)*AQ140*AT140*VLOOKUP('Données projet'!$B$10,Paramètres!$A$1:$I$89,3,0)*0.475*44/12</f>
        <v>1.8628022695884677E-7</v>
      </c>
      <c r="AX140" s="21">
        <f t="shared" si="114"/>
        <v>60.222021043719202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9.5326413429575044E-14</v>
      </c>
      <c r="BF140" s="13">
        <f t="shared" si="145"/>
        <v>1.4400742856080346E-12</v>
      </c>
      <c r="BG140" s="20">
        <f t="shared" si="115"/>
        <v>2.6741562174905032E-12</v>
      </c>
      <c r="BH140" s="59">
        <f t="shared" si="116"/>
        <v>293.33333333333599</v>
      </c>
      <c r="BI140" s="59">
        <f ca="1">AVERAGE(OFFSET($BH$3,0,0,'Données projet'!$E$11+1,1))-AVERAGE(OFFSET($H$3,0,0,'Données projet'!$E$11+1,1))</f>
        <v>293.82673322742102</v>
      </c>
      <c r="BJ140" s="59">
        <f t="shared" si="146"/>
        <v>138.78566015867693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121.86625104199184</v>
      </c>
      <c r="BQ140" s="21">
        <f>EXP(-LN(2)/25)*BQ139+(1-EXP(-LN(2)/25))/(LN(2)/25)*Calculateur!BL140*Calculateur!BN140*VLOOKUP('Données projet'!$B$11,Paramètres!$A$1:$I$89,3,0)*0.475*44/12</f>
        <v>34.086598257527754</v>
      </c>
      <c r="BR140" s="21">
        <f>EXP(-LN(2)/2)*BR139+(1-EXP(-LN(2)/2))/(LN(2)/2)*BL140*BO140*VLOOKUP('Données projet'!$B$11,Paramètres!$A$1:$I$89,3,0)*0.475*44/12</f>
        <v>0.17162058176322637</v>
      </c>
      <c r="BS140" s="22">
        <f t="shared" si="117"/>
        <v>156.12446988128281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5.3205440053716299E-14</v>
      </c>
      <c r="P141" s="13">
        <f t="shared" si="141"/>
        <v>8.602146238565607E-13</v>
      </c>
      <c r="Q141" s="20">
        <f t="shared" si="108"/>
        <v>1.590873277977066E-12</v>
      </c>
      <c r="R141" s="59">
        <f t="shared" si="109"/>
        <v>293.33333333333491</v>
      </c>
      <c r="S141" s="59">
        <f ca="1">AVERAGE(OFFSET($R$3,0,0,'Données projet'!$E$9+1,1))-AVERAGE(OFFSET($H$3,0,0,'Données projet'!$E$9+1,1))</f>
        <v>263.84804661819163</v>
      </c>
      <c r="T141" s="59">
        <f t="shared" si="142"/>
        <v>271.81541836379307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95.848027646988882</v>
      </c>
      <c r="AA141" s="21">
        <f>EXP(-LN(2)/25)*AA140+(1-EXP(-LN(2)/25))/(LN(2)/25)*Calculateur!V141*Calculateur!X141*VLOOKUP('Données projet'!$B$9,Paramètres!$A$1:$I$89,3,0)*0.475*44/12</f>
        <v>21.811559906983199</v>
      </c>
      <c r="AB141" s="21">
        <f>EXP(-LN(2)/2)*AB140+(1-EXP(-LN(2)/2))/(LN(2)/2)*V141*Y141*VLOOKUP('Données projet'!$B$9,Paramètres!$A$1:$I$89,3,0)*0.475*44/12</f>
        <v>4.2325498316730242E-4</v>
      </c>
      <c r="AC141" s="22">
        <f t="shared" si="111"/>
        <v>117.66001080895524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270.04187128233121</v>
      </c>
      <c r="AO141" s="59">
        <f t="shared" si="144"/>
        <v>183.82555940776064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48.595973031825551</v>
      </c>
      <c r="AV141" s="21">
        <f>EXP(-LN(2)/25)*AV140+(1-EXP(-LN(2)/25))/(LN(2)/25)*Calculateur!AQ141*Calculateur!AS141*VLOOKUP('Données projet'!$B$10,Paramètres!$A$1:$I$89,3,0)*0.475*44/12</f>
        <v>10.362714591865725</v>
      </c>
      <c r="AW141" s="21">
        <f>EXP(-LN(2)/2)*AW140+(1-EXP(-LN(2)/2))/(LN(2)/2)*AQ141*AT141*VLOOKUP('Données projet'!$B$10,Paramètres!$A$1:$I$89,3,0)*0.475*44/12</f>
        <v>1.3172001168356967E-7</v>
      </c>
      <c r="AX141" s="21">
        <f t="shared" si="114"/>
        <v>58.95868775541129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9.5326413429575044E-14</v>
      </c>
      <c r="BF141" s="13">
        <f t="shared" si="145"/>
        <v>1.4400742856080346E-12</v>
      </c>
      <c r="BG141" s="20">
        <f t="shared" si="115"/>
        <v>2.6741562174905032E-12</v>
      </c>
      <c r="BH141" s="59">
        <f t="shared" si="116"/>
        <v>293.33333333333599</v>
      </c>
      <c r="BI141" s="59">
        <f ca="1">AVERAGE(OFFSET($BH$3,0,0,'Données projet'!$E$11+1,1))-AVERAGE(OFFSET($H$3,0,0,'Données projet'!$E$11+1,1))</f>
        <v>293.82673322742102</v>
      </c>
      <c r="BJ141" s="59">
        <f t="shared" si="146"/>
        <v>138.78566015867693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119.47652819013193</v>
      </c>
      <c r="BQ141" s="21">
        <f>EXP(-LN(2)/25)*BQ140+(1-EXP(-LN(2)/25))/(LN(2)/25)*Calculateur!BL141*Calculateur!BN141*VLOOKUP('Données projet'!$B$11,Paramètres!$A$1:$I$89,3,0)*0.475*44/12</f>
        <v>33.154498435639361</v>
      </c>
      <c r="BR141" s="21">
        <f>EXP(-LN(2)/2)*BR140+(1-EXP(-LN(2)/2))/(LN(2)/2)*BL141*BO141*VLOOKUP('Données projet'!$B$11,Paramètres!$A$1:$I$89,3,0)*0.475*44/12</f>
        <v>0.1213540771559577</v>
      </c>
      <c r="BS141" s="22">
        <f t="shared" si="117"/>
        <v>152.75238070292724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5.3205440053716299E-14</v>
      </c>
      <c r="P142" s="13">
        <f t="shared" si="141"/>
        <v>8.602146238565607E-13</v>
      </c>
      <c r="Q142" s="20">
        <f t="shared" si="108"/>
        <v>1.590873277977066E-12</v>
      </c>
      <c r="R142" s="59">
        <f t="shared" si="109"/>
        <v>293.33333333333491</v>
      </c>
      <c r="S142" s="59">
        <f ca="1">AVERAGE(OFFSET($R$3,0,0,'Données projet'!$E$9+1,1))-AVERAGE(OFFSET($H$3,0,0,'Données projet'!$E$9+1,1))</f>
        <v>263.84804661819163</v>
      </c>
      <c r="T142" s="59">
        <f t="shared" si="142"/>
        <v>271.81541836379307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93.968506286355705</v>
      </c>
      <c r="AA142" s="21">
        <f>EXP(-LN(2)/25)*AA141+(1-EXP(-LN(2)/25))/(LN(2)/25)*Calculateur!V142*Calculateur!X142*VLOOKUP('Données projet'!$B$9,Paramètres!$A$1:$I$89,3,0)*0.475*44/12</f>
        <v>21.21512165430666</v>
      </c>
      <c r="AB142" s="21">
        <f>EXP(-LN(2)/2)*AB141+(1-EXP(-LN(2)/2))/(LN(2)/2)*V142*Y142*VLOOKUP('Données projet'!$B$9,Paramètres!$A$1:$I$89,3,0)*0.475*44/12</f>
        <v>2.9928646876859757E-4</v>
      </c>
      <c r="AC142" s="22">
        <f t="shared" si="111"/>
        <v>115.18392722713114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270.04187128233121</v>
      </c>
      <c r="AO142" s="59">
        <f t="shared" si="144"/>
        <v>183.82555940776064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47.643035641288236</v>
      </c>
      <c r="AV142" s="21">
        <f>EXP(-LN(2)/25)*AV141+(1-EXP(-LN(2)/25))/(LN(2)/25)*Calculateur!AQ142*Calculateur!AS142*VLOOKUP('Données projet'!$B$10,Paramètres!$A$1:$I$89,3,0)*0.475*44/12</f>
        <v>10.07934561639968</v>
      </c>
      <c r="AW142" s="21">
        <f>EXP(-LN(2)/2)*AW141+(1-EXP(-LN(2)/2))/(LN(2)/2)*AQ142*AT142*VLOOKUP('Données projet'!$B$10,Paramètres!$A$1:$I$89,3,0)*0.475*44/12</f>
        <v>9.3140113479423386E-8</v>
      </c>
      <c r="AX142" s="21">
        <f t="shared" si="114"/>
        <v>57.72238135082803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9.5326413429575044E-14</v>
      </c>
      <c r="BF142" s="13">
        <f t="shared" si="145"/>
        <v>1.4400742856080346E-12</v>
      </c>
      <c r="BG142" s="20">
        <f t="shared" si="115"/>
        <v>2.6741562174905032E-12</v>
      </c>
      <c r="BH142" s="59">
        <f t="shared" si="116"/>
        <v>293.33333333333599</v>
      </c>
      <c r="BI142" s="59">
        <f ca="1">AVERAGE(OFFSET($BH$3,0,0,'Données projet'!$E$11+1,1))-AVERAGE(OFFSET($H$3,0,0,'Données projet'!$E$11+1,1))</f>
        <v>293.82673322742102</v>
      </c>
      <c r="BJ142" s="59">
        <f t="shared" si="146"/>
        <v>138.78566015867693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117.13366634580998</v>
      </c>
      <c r="BQ142" s="21">
        <f>EXP(-LN(2)/25)*BQ141+(1-EXP(-LN(2)/25))/(LN(2)/25)*Calculateur!BL142*Calculateur!BN142*VLOOKUP('Données projet'!$B$11,Paramètres!$A$1:$I$89,3,0)*0.475*44/12</f>
        <v>32.247886932397506</v>
      </c>
      <c r="BR142" s="21">
        <f>EXP(-LN(2)/2)*BR141+(1-EXP(-LN(2)/2))/(LN(2)/2)*BL142*BO142*VLOOKUP('Données projet'!$B$11,Paramètres!$A$1:$I$89,3,0)*0.475*44/12</f>
        <v>8.5810290881613197E-2</v>
      </c>
      <c r="BS142" s="22">
        <f t="shared" si="117"/>
        <v>149.46736356908912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5.3205440053716299E-14</v>
      </c>
      <c r="P143" s="13">
        <f t="shared" si="141"/>
        <v>8.602146238565607E-13</v>
      </c>
      <c r="Q143" s="20">
        <f t="shared" si="108"/>
        <v>1.590873277977066E-12</v>
      </c>
      <c r="R143" s="59">
        <f t="shared" si="109"/>
        <v>293.33333333333491</v>
      </c>
      <c r="S143" s="59">
        <f ca="1">AVERAGE(OFFSET($R$3,0,0,'Données projet'!$E$9+1,1))-AVERAGE(OFFSET($H$3,0,0,'Données projet'!$E$9+1,1))</f>
        <v>263.84804661819163</v>
      </c>
      <c r="T143" s="59">
        <f t="shared" si="142"/>
        <v>271.81541836379307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92.125841193209709</v>
      </c>
      <c r="AA143" s="21">
        <f>EXP(-LN(2)/25)*AA142+(1-EXP(-LN(2)/25))/(LN(2)/25)*Calculateur!V143*Calculateur!X143*VLOOKUP('Données projet'!$B$9,Paramètres!$A$1:$I$89,3,0)*0.475*44/12</f>
        <v>20.634993037014883</v>
      </c>
      <c r="AB143" s="21">
        <f>EXP(-LN(2)/2)*AB142+(1-EXP(-LN(2)/2))/(LN(2)/2)*V143*Y143*VLOOKUP('Données projet'!$B$9,Paramètres!$A$1:$I$89,3,0)*0.475*44/12</f>
        <v>2.1162749158365121E-4</v>
      </c>
      <c r="AC143" s="22">
        <f t="shared" si="111"/>
        <v>112.76104585771617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270.04187128233121</v>
      </c>
      <c r="AO143" s="59">
        <f t="shared" si="144"/>
        <v>183.82555940776064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46.708784771744938</v>
      </c>
      <c r="AV143" s="21">
        <f>EXP(-LN(2)/25)*AV142+(1-EXP(-LN(2)/25))/(LN(2)/25)*Calculateur!AQ143*Calculateur!AS143*VLOOKUP('Données projet'!$B$10,Paramètres!$A$1:$I$89,3,0)*0.475*44/12</f>
        <v>9.8037253804694817</v>
      </c>
      <c r="AW143" s="21">
        <f>EXP(-LN(2)/2)*AW142+(1-EXP(-LN(2)/2))/(LN(2)/2)*AQ143*AT143*VLOOKUP('Données projet'!$B$10,Paramètres!$A$1:$I$89,3,0)*0.475*44/12</f>
        <v>6.5860005841784837E-8</v>
      </c>
      <c r="AX143" s="21">
        <f t="shared" si="114"/>
        <v>56.512510218074425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9.5326413429575044E-14</v>
      </c>
      <c r="BF143" s="13">
        <f t="shared" si="145"/>
        <v>1.4400742856080346E-12</v>
      </c>
      <c r="BG143" s="20">
        <f t="shared" si="115"/>
        <v>2.6741562174905032E-12</v>
      </c>
      <c r="BH143" s="59">
        <f t="shared" si="116"/>
        <v>293.33333333333599</v>
      </c>
      <c r="BI143" s="59">
        <f ca="1">AVERAGE(OFFSET($BH$3,0,0,'Données projet'!$E$11+1,1))-AVERAGE(OFFSET($H$3,0,0,'Données projet'!$E$11+1,1))</f>
        <v>293.82673322742102</v>
      </c>
      <c r="BJ143" s="59">
        <f t="shared" si="146"/>
        <v>138.78566015867693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114.83674659325057</v>
      </c>
      <c r="BQ143" s="21">
        <f>EXP(-LN(2)/25)*BQ142+(1-EXP(-LN(2)/25))/(LN(2)/25)*Calculateur!BL143*Calculateur!BN143*VLOOKUP('Données projet'!$B$11,Paramètres!$A$1:$I$89,3,0)*0.475*44/12</f>
        <v>31.366066768388425</v>
      </c>
      <c r="BR143" s="21">
        <f>EXP(-LN(2)/2)*BR142+(1-EXP(-LN(2)/2))/(LN(2)/2)*BL143*BO143*VLOOKUP('Données projet'!$B$11,Paramètres!$A$1:$I$89,3,0)*0.475*44/12</f>
        <v>6.0677038577978862E-2</v>
      </c>
      <c r="BS143" s="22">
        <f t="shared" si="117"/>
        <v>146.26349040021697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5.3205440053716299E-14</v>
      </c>
      <c r="P144" s="13">
        <f t="shared" si="141"/>
        <v>8.602146238565607E-13</v>
      </c>
      <c r="Q144" s="20">
        <f t="shared" si="108"/>
        <v>1.590873277977066E-12</v>
      </c>
      <c r="R144" s="59">
        <f t="shared" si="109"/>
        <v>293.33333333333491</v>
      </c>
      <c r="S144" s="59">
        <f ca="1">AVERAGE(OFFSET($R$3,0,0,'Données projet'!$E$9+1,1))-AVERAGE(OFFSET($H$3,0,0,'Données projet'!$E$9+1,1))</f>
        <v>263.84804661819163</v>
      </c>
      <c r="T144" s="59">
        <f t="shared" si="142"/>
        <v>271.81541836379307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90.319309638625569</v>
      </c>
      <c r="AA144" s="21">
        <f>EXP(-LN(2)/25)*AA143+(1-EXP(-LN(2)/25))/(LN(2)/25)*Calculateur!V144*Calculateur!X144*VLOOKUP('Données projet'!$B$9,Paramètres!$A$1:$I$89,3,0)*0.475*44/12</f>
        <v>20.07072806727059</v>
      </c>
      <c r="AB144" s="21">
        <f>EXP(-LN(2)/2)*AB143+(1-EXP(-LN(2)/2))/(LN(2)/2)*V144*Y144*VLOOKUP('Données projet'!$B$9,Paramètres!$A$1:$I$89,3,0)*0.475*44/12</f>
        <v>1.4964323438429878E-4</v>
      </c>
      <c r="AC144" s="22">
        <f t="shared" si="111"/>
        <v>110.39018734913054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270.04187128233121</v>
      </c>
      <c r="AO144" s="59">
        <f t="shared" si="144"/>
        <v>183.82555940776064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45.792853991916623</v>
      </c>
      <c r="AV144" s="21">
        <f>EXP(-LN(2)/25)*AV143+(1-EXP(-LN(2)/25))/(LN(2)/25)*Calculateur!AQ144*Calculateur!AS144*VLOOKUP('Données projet'!$B$10,Paramètres!$A$1:$I$89,3,0)*0.475*44/12</f>
        <v>9.535641994385033</v>
      </c>
      <c r="AW144" s="21">
        <f>EXP(-LN(2)/2)*AW143+(1-EXP(-LN(2)/2))/(LN(2)/2)*AQ144*AT144*VLOOKUP('Données projet'!$B$10,Paramètres!$A$1:$I$89,3,0)*0.475*44/12</f>
        <v>4.6570056739711693E-8</v>
      </c>
      <c r="AX144" s="21">
        <f t="shared" si="114"/>
        <v>55.328496032871712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9.5326413429575044E-14</v>
      </c>
      <c r="BF144" s="13">
        <f t="shared" si="145"/>
        <v>1.4400742856080346E-12</v>
      </c>
      <c r="BG144" s="20">
        <f t="shared" si="115"/>
        <v>2.6741562174905032E-12</v>
      </c>
      <c r="BH144" s="59">
        <f t="shared" si="116"/>
        <v>293.33333333333599</v>
      </c>
      <c r="BI144" s="59">
        <f ca="1">AVERAGE(OFFSET($BH$3,0,0,'Données projet'!$E$11+1,1))-AVERAGE(OFFSET($H$3,0,0,'Données projet'!$E$11+1,1))</f>
        <v>293.82673322742102</v>
      </c>
      <c r="BJ144" s="59">
        <f t="shared" si="146"/>
        <v>138.78566015867693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112.58486803605612</v>
      </c>
      <c r="BQ144" s="21">
        <f>EXP(-LN(2)/25)*BQ143+(1-EXP(-LN(2)/25))/(LN(2)/25)*Calculateur!BL144*Calculateur!BN144*VLOOKUP('Données projet'!$B$11,Paramètres!$A$1:$I$89,3,0)*0.475*44/12</f>
        <v>30.50836002313708</v>
      </c>
      <c r="BR144" s="21">
        <f>EXP(-LN(2)/2)*BR143+(1-EXP(-LN(2)/2))/(LN(2)/2)*BL144*BO144*VLOOKUP('Données projet'!$B$11,Paramètres!$A$1:$I$89,3,0)*0.475*44/12</f>
        <v>4.2905145440806605E-2</v>
      </c>
      <c r="BS144" s="22">
        <f t="shared" si="117"/>
        <v>143.13613320463401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5.3205440053716299E-14</v>
      </c>
      <c r="P145" s="13">
        <f t="shared" si="141"/>
        <v>8.602146238565607E-13</v>
      </c>
      <c r="Q145" s="20">
        <f t="shared" si="108"/>
        <v>1.590873277977066E-12</v>
      </c>
      <c r="R145" s="59">
        <f t="shared" si="109"/>
        <v>293.33333333333491</v>
      </c>
      <c r="S145" s="59">
        <f ca="1">AVERAGE(OFFSET($R$3,0,0,'Données projet'!$E$9+1,1))-AVERAGE(OFFSET($H$3,0,0,'Données projet'!$E$9+1,1))</f>
        <v>263.84804661819163</v>
      </c>
      <c r="T145" s="59">
        <f t="shared" si="142"/>
        <v>271.81541836379307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88.548203065951384</v>
      </c>
      <c r="AA145" s="21">
        <f>EXP(-LN(2)/25)*AA144+(1-EXP(-LN(2)/25))/(LN(2)/25)*Calculateur!V145*Calculateur!X145*VLOOKUP('Données projet'!$B$9,Paramètres!$A$1:$I$89,3,0)*0.475*44/12</f>
        <v>19.521892952797359</v>
      </c>
      <c r="AB145" s="21">
        <f>EXP(-LN(2)/2)*AB144+(1-EXP(-LN(2)/2))/(LN(2)/2)*V145*Y145*VLOOKUP('Données projet'!$B$9,Paramètres!$A$1:$I$89,3,0)*0.475*44/12</f>
        <v>1.0581374579182561E-4</v>
      </c>
      <c r="AC145" s="22">
        <f t="shared" si="111"/>
        <v>108.07020183249453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270.04187128233121</v>
      </c>
      <c r="AO145" s="59">
        <f t="shared" si="144"/>
        <v>183.82555940776064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44.894884056018128</v>
      </c>
      <c r="AV145" s="21">
        <f>EXP(-LN(2)/25)*AV144+(1-EXP(-LN(2)/25))/(LN(2)/25)*Calculateur!AQ145*Calculateur!AS145*VLOOKUP('Données projet'!$B$10,Paramètres!$A$1:$I$89,3,0)*0.475*44/12</f>
        <v>9.2748893625909563</v>
      </c>
      <c r="AW145" s="21">
        <f>EXP(-LN(2)/2)*AW144+(1-EXP(-LN(2)/2))/(LN(2)/2)*AQ145*AT145*VLOOKUP('Données projet'!$B$10,Paramètres!$A$1:$I$89,3,0)*0.475*44/12</f>
        <v>3.2930002920892419E-8</v>
      </c>
      <c r="AX145" s="21">
        <f t="shared" si="114"/>
        <v>54.169773451539086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9.5326413429575044E-14</v>
      </c>
      <c r="BF145" s="13">
        <f t="shared" si="145"/>
        <v>1.4400742856080346E-12</v>
      </c>
      <c r="BG145" s="20">
        <f t="shared" si="115"/>
        <v>2.6741562174905032E-12</v>
      </c>
      <c r="BH145" s="59">
        <f t="shared" si="116"/>
        <v>293.33333333333599</v>
      </c>
      <c r="BI145" s="59">
        <f ca="1">AVERAGE(OFFSET($BH$3,0,0,'Données projet'!$E$11+1,1))-AVERAGE(OFFSET($H$3,0,0,'Données projet'!$E$11+1,1))</f>
        <v>293.82673322742102</v>
      </c>
      <c r="BJ145" s="59">
        <f t="shared" si="146"/>
        <v>138.78566015867693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110.37714744385796</v>
      </c>
      <c r="BQ145" s="21">
        <f>EXP(-LN(2)/25)*BQ144+(1-EXP(-LN(2)/25))/(LN(2)/25)*Calculateur!BL145*Calculateur!BN145*VLOOKUP('Données projet'!$B$11,Paramètres!$A$1:$I$89,3,0)*0.475*44/12</f>
        <v>29.674107313939469</v>
      </c>
      <c r="BR145" s="21">
        <f>EXP(-LN(2)/2)*BR144+(1-EXP(-LN(2)/2))/(LN(2)/2)*BL145*BO145*VLOOKUP('Données projet'!$B$11,Paramètres!$A$1:$I$89,3,0)*0.475*44/12</f>
        <v>3.0338519288989434E-2</v>
      </c>
      <c r="BS145" s="22">
        <f t="shared" si="117"/>
        <v>140.08159327708643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5.3205440053716299E-14</v>
      </c>
      <c r="P146" s="13">
        <f t="shared" si="141"/>
        <v>8.602146238565607E-13</v>
      </c>
      <c r="Q146" s="20">
        <f t="shared" si="108"/>
        <v>1.590873277977066E-12</v>
      </c>
      <c r="R146" s="59">
        <f t="shared" si="109"/>
        <v>293.33333333333491</v>
      </c>
      <c r="S146" s="59">
        <f ca="1">AVERAGE(OFFSET($R$3,0,0,'Données projet'!$E$9+1,1))-AVERAGE(OFFSET($H$3,0,0,'Données projet'!$E$9+1,1))</f>
        <v>263.84804661819163</v>
      </c>
      <c r="T146" s="59">
        <f t="shared" si="142"/>
        <v>271.81541836379307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86.811826812899</v>
      </c>
      <c r="AA146" s="21">
        <f>EXP(-LN(2)/25)*AA145+(1-EXP(-LN(2)/25))/(LN(2)/25)*Calculateur!V146*Calculateur!X146*VLOOKUP('Données projet'!$B$9,Paramètres!$A$1:$I$89,3,0)*0.475*44/12</f>
        <v>18.988065763391383</v>
      </c>
      <c r="AB146" s="21">
        <f>EXP(-LN(2)/2)*AB145+(1-EXP(-LN(2)/2))/(LN(2)/2)*V146*Y146*VLOOKUP('Données projet'!$B$9,Paramètres!$A$1:$I$89,3,0)*0.475*44/12</f>
        <v>7.4821617192149392E-5</v>
      </c>
      <c r="AC146" s="22">
        <f t="shared" si="111"/>
        <v>105.79996739790757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270.04187128233121</v>
      </c>
      <c r="AO146" s="59">
        <f t="shared" si="144"/>
        <v>183.82555940776064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44.014522762855023</v>
      </c>
      <c r="AV146" s="21">
        <f>EXP(-LN(2)/25)*AV145+(1-EXP(-LN(2)/25))/(LN(2)/25)*Calculateur!AQ146*Calculateur!AS146*VLOOKUP('Données projet'!$B$10,Paramètres!$A$1:$I$89,3,0)*0.475*44/12</f>
        <v>9.0212670252256739</v>
      </c>
      <c r="AW146" s="21">
        <f>EXP(-LN(2)/2)*AW145+(1-EXP(-LN(2)/2))/(LN(2)/2)*AQ146*AT146*VLOOKUP('Données projet'!$B$10,Paramètres!$A$1:$I$89,3,0)*0.475*44/12</f>
        <v>2.3285028369855847E-8</v>
      </c>
      <c r="AX146" s="21">
        <f t="shared" si="114"/>
        <v>53.035789811365724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9.5326413429575044E-14</v>
      </c>
      <c r="BF146" s="13">
        <f t="shared" si="145"/>
        <v>1.4400742856080346E-12</v>
      </c>
      <c r="BG146" s="20">
        <f t="shared" si="115"/>
        <v>2.6741562174905032E-12</v>
      </c>
      <c r="BH146" s="59">
        <f t="shared" si="116"/>
        <v>293.33333333333599</v>
      </c>
      <c r="BI146" s="59">
        <f ca="1">AVERAGE(OFFSET($BH$3,0,0,'Données projet'!$E$11+1,1))-AVERAGE(OFFSET($H$3,0,0,'Données projet'!$E$11+1,1))</f>
        <v>293.82673322742102</v>
      </c>
      <c r="BJ146" s="59">
        <f t="shared" si="146"/>
        <v>138.78566015867693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108.21271890589621</v>
      </c>
      <c r="BQ146" s="21">
        <f>EXP(-LN(2)/25)*BQ145+(1-EXP(-LN(2)/25))/(LN(2)/25)*Calculateur!BL146*Calculateur!BN146*VLOOKUP('Données projet'!$B$11,Paramètres!$A$1:$I$89,3,0)*0.475*44/12</f>
        <v>28.862667288946312</v>
      </c>
      <c r="BR146" s="21">
        <f>EXP(-LN(2)/2)*BR145+(1-EXP(-LN(2)/2))/(LN(2)/2)*BL146*BO146*VLOOKUP('Données projet'!$B$11,Paramètres!$A$1:$I$89,3,0)*0.475*44/12</f>
        <v>2.1452572720403306E-2</v>
      </c>
      <c r="BS146" s="22">
        <f t="shared" si="117"/>
        <v>137.0968387675629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5.3205440053716299E-14</v>
      </c>
      <c r="P147" s="13">
        <f t="shared" si="141"/>
        <v>8.602146238565607E-13</v>
      </c>
      <c r="Q147" s="20">
        <f t="shared" si="108"/>
        <v>1.590873277977066E-12</v>
      </c>
      <c r="R147" s="59">
        <f t="shared" si="109"/>
        <v>293.33333333333491</v>
      </c>
      <c r="S147" s="59">
        <f ca="1">AVERAGE(OFFSET($R$3,0,0,'Données projet'!$E$9+1,1))-AVERAGE(OFFSET($H$3,0,0,'Données projet'!$E$9+1,1))</f>
        <v>263.84804661819163</v>
      </c>
      <c r="T147" s="59">
        <f t="shared" si="142"/>
        <v>271.81541836379307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85.109499839084023</v>
      </c>
      <c r="AA147" s="21">
        <f>EXP(-LN(2)/25)*AA146+(1-EXP(-LN(2)/25))/(LN(2)/25)*Calculateur!V147*Calculateur!X147*VLOOKUP('Données projet'!$B$9,Paramètres!$A$1:$I$89,3,0)*0.475*44/12</f>
        <v>18.468836106552466</v>
      </c>
      <c r="AB147" s="21">
        <f>EXP(-LN(2)/2)*AB146+(1-EXP(-LN(2)/2))/(LN(2)/2)*V147*Y147*VLOOKUP('Données projet'!$B$9,Paramètres!$A$1:$I$89,3,0)*0.475*44/12</f>
        <v>5.2906872895912803E-5</v>
      </c>
      <c r="AC147" s="22">
        <f t="shared" si="111"/>
        <v>103.57838885250939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270.04187128233121</v>
      </c>
      <c r="AO147" s="59">
        <f t="shared" si="144"/>
        <v>183.82555940776064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43.151424817683477</v>
      </c>
      <c r="AV147" s="21">
        <f>EXP(-LN(2)/25)*AV146+(1-EXP(-LN(2)/25))/(LN(2)/25)*Calculateur!AQ147*Calculateur!AS147*VLOOKUP('Données projet'!$B$10,Paramètres!$A$1:$I$89,3,0)*0.475*44/12</f>
        <v>8.7745800040130639</v>
      </c>
      <c r="AW147" s="21">
        <f>EXP(-LN(2)/2)*AW146+(1-EXP(-LN(2)/2))/(LN(2)/2)*AQ147*AT147*VLOOKUP('Données projet'!$B$10,Paramètres!$A$1:$I$89,3,0)*0.475*44/12</f>
        <v>1.6465001460446209E-8</v>
      </c>
      <c r="AX147" s="21">
        <f t="shared" si="114"/>
        <v>51.926004838161539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9.5326413429575044E-14</v>
      </c>
      <c r="BF147" s="13">
        <f t="shared" si="145"/>
        <v>1.4400742856080346E-12</v>
      </c>
      <c r="BG147" s="20">
        <f t="shared" si="115"/>
        <v>2.6741562174905032E-12</v>
      </c>
      <c r="BH147" s="59">
        <f t="shared" si="116"/>
        <v>293.33333333333599</v>
      </c>
      <c r="BI147" s="59">
        <f ca="1">AVERAGE(OFFSET($BH$3,0,0,'Données projet'!$E$11+1,1))-AVERAGE(OFFSET($H$3,0,0,'Données projet'!$E$11+1,1))</f>
        <v>293.82673322742102</v>
      </c>
      <c r="BJ147" s="59">
        <f t="shared" si="146"/>
        <v>138.78566015867693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106.09073349139284</v>
      </c>
      <c r="BQ147" s="21">
        <f>EXP(-LN(2)/25)*BQ146+(1-EXP(-LN(2)/25))/(LN(2)/25)*Calculateur!BL147*Calculateur!BN147*VLOOKUP('Données projet'!$B$11,Paramètres!$A$1:$I$89,3,0)*0.475*44/12</f>
        <v>28.073416134108371</v>
      </c>
      <c r="BR147" s="21">
        <f>EXP(-LN(2)/2)*BR146+(1-EXP(-LN(2)/2))/(LN(2)/2)*BL147*BO147*VLOOKUP('Données projet'!$B$11,Paramètres!$A$1:$I$89,3,0)*0.475*44/12</f>
        <v>1.5169259644494721E-2</v>
      </c>
      <c r="BS147" s="22">
        <f t="shared" si="117"/>
        <v>134.1793188851457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5.3205440053716299E-14</v>
      </c>
      <c r="P148" s="13">
        <f t="shared" si="141"/>
        <v>8.602146238565607E-13</v>
      </c>
      <c r="Q148" s="20">
        <f t="shared" si="108"/>
        <v>1.590873277977066E-12</v>
      </c>
      <c r="R148" s="59">
        <f t="shared" si="109"/>
        <v>293.33333333333491</v>
      </c>
      <c r="S148" s="59">
        <f ca="1">AVERAGE(OFFSET($R$3,0,0,'Données projet'!$E$9+1,1))-AVERAGE(OFFSET($H$3,0,0,'Données projet'!$E$9+1,1))</f>
        <v>263.84804661819163</v>
      </c>
      <c r="T148" s="59">
        <f t="shared" si="142"/>
        <v>271.81541836379307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83.440554458908636</v>
      </c>
      <c r="AA148" s="21">
        <f>EXP(-LN(2)/25)*AA147+(1-EXP(-LN(2)/25))/(LN(2)/25)*Calculateur!V148*Calculateur!X148*VLOOKUP('Données projet'!$B$9,Paramètres!$A$1:$I$89,3,0)*0.475*44/12</f>
        <v>17.963804811984907</v>
      </c>
      <c r="AB148" s="21">
        <f>EXP(-LN(2)/2)*AB147+(1-EXP(-LN(2)/2))/(LN(2)/2)*V148*Y148*VLOOKUP('Données projet'!$B$9,Paramètres!$A$1:$I$89,3,0)*0.475*44/12</f>
        <v>3.7410808596074696E-5</v>
      </c>
      <c r="AC148" s="22">
        <f t="shared" si="111"/>
        <v>101.40439668170214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270.04187128233121</v>
      </c>
      <c r="AO148" s="59">
        <f t="shared" si="144"/>
        <v>183.82555940776064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42.305251696778981</v>
      </c>
      <c r="AV148" s="21">
        <f>EXP(-LN(2)/25)*AV147+(1-EXP(-LN(2)/25))/(LN(2)/25)*Calculateur!AQ148*Calculateur!AS148*VLOOKUP('Données projet'!$B$10,Paramètres!$A$1:$I$89,3,0)*0.475*44/12</f>
        <v>8.5346386523682192</v>
      </c>
      <c r="AW148" s="21">
        <f>EXP(-LN(2)/2)*AW147+(1-EXP(-LN(2)/2))/(LN(2)/2)*AQ148*AT148*VLOOKUP('Données projet'!$B$10,Paramètres!$A$1:$I$89,3,0)*0.475*44/12</f>
        <v>1.1642514184927923E-8</v>
      </c>
      <c r="AX148" s="21">
        <f t="shared" si="114"/>
        <v>50.83989036078971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9.5326413429575044E-14</v>
      </c>
      <c r="BF148" s="13">
        <f t="shared" si="145"/>
        <v>1.4400742856080346E-12</v>
      </c>
      <c r="BG148" s="20">
        <f t="shared" si="115"/>
        <v>2.6741562174905032E-12</v>
      </c>
      <c r="BH148" s="59">
        <f t="shared" si="116"/>
        <v>293.33333333333599</v>
      </c>
      <c r="BI148" s="59">
        <f ca="1">AVERAGE(OFFSET($BH$3,0,0,'Données projet'!$E$11+1,1))-AVERAGE(OFFSET($H$3,0,0,'Données projet'!$E$11+1,1))</f>
        <v>293.82673322742102</v>
      </c>
      <c r="BJ148" s="59">
        <f t="shared" si="146"/>
        <v>138.78566015867693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104.01035891658458</v>
      </c>
      <c r="BQ148" s="21">
        <f>EXP(-LN(2)/25)*BQ147+(1-EXP(-LN(2)/25))/(LN(2)/25)*Calculateur!BL148*Calculateur!BN148*VLOOKUP('Données projet'!$B$11,Paramètres!$A$1:$I$89,3,0)*0.475*44/12</f>
        <v>27.305747093604385</v>
      </c>
      <c r="BR148" s="21">
        <f>EXP(-LN(2)/2)*BR147+(1-EXP(-LN(2)/2))/(LN(2)/2)*BL148*BO148*VLOOKUP('Données projet'!$B$11,Paramètres!$A$1:$I$89,3,0)*0.475*44/12</f>
        <v>1.0726286360201655E-2</v>
      </c>
      <c r="BS148" s="22">
        <f t="shared" si="117"/>
        <v>131.32683229654918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5.3205440053716299E-14</v>
      </c>
      <c r="P149" s="13">
        <f t="shared" si="141"/>
        <v>8.602146238565607E-13</v>
      </c>
      <c r="Q149" s="20">
        <f t="shared" si="108"/>
        <v>1.590873277977066E-12</v>
      </c>
      <c r="R149" s="59">
        <f t="shared" si="109"/>
        <v>293.33333333333491</v>
      </c>
      <c r="S149" s="59">
        <f ca="1">AVERAGE(OFFSET($R$3,0,0,'Données projet'!$E$9+1,1))-AVERAGE(OFFSET($H$3,0,0,'Données projet'!$E$9+1,1))</f>
        <v>263.84804661819163</v>
      </c>
      <c r="T149" s="59">
        <f t="shared" si="142"/>
        <v>271.81541836379307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81.804336079682315</v>
      </c>
      <c r="AA149" s="21">
        <f>EXP(-LN(2)/25)*AA148+(1-EXP(-LN(2)/25))/(LN(2)/25)*Calculateur!V149*Calculateur!X149*VLOOKUP('Données projet'!$B$9,Paramètres!$A$1:$I$89,3,0)*0.475*44/12</f>
        <v>17.472583624725743</v>
      </c>
      <c r="AB149" s="21">
        <f>EXP(-LN(2)/2)*AB148+(1-EXP(-LN(2)/2))/(LN(2)/2)*V149*Y149*VLOOKUP('Données projet'!$B$9,Paramètres!$A$1:$I$89,3,0)*0.475*44/12</f>
        <v>2.6453436447956401E-5</v>
      </c>
      <c r="AC149" s="22">
        <f t="shared" si="111"/>
        <v>99.276946157844506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270.04187128233121</v>
      </c>
      <c r="AO149" s="59">
        <f t="shared" si="144"/>
        <v>183.82555940776064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41.475671514660782</v>
      </c>
      <c r="AV149" s="21">
        <f>EXP(-LN(2)/25)*AV148+(1-EXP(-LN(2)/25))/(LN(2)/25)*Calculateur!AQ149*Calculateur!AS149*VLOOKUP('Données projet'!$B$10,Paramètres!$A$1:$I$89,3,0)*0.475*44/12</f>
        <v>8.3012585096020697</v>
      </c>
      <c r="AW149" s="21">
        <f>EXP(-LN(2)/2)*AW148+(1-EXP(-LN(2)/2))/(LN(2)/2)*AQ149*AT149*VLOOKUP('Données projet'!$B$10,Paramètres!$A$1:$I$89,3,0)*0.475*44/12</f>
        <v>8.2325007302231047E-9</v>
      </c>
      <c r="AX149" s="21">
        <f t="shared" si="114"/>
        <v>49.776930032495351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9.5326413429575044E-14</v>
      </c>
      <c r="BF149" s="13">
        <f t="shared" si="145"/>
        <v>1.4400742856080346E-12</v>
      </c>
      <c r="BG149" s="20">
        <f t="shared" si="115"/>
        <v>2.6741562174905032E-12</v>
      </c>
      <c r="BH149" s="59">
        <f t="shared" si="116"/>
        <v>293.33333333333599</v>
      </c>
      <c r="BI149" s="59">
        <f ca="1">AVERAGE(OFFSET($BH$3,0,0,'Données projet'!$E$11+1,1))-AVERAGE(OFFSET($H$3,0,0,'Données projet'!$E$11+1,1))</f>
        <v>293.82673322742102</v>
      </c>
      <c r="BJ149" s="59">
        <f t="shared" si="146"/>
        <v>138.78566015867693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101.97077921828512</v>
      </c>
      <c r="BQ149" s="21">
        <f>EXP(-LN(2)/25)*BQ148+(1-EXP(-LN(2)/25))/(LN(2)/25)*Calculateur!BL149*Calculateur!BN149*VLOOKUP('Données projet'!$B$11,Paramètres!$A$1:$I$89,3,0)*0.475*44/12</f>
        <v>26.559070003382942</v>
      </c>
      <c r="BR149" s="21">
        <f>EXP(-LN(2)/2)*BR148+(1-EXP(-LN(2)/2))/(LN(2)/2)*BL149*BO149*VLOOKUP('Données projet'!$B$11,Paramètres!$A$1:$I$89,3,0)*0.475*44/12</f>
        <v>7.5846298222473612E-3</v>
      </c>
      <c r="BS149" s="22">
        <f t="shared" si="117"/>
        <v>128.53743385149031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5.3205440053716299E-14</v>
      </c>
      <c r="P150" s="13">
        <f t="shared" si="141"/>
        <v>8.602146238565607E-13</v>
      </c>
      <c r="Q150" s="20">
        <f t="shared" si="108"/>
        <v>1.590873277977066E-12</v>
      </c>
      <c r="R150" s="59">
        <f t="shared" si="109"/>
        <v>293.33333333333491</v>
      </c>
      <c r="S150" s="59">
        <f ca="1">AVERAGE(OFFSET($R$3,0,0,'Données projet'!$E$9+1,1))-AVERAGE(OFFSET($H$3,0,0,'Données projet'!$E$9+1,1))</f>
        <v>263.84804661819163</v>
      </c>
      <c r="T150" s="59">
        <f t="shared" si="142"/>
        <v>271.81541836379307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80.200202944877958</v>
      </c>
      <c r="AA150" s="21">
        <f>EXP(-LN(2)/25)*AA149+(1-EXP(-LN(2)/25))/(LN(2)/25)*Calculateur!V150*Calculateur!X150*VLOOKUP('Données projet'!$B$9,Paramètres!$A$1:$I$89,3,0)*0.475*44/12</f>
        <v>16.994794906664378</v>
      </c>
      <c r="AB150" s="21">
        <f>EXP(-LN(2)/2)*AB149+(1-EXP(-LN(2)/2))/(LN(2)/2)*V150*Y150*VLOOKUP('Données projet'!$B$9,Paramètres!$A$1:$I$89,3,0)*0.475*44/12</f>
        <v>1.8705404298037348E-5</v>
      </c>
      <c r="AC150" s="22">
        <f t="shared" si="111"/>
        <v>97.195016556946641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270.04187128233121</v>
      </c>
      <c r="AO150" s="59">
        <f t="shared" si="144"/>
        <v>183.82555940776064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40.662358893919972</v>
      </c>
      <c r="AV150" s="21">
        <f>EXP(-LN(2)/25)*AV149+(1-EXP(-LN(2)/25))/(LN(2)/25)*Calculateur!AQ150*Calculateur!AS150*VLOOKUP('Données projet'!$B$10,Paramètres!$A$1:$I$89,3,0)*0.475*44/12</f>
        <v>8.0742601591127894</v>
      </c>
      <c r="AW150" s="21">
        <f>EXP(-LN(2)/2)*AW149+(1-EXP(-LN(2)/2))/(LN(2)/2)*AQ150*AT150*VLOOKUP('Données projet'!$B$10,Paramètres!$A$1:$I$89,3,0)*0.475*44/12</f>
        <v>5.8212570924639616E-9</v>
      </c>
      <c r="AX150" s="21">
        <f t="shared" si="114"/>
        <v>48.736619058854018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9.5326413429575044E-14</v>
      </c>
      <c r="BF150" s="13">
        <f t="shared" si="145"/>
        <v>1.4400742856080346E-12</v>
      </c>
      <c r="BG150" s="20">
        <f t="shared" si="115"/>
        <v>2.6741562174905032E-12</v>
      </c>
      <c r="BH150" s="59">
        <f t="shared" si="116"/>
        <v>293.33333333333599</v>
      </c>
      <c r="BI150" s="59">
        <f ca="1">AVERAGE(OFFSET($BH$3,0,0,'Données projet'!$E$11+1,1))-AVERAGE(OFFSET($H$3,0,0,'Données projet'!$E$11+1,1))</f>
        <v>293.82673322742102</v>
      </c>
      <c r="BJ150" s="59">
        <f t="shared" si="146"/>
        <v>138.78566015867693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99.971194433848524</v>
      </c>
      <c r="BQ150" s="21">
        <f>EXP(-LN(2)/25)*BQ149+(1-EXP(-LN(2)/25))/(LN(2)/25)*Calculateur!BL150*Calculateur!BN150*VLOOKUP('Données projet'!$B$11,Paramètres!$A$1:$I$89,3,0)*0.475*44/12</f>
        <v>25.832810837459647</v>
      </c>
      <c r="BR150" s="21">
        <f>EXP(-LN(2)/2)*BR149+(1-EXP(-LN(2)/2))/(LN(2)/2)*BL150*BO150*VLOOKUP('Données projet'!$B$11,Paramètres!$A$1:$I$89,3,0)*0.475*44/12</f>
        <v>5.3631431801008283E-3</v>
      </c>
      <c r="BS150" s="22">
        <f t="shared" si="117"/>
        <v>125.80936841448828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5.3205440053716299E-14</v>
      </c>
      <c r="P151" s="13">
        <f t="shared" si="141"/>
        <v>8.602146238565607E-13</v>
      </c>
      <c r="Q151" s="20">
        <f t="shared" si="108"/>
        <v>1.590873277977066E-12</v>
      </c>
      <c r="R151" s="59">
        <f t="shared" si="109"/>
        <v>293.33333333333491</v>
      </c>
      <c r="S151" s="59">
        <f ca="1">AVERAGE(OFFSET($R$3,0,0,'Données projet'!$E$9+1,1))-AVERAGE(OFFSET($H$3,0,0,'Données projet'!$E$9+1,1))</f>
        <v>263.84804661819163</v>
      </c>
      <c r="T151" s="59">
        <f t="shared" si="142"/>
        <v>271.81541836379307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78.627525882422518</v>
      </c>
      <c r="AA151" s="21">
        <f>EXP(-LN(2)/25)*AA150+(1-EXP(-LN(2)/25))/(LN(2)/25)*Calculateur!V151*Calculateur!X151*VLOOKUP('Données projet'!$B$9,Paramètres!$A$1:$I$89,3,0)*0.475*44/12</f>
        <v>16.530071346224219</v>
      </c>
      <c r="AB151" s="21">
        <f>EXP(-LN(2)/2)*AB150+(1-EXP(-LN(2)/2))/(LN(2)/2)*V151*Y151*VLOOKUP('Données projet'!$B$9,Paramètres!$A$1:$I$89,3,0)*0.475*44/12</f>
        <v>1.3226718223978201E-5</v>
      </c>
      <c r="AC151" s="22">
        <f t="shared" si="111"/>
        <v>95.15761045536496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270.04187128233121</v>
      </c>
      <c r="AO151" s="59">
        <f t="shared" si="144"/>
        <v>183.82555940776064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39.864994837600172</v>
      </c>
      <c r="AV151" s="21">
        <f>EXP(-LN(2)/25)*AV150+(1-EXP(-LN(2)/25))/(LN(2)/25)*Calculateur!AQ151*Calculateur!AS151*VLOOKUP('Données projet'!$B$10,Paramètres!$A$1:$I$89,3,0)*0.475*44/12</f>
        <v>7.8534690904549622</v>
      </c>
      <c r="AW151" s="21">
        <f>EXP(-LN(2)/2)*AW150+(1-EXP(-LN(2)/2))/(LN(2)/2)*AQ151*AT151*VLOOKUP('Données projet'!$B$10,Paramètres!$A$1:$I$89,3,0)*0.475*44/12</f>
        <v>4.1162503651115523E-9</v>
      </c>
      <c r="AX151" s="21">
        <f t="shared" si="114"/>
        <v>47.718463932171389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9.5326413429575044E-14</v>
      </c>
      <c r="BF151" s="13">
        <f t="shared" si="145"/>
        <v>1.4400742856080346E-12</v>
      </c>
      <c r="BG151" s="20">
        <f t="shared" si="115"/>
        <v>2.6741562174905032E-12</v>
      </c>
      <c r="BH151" s="59">
        <f t="shared" si="116"/>
        <v>293.33333333333599</v>
      </c>
      <c r="BI151" s="59">
        <f ca="1">AVERAGE(OFFSET($BH$3,0,0,'Données projet'!$E$11+1,1))-AVERAGE(OFFSET($H$3,0,0,'Données projet'!$E$11+1,1))</f>
        <v>293.82673322742102</v>
      </c>
      <c r="BJ151" s="59">
        <f t="shared" si="146"/>
        <v>138.78566015867693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98.010820287408436</v>
      </c>
      <c r="BQ151" s="21">
        <f>EXP(-LN(2)/25)*BQ150+(1-EXP(-LN(2)/25))/(LN(2)/25)*Calculateur!BL151*Calculateur!BN151*VLOOKUP('Données projet'!$B$11,Paramètres!$A$1:$I$89,3,0)*0.475*44/12</f>
        <v>25.126411266620831</v>
      </c>
      <c r="BR151" s="21">
        <f>EXP(-LN(2)/2)*BR150+(1-EXP(-LN(2)/2))/(LN(2)/2)*BL151*BO151*VLOOKUP('Données projet'!$B$11,Paramètres!$A$1:$I$89,3,0)*0.475*44/12</f>
        <v>3.7923149111236815E-3</v>
      </c>
      <c r="BS151" s="22">
        <f t="shared" si="117"/>
        <v>123.14102386894039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5.3205440053716299E-14</v>
      </c>
      <c r="P152" s="13">
        <f t="shared" si="141"/>
        <v>8.602146238565607E-13</v>
      </c>
      <c r="Q152" s="20">
        <f t="shared" si="108"/>
        <v>1.590873277977066E-12</v>
      </c>
      <c r="R152" s="59">
        <f t="shared" si="109"/>
        <v>293.33333333333491</v>
      </c>
      <c r="S152" s="59">
        <f ca="1">AVERAGE(OFFSET($R$3,0,0,'Données projet'!$E$9+1,1))-AVERAGE(OFFSET($H$3,0,0,'Données projet'!$E$9+1,1))</f>
        <v>263.84804661819163</v>
      </c>
      <c r="T152" s="59">
        <f t="shared" si="142"/>
        <v>271.81541836379307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77.085688057923534</v>
      </c>
      <c r="AA152" s="21">
        <f>EXP(-LN(2)/25)*AA151+(1-EXP(-LN(2)/25))/(LN(2)/25)*Calculateur!V152*Calculateur!X152*VLOOKUP('Données projet'!$B$9,Paramètres!$A$1:$I$89,3,0)*0.475*44/12</f>
        <v>16.078055675983045</v>
      </c>
      <c r="AB152" s="21">
        <f>EXP(-LN(2)/2)*AB151+(1-EXP(-LN(2)/2))/(LN(2)/2)*V152*Y152*VLOOKUP('Données projet'!$B$9,Paramètres!$A$1:$I$89,3,0)*0.475*44/12</f>
        <v>9.352702149018674E-6</v>
      </c>
      <c r="AC152" s="22">
        <f t="shared" si="111"/>
        <v>93.163753086608736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270.04187128233121</v>
      </c>
      <c r="AO152" s="59">
        <f t="shared" si="144"/>
        <v>183.82555940776064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39.083266604080755</v>
      </c>
      <c r="AV152" s="21">
        <f>EXP(-LN(2)/25)*AV151+(1-EXP(-LN(2)/25))/(LN(2)/25)*Calculateur!AQ152*Calculateur!AS152*VLOOKUP('Données projet'!$B$10,Paramètres!$A$1:$I$89,3,0)*0.475*44/12</f>
        <v>7.6387155651804814</v>
      </c>
      <c r="AW152" s="21">
        <f>EXP(-LN(2)/2)*AW151+(1-EXP(-LN(2)/2))/(LN(2)/2)*AQ152*AT152*VLOOKUP('Données projet'!$B$10,Paramètres!$A$1:$I$89,3,0)*0.475*44/12</f>
        <v>2.9106285462319808E-9</v>
      </c>
      <c r="AX152" s="21">
        <f t="shared" si="114"/>
        <v>46.72198217217187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9.5326413429575044E-14</v>
      </c>
      <c r="BF152" s="13">
        <f t="shared" si="145"/>
        <v>1.4400742856080346E-12</v>
      </c>
      <c r="BG152" s="20">
        <f t="shared" si="115"/>
        <v>2.6741562174905032E-12</v>
      </c>
      <c r="BH152" s="59">
        <f t="shared" si="116"/>
        <v>293.33333333333599</v>
      </c>
      <c r="BI152" s="59">
        <f ca="1">AVERAGE(OFFSET($BH$3,0,0,'Données projet'!$E$11+1,1))-AVERAGE(OFFSET($H$3,0,0,'Données projet'!$E$11+1,1))</f>
        <v>293.82673322742102</v>
      </c>
      <c r="BJ152" s="59">
        <f t="shared" si="146"/>
        <v>138.78566015867693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96.088887882269873</v>
      </c>
      <c r="BQ152" s="21">
        <f>EXP(-LN(2)/25)*BQ151+(1-EXP(-LN(2)/25))/(LN(2)/25)*Calculateur!BL152*Calculateur!BN152*VLOOKUP('Données projet'!$B$11,Paramètres!$A$1:$I$89,3,0)*0.475*44/12</f>
        <v>24.439328229194544</v>
      </c>
      <c r="BR152" s="21">
        <f>EXP(-LN(2)/2)*BR151+(1-EXP(-LN(2)/2))/(LN(2)/2)*BL152*BO152*VLOOKUP('Données projet'!$B$11,Paramètres!$A$1:$I$89,3,0)*0.475*44/12</f>
        <v>2.6815715900504146E-3</v>
      </c>
      <c r="BS152" s="22">
        <f t="shared" si="117"/>
        <v>120.53089768305446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5.3205440053716299E-14</v>
      </c>
      <c r="P153" s="13">
        <f t="shared" si="141"/>
        <v>8.602146238565607E-13</v>
      </c>
      <c r="Q153" s="20">
        <f t="shared" si="108"/>
        <v>1.590873277977066E-12</v>
      </c>
      <c r="R153" s="59">
        <f t="shared" si="109"/>
        <v>293.33333333333491</v>
      </c>
      <c r="S153" s="59">
        <f ca="1">AVERAGE(OFFSET($R$3,0,0,'Données projet'!$E$9+1,1))-AVERAGE(OFFSET($H$3,0,0,'Données projet'!$E$9+1,1))</f>
        <v>263.84804661819163</v>
      </c>
      <c r="T153" s="59">
        <f t="shared" si="142"/>
        <v>271.81541836379307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75.574084732734761</v>
      </c>
      <c r="AA153" s="21">
        <f>EXP(-LN(2)/25)*AA152+(1-EXP(-LN(2)/25))/(LN(2)/25)*Calculateur!V153*Calculateur!X153*VLOOKUP('Données projet'!$B$9,Paramètres!$A$1:$I$89,3,0)*0.475*44/12</f>
        <v>15.638400398015087</v>
      </c>
      <c r="AB153" s="21">
        <f>EXP(-LN(2)/2)*AB152+(1-EXP(-LN(2)/2))/(LN(2)/2)*V153*Y153*VLOOKUP('Données projet'!$B$9,Paramètres!$A$1:$I$89,3,0)*0.475*44/12</f>
        <v>6.6133591119891004E-6</v>
      </c>
      <c r="AC153" s="22">
        <f t="shared" si="111"/>
        <v>91.212491744108974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270.04187128233121</v>
      </c>
      <c r="AO153" s="59">
        <f t="shared" si="144"/>
        <v>183.82555940776064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38.316867584413508</v>
      </c>
      <c r="AV153" s="21">
        <f>EXP(-LN(2)/25)*AV152+(1-EXP(-LN(2)/25))/(LN(2)/25)*Calculateur!AQ153*Calculateur!AS153*VLOOKUP('Données projet'!$B$10,Paramètres!$A$1:$I$89,3,0)*0.475*44/12</f>
        <v>7.4298344863480281</v>
      </c>
      <c r="AW153" s="21">
        <f>EXP(-LN(2)/2)*AW152+(1-EXP(-LN(2)/2))/(LN(2)/2)*AQ153*AT153*VLOOKUP('Données projet'!$B$10,Paramètres!$A$1:$I$89,3,0)*0.475*44/12</f>
        <v>2.0581251825557762E-9</v>
      </c>
      <c r="AX153" s="21">
        <f t="shared" si="114"/>
        <v>45.746702072819659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9.5326413429575044E-14</v>
      </c>
      <c r="BF153" s="13">
        <f t="shared" si="145"/>
        <v>1.4400742856080346E-12</v>
      </c>
      <c r="BG153" s="20">
        <f t="shared" si="115"/>
        <v>2.6741562174905032E-12</v>
      </c>
      <c r="BH153" s="59">
        <f t="shared" si="116"/>
        <v>293.33333333333599</v>
      </c>
      <c r="BI153" s="59">
        <f ca="1">AVERAGE(OFFSET($BH$3,0,0,'Données projet'!$E$11+1,1))-AVERAGE(OFFSET($H$3,0,0,'Données projet'!$E$11+1,1))</f>
        <v>293.82673322742102</v>
      </c>
      <c r="BJ153" s="59">
        <f t="shared" si="146"/>
        <v>138.78566015867693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94.204643399333065</v>
      </c>
      <c r="BQ153" s="21">
        <f>EXP(-LN(2)/25)*BQ152+(1-EXP(-LN(2)/25))/(LN(2)/25)*Calculateur!BL153*Calculateur!BN153*VLOOKUP('Données projet'!$B$11,Paramètres!$A$1:$I$89,3,0)*0.475*44/12</f>
        <v>23.771033513558805</v>
      </c>
      <c r="BR153" s="21">
        <f>EXP(-LN(2)/2)*BR152+(1-EXP(-LN(2)/2))/(LN(2)/2)*BL153*BO153*VLOOKUP('Données projet'!$B$11,Paramètres!$A$1:$I$89,3,0)*0.475*44/12</f>
        <v>1.8961574555618409E-3</v>
      </c>
      <c r="BS153" s="22">
        <f t="shared" si="117"/>
        <v>117.97757307034743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5.3205440053716299E-14</v>
      </c>
      <c r="P154" s="13">
        <f t="shared" si="141"/>
        <v>8.602146238565607E-13</v>
      </c>
      <c r="Q154" s="20">
        <f t="shared" ref="Q154:Q203" si="162">(O154+P154)*0.475*44/12</f>
        <v>1.590873277977066E-12</v>
      </c>
      <c r="R154" s="59">
        <f t="shared" si="109"/>
        <v>293.33333333333491</v>
      </c>
      <c r="S154" s="59">
        <f ca="1">AVERAGE(OFFSET($R$3,0,0,'Données projet'!$E$9+1,1))-AVERAGE(OFFSET($H$3,0,0,'Données projet'!$E$9+1,1))</f>
        <v>263.84804661819163</v>
      </c>
      <c r="T154" s="59">
        <f t="shared" si="142"/>
        <v>271.81541836379307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74.092123026765947</v>
      </c>
      <c r="AA154" s="21">
        <f>EXP(-LN(2)/25)*AA153+(1-EXP(-LN(2)/25))/(LN(2)/25)*Calculateur!V154*Calculateur!X154*VLOOKUP('Données projet'!$B$9,Paramètres!$A$1:$I$89,3,0)*0.475*44/12</f>
        <v>15.21076751674363</v>
      </c>
      <c r="AB154" s="21">
        <f>EXP(-LN(2)/2)*AB153+(1-EXP(-LN(2)/2))/(LN(2)/2)*V154*Y154*VLOOKUP('Données projet'!$B$9,Paramètres!$A$1:$I$89,3,0)*0.475*44/12</f>
        <v>4.676351074509337E-6</v>
      </c>
      <c r="AC154" s="22">
        <f t="shared" ref="AC154:AC203" si="163">SUM(Z154:AB154)</f>
        <v>89.302895219860645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270.04187128233121</v>
      </c>
      <c r="AO154" s="59">
        <f t="shared" si="144"/>
        <v>183.82555940776064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37.565497182064696</v>
      </c>
      <c r="AV154" s="21">
        <f>EXP(-LN(2)/25)*AV153+(1-EXP(-LN(2)/25))/(LN(2)/25)*Calculateur!AQ154*Calculateur!AS154*VLOOKUP('Données projet'!$B$10,Paramètres!$A$1:$I$89,3,0)*0.475*44/12</f>
        <v>7.2266652716008268</v>
      </c>
      <c r="AW154" s="21">
        <f>EXP(-LN(2)/2)*AW153+(1-EXP(-LN(2)/2))/(LN(2)/2)*AQ154*AT154*VLOOKUP('Données projet'!$B$10,Paramètres!$A$1:$I$89,3,0)*0.475*44/12</f>
        <v>1.4553142731159904E-9</v>
      </c>
      <c r="AX154" s="21">
        <f t="shared" ref="AX154:AX203" si="166">SUM(AU154:AW154)</f>
        <v>44.792162455120838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9.5326413429575044E-14</v>
      </c>
      <c r="BF154" s="13">
        <f t="shared" ref="BF154:BF203" si="167">EXP(-1.0587+0.8836*LN(BE154)+0.284)</f>
        <v>1.4400742856080346E-12</v>
      </c>
      <c r="BG154" s="20">
        <f t="shared" ref="BG154:BG203" si="168">(BE154+BF154)*0.475*44/12</f>
        <v>2.6741562174905032E-12</v>
      </c>
      <c r="BH154" s="59">
        <f t="shared" si="116"/>
        <v>293.33333333333599</v>
      </c>
      <c r="BI154" s="59">
        <f ca="1">AVERAGE(OFFSET($BH$3,0,0,'Données projet'!$E$11+1,1))-AVERAGE(OFFSET($H$3,0,0,'Données projet'!$E$11+1,1))</f>
        <v>293.82673322742102</v>
      </c>
      <c r="BJ154" s="59">
        <f t="shared" si="146"/>
        <v>138.78566015867693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92.35734780143099</v>
      </c>
      <c r="BQ154" s="21">
        <f>EXP(-LN(2)/25)*BQ153+(1-EXP(-LN(2)/25))/(LN(2)/25)*Calculateur!BL154*Calculateur!BN154*VLOOKUP('Données projet'!$B$11,Paramètres!$A$1:$I$89,3,0)*0.475*44/12</f>
        <v>23.121013352066218</v>
      </c>
      <c r="BR154" s="21">
        <f>EXP(-LN(2)/2)*BR153+(1-EXP(-LN(2)/2))/(LN(2)/2)*BL154*BO154*VLOOKUP('Données projet'!$B$11,Paramètres!$A$1:$I$89,3,0)*0.475*44/12</f>
        <v>1.3407857950252075E-3</v>
      </c>
      <c r="BS154" s="22">
        <f t="shared" ref="BS154:BS203" si="169">SUM(BP154:BR154)</f>
        <v>115.47970193929223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5.3205440053716299E-14</v>
      </c>
      <c r="P155" s="13">
        <f t="shared" si="141"/>
        <v>8.602146238565607E-13</v>
      </c>
      <c r="Q155" s="20">
        <f t="shared" si="162"/>
        <v>1.590873277977066E-12</v>
      </c>
      <c r="R155" s="59">
        <f t="shared" si="109"/>
        <v>293.33333333333491</v>
      </c>
      <c r="S155" s="59">
        <f ca="1">AVERAGE(OFFSET($R$3,0,0,'Données projet'!$E$9+1,1))-AVERAGE(OFFSET($H$3,0,0,'Données projet'!$E$9+1,1))</f>
        <v>263.84804661819163</v>
      </c>
      <c r="T155" s="59">
        <f t="shared" si="142"/>
        <v>271.81541836379307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72.639221685943795</v>
      </c>
      <c r="AA155" s="21">
        <f>EXP(-LN(2)/25)*AA154+(1-EXP(-LN(2)/25))/(LN(2)/25)*Calculateur!V155*Calculateur!X155*VLOOKUP('Données projet'!$B$9,Paramètres!$A$1:$I$89,3,0)*0.475*44/12</f>
        <v>14.794828279098777</v>
      </c>
      <c r="AB155" s="21">
        <f>EXP(-LN(2)/2)*AB154+(1-EXP(-LN(2)/2))/(LN(2)/2)*V155*Y155*VLOOKUP('Données projet'!$B$9,Paramètres!$A$1:$I$89,3,0)*0.475*44/12</f>
        <v>3.3066795559945502E-6</v>
      </c>
      <c r="AC155" s="22">
        <f t="shared" si="163"/>
        <v>87.434053271722135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270.04187128233121</v>
      </c>
      <c r="AO155" s="59">
        <f t="shared" si="144"/>
        <v>183.82555940776064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36.828860695015251</v>
      </c>
      <c r="AV155" s="21">
        <f>EXP(-LN(2)/25)*AV154+(1-EXP(-LN(2)/25))/(LN(2)/25)*Calculateur!AQ155*Calculateur!AS155*VLOOKUP('Données projet'!$B$10,Paramètres!$A$1:$I$89,3,0)*0.475*44/12</f>
        <v>7.0290517297150927</v>
      </c>
      <c r="AW155" s="21">
        <f>EXP(-LN(2)/2)*AW154+(1-EXP(-LN(2)/2))/(LN(2)/2)*AQ155*AT155*VLOOKUP('Données projet'!$B$10,Paramètres!$A$1:$I$89,3,0)*0.475*44/12</f>
        <v>1.0290625912778881E-9</v>
      </c>
      <c r="AX155" s="21">
        <f t="shared" si="166"/>
        <v>43.857912425759409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9.5326413429575044E-14</v>
      </c>
      <c r="BF155" s="13">
        <f t="shared" si="167"/>
        <v>1.4400742856080346E-12</v>
      </c>
      <c r="BG155" s="20">
        <f t="shared" si="168"/>
        <v>2.6741562174905032E-12</v>
      </c>
      <c r="BH155" s="59">
        <f t="shared" si="116"/>
        <v>293.33333333333599</v>
      </c>
      <c r="BI155" s="59">
        <f ca="1">AVERAGE(OFFSET($BH$3,0,0,'Données projet'!$E$11+1,1))-AVERAGE(OFFSET($H$3,0,0,'Données projet'!$E$11+1,1))</f>
        <v>293.82673322742102</v>
      </c>
      <c r="BJ155" s="59">
        <f t="shared" si="146"/>
        <v>138.78566015867693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90.546276543464728</v>
      </c>
      <c r="BQ155" s="21">
        <f>EXP(-LN(2)/25)*BQ154+(1-EXP(-LN(2)/25))/(LN(2)/25)*Calculateur!BL155*Calculateur!BN155*VLOOKUP('Données projet'!$B$11,Paramètres!$A$1:$I$89,3,0)*0.475*44/12</f>
        <v>22.488768026072719</v>
      </c>
      <c r="BR155" s="21">
        <f>EXP(-LN(2)/2)*BR154+(1-EXP(-LN(2)/2))/(LN(2)/2)*BL155*BO155*VLOOKUP('Données projet'!$B$11,Paramètres!$A$1:$I$89,3,0)*0.475*44/12</f>
        <v>9.4807872778092058E-4</v>
      </c>
      <c r="BS155" s="22">
        <f t="shared" si="169"/>
        <v>113.03599264826524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5.3205440053716299E-14</v>
      </c>
      <c r="P156" s="13">
        <f t="shared" si="141"/>
        <v>8.602146238565607E-13</v>
      </c>
      <c r="Q156" s="20">
        <f t="shared" si="162"/>
        <v>1.590873277977066E-12</v>
      </c>
      <c r="R156" s="59">
        <f t="shared" si="109"/>
        <v>293.33333333333491</v>
      </c>
      <c r="S156" s="59">
        <f ca="1">AVERAGE(OFFSET($R$3,0,0,'Données projet'!$E$9+1,1))-AVERAGE(OFFSET($H$3,0,0,'Données projet'!$E$9+1,1))</f>
        <v>263.84804661819163</v>
      </c>
      <c r="T156" s="59">
        <f t="shared" si="142"/>
        <v>271.81541836379307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71.214810854232852</v>
      </c>
      <c r="AA156" s="21">
        <f>EXP(-LN(2)/25)*AA155+(1-EXP(-LN(2)/25))/(LN(2)/25)*Calculateur!V156*Calculateur!X156*VLOOKUP('Données projet'!$B$9,Paramètres!$A$1:$I$89,3,0)*0.475*44/12</f>
        <v>14.390262921780616</v>
      </c>
      <c r="AB156" s="21">
        <f>EXP(-LN(2)/2)*AB155+(1-EXP(-LN(2)/2))/(LN(2)/2)*V156*Y156*VLOOKUP('Données projet'!$B$9,Paramètres!$A$1:$I$89,3,0)*0.475*44/12</f>
        <v>2.3381755372546685E-6</v>
      </c>
      <c r="AC156" s="22">
        <f t="shared" si="163"/>
        <v>85.605076114189004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270.04187128233121</v>
      </c>
      <c r="AO156" s="59">
        <f t="shared" si="144"/>
        <v>183.82555940776064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36.106669200172952</v>
      </c>
      <c r="AV156" s="21">
        <f>EXP(-LN(2)/25)*AV155+(1-EXP(-LN(2)/25))/(LN(2)/25)*Calculateur!AQ156*Calculateur!AS156*VLOOKUP('Données projet'!$B$10,Paramètres!$A$1:$I$89,3,0)*0.475*44/12</f>
        <v>6.836841940524268</v>
      </c>
      <c r="AW156" s="21">
        <f>EXP(-LN(2)/2)*AW155+(1-EXP(-LN(2)/2))/(LN(2)/2)*AQ156*AT156*VLOOKUP('Données projet'!$B$10,Paramètres!$A$1:$I$89,3,0)*0.475*44/12</f>
        <v>7.2765713655799521E-10</v>
      </c>
      <c r="AX156" s="21">
        <f t="shared" si="166"/>
        <v>42.943511141424878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9.5326413429575044E-14</v>
      </c>
      <c r="BF156" s="13">
        <f t="shared" si="167"/>
        <v>1.4400742856080346E-12</v>
      </c>
      <c r="BG156" s="20">
        <f t="shared" si="168"/>
        <v>2.6741562174905032E-12</v>
      </c>
      <c r="BH156" s="59">
        <f t="shared" si="116"/>
        <v>293.33333333333599</v>
      </c>
      <c r="BI156" s="59">
        <f ca="1">AVERAGE(OFFSET($BH$3,0,0,'Données projet'!$E$11+1,1))-AVERAGE(OFFSET($H$3,0,0,'Données projet'!$E$11+1,1))</f>
        <v>293.82673322742102</v>
      </c>
      <c r="BJ156" s="59">
        <f t="shared" si="146"/>
        <v>138.78566015867693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88.770719288222793</v>
      </c>
      <c r="BQ156" s="21">
        <f>EXP(-LN(2)/25)*BQ155+(1-EXP(-LN(2)/25))/(LN(2)/25)*Calculateur!BL156*Calculateur!BN156*VLOOKUP('Données projet'!$B$11,Paramètres!$A$1:$I$89,3,0)*0.475*44/12</f>
        <v>21.87381148176685</v>
      </c>
      <c r="BR156" s="21">
        <f>EXP(-LN(2)/2)*BR155+(1-EXP(-LN(2)/2))/(LN(2)/2)*BL156*BO156*VLOOKUP('Données projet'!$B$11,Paramètres!$A$1:$I$89,3,0)*0.475*44/12</f>
        <v>6.7039289751260386E-4</v>
      </c>
      <c r="BS156" s="22">
        <f t="shared" si="169"/>
        <v>110.64520116288716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5.3205440053716299E-14</v>
      </c>
      <c r="P157" s="13">
        <f t="shared" si="141"/>
        <v>8.602146238565607E-13</v>
      </c>
      <c r="Q157" s="20">
        <f t="shared" si="162"/>
        <v>1.590873277977066E-12</v>
      </c>
      <c r="R157" s="59">
        <f t="shared" si="109"/>
        <v>293.33333333333491</v>
      </c>
      <c r="S157" s="59">
        <f ca="1">AVERAGE(OFFSET($R$3,0,0,'Données projet'!$E$9+1,1))-AVERAGE(OFFSET($H$3,0,0,'Données projet'!$E$9+1,1))</f>
        <v>263.84804661819163</v>
      </c>
      <c r="T157" s="59">
        <f t="shared" si="142"/>
        <v>271.81541836379307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69.818331850126938</v>
      </c>
      <c r="AA157" s="21">
        <f>EXP(-LN(2)/25)*AA156+(1-EXP(-LN(2)/25))/(LN(2)/25)*Calculateur!V157*Calculateur!X157*VLOOKUP('Données projet'!$B$9,Paramètres!$A$1:$I$89,3,0)*0.475*44/12</f>
        <v>13.996760425433488</v>
      </c>
      <c r="AB157" s="21">
        <f>EXP(-LN(2)/2)*AB156+(1-EXP(-LN(2)/2))/(LN(2)/2)*V157*Y157*VLOOKUP('Données projet'!$B$9,Paramètres!$A$1:$I$89,3,0)*0.475*44/12</f>
        <v>1.6533397779972751E-6</v>
      </c>
      <c r="AC157" s="22">
        <f t="shared" si="163"/>
        <v>83.815093928900211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270.04187128233121</v>
      </c>
      <c r="AO157" s="59">
        <f t="shared" si="144"/>
        <v>183.82555940776064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35.398639440051191</v>
      </c>
      <c r="AV157" s="21">
        <f>EXP(-LN(2)/25)*AV156+(1-EXP(-LN(2)/25))/(LN(2)/25)*Calculateur!AQ157*Calculateur!AS157*VLOOKUP('Données projet'!$B$10,Paramètres!$A$1:$I$89,3,0)*0.475*44/12</f>
        <v>6.6498881381267401</v>
      </c>
      <c r="AW157" s="21">
        <f>EXP(-LN(2)/2)*AW156+(1-EXP(-LN(2)/2))/(LN(2)/2)*AQ157*AT157*VLOOKUP('Données projet'!$B$10,Paramètres!$A$1:$I$89,3,0)*0.475*44/12</f>
        <v>5.1453129563894404E-10</v>
      </c>
      <c r="AX157" s="21">
        <f t="shared" si="166"/>
        <v>42.048527578692465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9.5326413429575044E-14</v>
      </c>
      <c r="BF157" s="13">
        <f t="shared" si="167"/>
        <v>1.4400742856080346E-12</v>
      </c>
      <c r="BG157" s="20">
        <f t="shared" si="168"/>
        <v>2.6741562174905032E-12</v>
      </c>
      <c r="BH157" s="59">
        <f t="shared" si="116"/>
        <v>293.33333333333599</v>
      </c>
      <c r="BI157" s="59">
        <f ca="1">AVERAGE(OFFSET($BH$3,0,0,'Données projet'!$E$11+1,1))-AVERAGE(OFFSET($H$3,0,0,'Données projet'!$E$11+1,1))</f>
        <v>293.82673322742102</v>
      </c>
      <c r="BJ157" s="59">
        <f t="shared" si="146"/>
        <v>138.78566015867693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87.029979627773159</v>
      </c>
      <c r="BQ157" s="21">
        <f>EXP(-LN(2)/25)*BQ156+(1-EXP(-LN(2)/25))/(LN(2)/25)*Calculateur!BL157*Calculateur!BN157*VLOOKUP('Données projet'!$B$11,Paramètres!$A$1:$I$89,3,0)*0.475*44/12</f>
        <v>21.275670956504182</v>
      </c>
      <c r="BR157" s="21">
        <f>EXP(-LN(2)/2)*BR156+(1-EXP(-LN(2)/2))/(LN(2)/2)*BL157*BO157*VLOOKUP('Données projet'!$B$11,Paramètres!$A$1:$I$89,3,0)*0.475*44/12</f>
        <v>4.740393638904604E-4</v>
      </c>
      <c r="BS157" s="22">
        <f t="shared" si="169"/>
        <v>108.30612462364124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5.3205440053716299E-14</v>
      </c>
      <c r="P158" s="13">
        <f t="shared" si="141"/>
        <v>8.602146238565607E-13</v>
      </c>
      <c r="Q158" s="20">
        <f t="shared" si="162"/>
        <v>1.590873277977066E-12</v>
      </c>
      <c r="R158" s="59">
        <f t="shared" si="109"/>
        <v>293.33333333333491</v>
      </c>
      <c r="S158" s="59">
        <f ca="1">AVERAGE(OFFSET($R$3,0,0,'Données projet'!$E$9+1,1))-AVERAGE(OFFSET($H$3,0,0,'Données projet'!$E$9+1,1))</f>
        <v>263.84804661819163</v>
      </c>
      <c r="T158" s="59">
        <f t="shared" si="142"/>
        <v>271.81541836379307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68.44923694752346</v>
      </c>
      <c r="AA158" s="21">
        <f>EXP(-LN(2)/25)*AA157+(1-EXP(-LN(2)/25))/(LN(2)/25)*Calculateur!V158*Calculateur!X158*VLOOKUP('Données projet'!$B$9,Paramètres!$A$1:$I$89,3,0)*0.475*44/12</f>
        <v>13.614018275542367</v>
      </c>
      <c r="AB158" s="21">
        <f>EXP(-LN(2)/2)*AB157+(1-EXP(-LN(2)/2))/(LN(2)/2)*V158*Y158*VLOOKUP('Données projet'!$B$9,Paramètres!$A$1:$I$89,3,0)*0.475*44/12</f>
        <v>1.1690877686273343E-6</v>
      </c>
      <c r="AC158" s="22">
        <f t="shared" si="163"/>
        <v>82.06325639215359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270.04187128233121</v>
      </c>
      <c r="AO158" s="59">
        <f t="shared" si="144"/>
        <v>183.82555940776064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34.704493711669905</v>
      </c>
      <c r="AV158" s="21">
        <f>EXP(-LN(2)/25)*AV157+(1-EXP(-LN(2)/25))/(LN(2)/25)*Calculateur!AQ158*Calculateur!AS158*VLOOKUP('Données projet'!$B$10,Paramètres!$A$1:$I$89,3,0)*0.475*44/12</f>
        <v>6.4680465972872456</v>
      </c>
      <c r="AW158" s="21">
        <f>EXP(-LN(2)/2)*AW157+(1-EXP(-LN(2)/2))/(LN(2)/2)*AQ158*AT158*VLOOKUP('Données projet'!$B$10,Paramètres!$A$1:$I$89,3,0)*0.475*44/12</f>
        <v>3.638285682789976E-10</v>
      </c>
      <c r="AX158" s="21">
        <f t="shared" si="166"/>
        <v>41.172540309320979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9.5326413429575044E-14</v>
      </c>
      <c r="BF158" s="13">
        <f t="shared" si="167"/>
        <v>1.4400742856080346E-12</v>
      </c>
      <c r="BG158" s="20">
        <f t="shared" si="168"/>
        <v>2.6741562174905032E-12</v>
      </c>
      <c r="BH158" s="59">
        <f t="shared" si="116"/>
        <v>293.33333333333599</v>
      </c>
      <c r="BI158" s="59">
        <f ca="1">AVERAGE(OFFSET($BH$3,0,0,'Données projet'!$E$11+1,1))-AVERAGE(OFFSET($H$3,0,0,'Données projet'!$E$11+1,1))</f>
        <v>293.82673322742102</v>
      </c>
      <c r="BJ158" s="59">
        <f t="shared" si="146"/>
        <v>138.78566015867693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85.323374810318583</v>
      </c>
      <c r="BQ158" s="21">
        <f>EXP(-LN(2)/25)*BQ157+(1-EXP(-LN(2)/25))/(LN(2)/25)*Calculateur!BL158*Calculateur!BN158*VLOOKUP('Données projet'!$B$11,Paramètres!$A$1:$I$89,3,0)*0.475*44/12</f>
        <v>20.693886615359666</v>
      </c>
      <c r="BR158" s="21">
        <f>EXP(-LN(2)/2)*BR157+(1-EXP(-LN(2)/2))/(LN(2)/2)*BL158*BO158*VLOOKUP('Données projet'!$B$11,Paramètres!$A$1:$I$89,3,0)*0.475*44/12</f>
        <v>3.3519644875630198E-4</v>
      </c>
      <c r="BS158" s="22">
        <f t="shared" si="169"/>
        <v>106.017596622127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5.3205440053716299E-14</v>
      </c>
      <c r="P159" s="13">
        <f t="shared" si="141"/>
        <v>8.602146238565607E-13</v>
      </c>
      <c r="Q159" s="20">
        <f t="shared" si="162"/>
        <v>1.590873277977066E-12</v>
      </c>
      <c r="R159" s="59">
        <f t="shared" si="109"/>
        <v>293.33333333333491</v>
      </c>
      <c r="S159" s="59">
        <f ca="1">AVERAGE(OFFSET($R$3,0,0,'Données projet'!$E$9+1,1))-AVERAGE(OFFSET($H$3,0,0,'Données projet'!$E$9+1,1))</f>
        <v>263.84804661819163</v>
      </c>
      <c r="T159" s="59">
        <f t="shared" si="142"/>
        <v>271.81541836379307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67.106989160894599</v>
      </c>
      <c r="AA159" s="21">
        <f>EXP(-LN(2)/25)*AA158+(1-EXP(-LN(2)/25))/(LN(2)/25)*Calculateur!V159*Calculateur!X159*VLOOKUP('Données projet'!$B$9,Paramètres!$A$1:$I$89,3,0)*0.475*44/12</f>
        <v>13.241742229867555</v>
      </c>
      <c r="AB159" s="21">
        <f>EXP(-LN(2)/2)*AB158+(1-EXP(-LN(2)/2))/(LN(2)/2)*V159*Y159*VLOOKUP('Données projet'!$B$9,Paramètres!$A$1:$I$89,3,0)*0.475*44/12</f>
        <v>8.2666988899863755E-7</v>
      </c>
      <c r="AC159" s="22">
        <f t="shared" si="163"/>
        <v>80.348732217432044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270.04187128233121</v>
      </c>
      <c r="AO159" s="59">
        <f t="shared" si="144"/>
        <v>183.82555940776064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34.02395975763509</v>
      </c>
      <c r="AV159" s="21">
        <f>EXP(-LN(2)/25)*AV158+(1-EXP(-LN(2)/25))/(LN(2)/25)*Calculateur!AQ159*Calculateur!AS159*VLOOKUP('Données projet'!$B$10,Paramètres!$A$1:$I$89,3,0)*0.475*44/12</f>
        <v>6.2911775229446381</v>
      </c>
      <c r="AW159" s="21">
        <f>EXP(-LN(2)/2)*AW158+(1-EXP(-LN(2)/2))/(LN(2)/2)*AQ159*AT159*VLOOKUP('Données projet'!$B$10,Paramètres!$A$1:$I$89,3,0)*0.475*44/12</f>
        <v>2.5726564781947202E-10</v>
      </c>
      <c r="AX159" s="21">
        <f t="shared" si="166"/>
        <v>40.315137280836993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9.5326413429575044E-14</v>
      </c>
      <c r="BF159" s="13">
        <f t="shared" si="167"/>
        <v>1.4400742856080346E-12</v>
      </c>
      <c r="BG159" s="20">
        <f t="shared" si="168"/>
        <v>2.6741562174905032E-12</v>
      </c>
      <c r="BH159" s="59">
        <f t="shared" si="116"/>
        <v>293.33333333333599</v>
      </c>
      <c r="BI159" s="59">
        <f ca="1">AVERAGE(OFFSET($BH$3,0,0,'Données projet'!$E$11+1,1))-AVERAGE(OFFSET($H$3,0,0,'Données projet'!$E$11+1,1))</f>
        <v>293.82673322742102</v>
      </c>
      <c r="BJ159" s="59">
        <f t="shared" si="146"/>
        <v>138.78566015867693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83.650235472408141</v>
      </c>
      <c r="BQ159" s="21">
        <f>EXP(-LN(2)/25)*BQ158+(1-EXP(-LN(2)/25))/(LN(2)/25)*Calculateur!BL159*Calculateur!BN159*VLOOKUP('Données projet'!$B$11,Paramètres!$A$1:$I$89,3,0)*0.475*44/12</f>
        <v>20.128011197618456</v>
      </c>
      <c r="BR159" s="21">
        <f>EXP(-LN(2)/2)*BR158+(1-EXP(-LN(2)/2))/(LN(2)/2)*BL159*BO159*VLOOKUP('Données projet'!$B$11,Paramètres!$A$1:$I$89,3,0)*0.475*44/12</f>
        <v>2.3701968194523023E-4</v>
      </c>
      <c r="BS159" s="22">
        <f t="shared" si="169"/>
        <v>103.77848368970854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5.3205440053716299E-14</v>
      </c>
      <c r="P160" s="13">
        <f t="shared" si="141"/>
        <v>8.602146238565607E-13</v>
      </c>
      <c r="Q160" s="20">
        <f t="shared" si="162"/>
        <v>1.590873277977066E-12</v>
      </c>
      <c r="R160" s="59">
        <f t="shared" si="109"/>
        <v>293.33333333333491</v>
      </c>
      <c r="S160" s="59">
        <f ca="1">AVERAGE(OFFSET($R$3,0,0,'Données projet'!$E$9+1,1))-AVERAGE(OFFSET($H$3,0,0,'Données projet'!$E$9+1,1))</f>
        <v>263.84804661819163</v>
      </c>
      <c r="T160" s="59">
        <f t="shared" si="142"/>
        <v>271.81541836379307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65.791062034671228</v>
      </c>
      <c r="AA160" s="21">
        <f>EXP(-LN(2)/25)*AA159+(1-EXP(-LN(2)/25))/(LN(2)/25)*Calculateur!V160*Calculateur!X160*VLOOKUP('Données projet'!$B$9,Paramètres!$A$1:$I$89,3,0)*0.475*44/12</f>
        <v>12.879646092238866</v>
      </c>
      <c r="AB160" s="21">
        <f>EXP(-LN(2)/2)*AB159+(1-EXP(-LN(2)/2))/(LN(2)/2)*V160*Y160*VLOOKUP('Données projet'!$B$9,Paramètres!$A$1:$I$89,3,0)*0.475*44/12</f>
        <v>5.8454388431366713E-7</v>
      </c>
      <c r="AC160" s="22">
        <f t="shared" si="163"/>
        <v>78.670708711453983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270.04187128233121</v>
      </c>
      <c r="AO160" s="59">
        <f t="shared" si="144"/>
        <v>183.82555940776064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33.356770659354176</v>
      </c>
      <c r="AV160" s="21">
        <f>EXP(-LN(2)/25)*AV159+(1-EXP(-LN(2)/25))/(LN(2)/25)*Calculateur!AQ160*Calculateur!AS160*VLOOKUP('Données projet'!$B$10,Paramètres!$A$1:$I$89,3,0)*0.475*44/12</f>
        <v>6.1191449427410696</v>
      </c>
      <c r="AW160" s="21">
        <f>EXP(-LN(2)/2)*AW159+(1-EXP(-LN(2)/2))/(LN(2)/2)*AQ160*AT160*VLOOKUP('Données projet'!$B$10,Paramètres!$A$1:$I$89,3,0)*0.475*44/12</f>
        <v>1.819142841394988E-10</v>
      </c>
      <c r="AX160" s="21">
        <f t="shared" si="166"/>
        <v>39.475915602277155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9.5326413429575044E-14</v>
      </c>
      <c r="BF160" s="13">
        <f t="shared" si="167"/>
        <v>1.4400742856080346E-12</v>
      </c>
      <c r="BG160" s="20">
        <f t="shared" si="168"/>
        <v>2.6741562174905032E-12</v>
      </c>
      <c r="BH160" s="59">
        <f t="shared" si="116"/>
        <v>293.33333333333599</v>
      </c>
      <c r="BI160" s="59">
        <f ca="1">AVERAGE(OFFSET($BH$3,0,0,'Données projet'!$E$11+1,1))-AVERAGE(OFFSET($H$3,0,0,'Données projet'!$E$11+1,1))</f>
        <v>293.82673322742102</v>
      </c>
      <c r="BJ160" s="59">
        <f t="shared" si="146"/>
        <v>138.78566015867693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82.009905376399885</v>
      </c>
      <c r="BQ160" s="21">
        <f>EXP(-LN(2)/25)*BQ159+(1-EXP(-LN(2)/25))/(LN(2)/25)*Calculateur!BL160*Calculateur!BN160*VLOOKUP('Données projet'!$B$11,Paramètres!$A$1:$I$89,3,0)*0.475*44/12</f>
        <v>19.577609672933473</v>
      </c>
      <c r="BR160" s="21">
        <f>EXP(-LN(2)/2)*BR159+(1-EXP(-LN(2)/2))/(LN(2)/2)*BL160*BO160*VLOOKUP('Données projet'!$B$11,Paramètres!$A$1:$I$89,3,0)*0.475*44/12</f>
        <v>1.6759822437815102E-4</v>
      </c>
      <c r="BS160" s="22">
        <f t="shared" si="169"/>
        <v>101.58768264755774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5.3205440053716299E-14</v>
      </c>
      <c r="P161" s="13">
        <f t="shared" si="141"/>
        <v>8.602146238565607E-13</v>
      </c>
      <c r="Q161" s="20">
        <f t="shared" si="162"/>
        <v>1.590873277977066E-12</v>
      </c>
      <c r="R161" s="59">
        <f t="shared" si="109"/>
        <v>293.33333333333491</v>
      </c>
      <c r="S161" s="59">
        <f ca="1">AVERAGE(OFFSET($R$3,0,0,'Données projet'!$E$9+1,1))-AVERAGE(OFFSET($H$3,0,0,'Données projet'!$E$9+1,1))</f>
        <v>263.84804661819163</v>
      </c>
      <c r="T161" s="59">
        <f t="shared" si="142"/>
        <v>271.81541836379307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64.500939436756795</v>
      </c>
      <c r="AA161" s="21">
        <f>EXP(-LN(2)/25)*AA160+(1-EXP(-LN(2)/25))/(LN(2)/25)*Calculateur!V161*Calculateur!X161*VLOOKUP('Données projet'!$B$9,Paramètres!$A$1:$I$89,3,0)*0.475*44/12</f>
        <v>12.527451492535443</v>
      </c>
      <c r="AB161" s="21">
        <f>EXP(-LN(2)/2)*AB160+(1-EXP(-LN(2)/2))/(LN(2)/2)*V161*Y161*VLOOKUP('Données projet'!$B$9,Paramètres!$A$1:$I$89,3,0)*0.475*44/12</f>
        <v>4.1333494449931877E-7</v>
      </c>
      <c r="AC161" s="22">
        <f t="shared" si="163"/>
        <v>77.028391342627188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270.04187128233121</v>
      </c>
      <c r="AO161" s="59">
        <f t="shared" si="144"/>
        <v>183.82555940776064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32.702664732345376</v>
      </c>
      <c r="AV161" s="21">
        <f>EXP(-LN(2)/25)*AV160+(1-EXP(-LN(2)/25))/(LN(2)/25)*Calculateur!AQ161*Calculateur!AS161*VLOOKUP('Données projet'!$B$10,Paramètres!$A$1:$I$89,3,0)*0.475*44/12</f>
        <v>5.9518166024899681</v>
      </c>
      <c r="AW161" s="21">
        <f>EXP(-LN(2)/2)*AW160+(1-EXP(-LN(2)/2))/(LN(2)/2)*AQ161*AT161*VLOOKUP('Données projet'!$B$10,Paramètres!$A$1:$I$89,3,0)*0.475*44/12</f>
        <v>1.2863282390973601E-10</v>
      </c>
      <c r="AX161" s="21">
        <f t="shared" si="166"/>
        <v>38.654481334963975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9.5326413429575044E-14</v>
      </c>
      <c r="BF161" s="13">
        <f t="shared" si="167"/>
        <v>1.4400742856080346E-12</v>
      </c>
      <c r="BG161" s="20">
        <f t="shared" si="168"/>
        <v>2.6741562174905032E-12</v>
      </c>
      <c r="BH161" s="59">
        <f t="shared" si="116"/>
        <v>293.33333333333599</v>
      </c>
      <c r="BI161" s="59">
        <f ca="1">AVERAGE(OFFSET($BH$3,0,0,'Données projet'!$E$11+1,1))-AVERAGE(OFFSET($H$3,0,0,'Données projet'!$E$11+1,1))</f>
        <v>293.82673322742102</v>
      </c>
      <c r="BJ161" s="59">
        <f t="shared" si="146"/>
        <v>138.78566015867693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80.401741153071796</v>
      </c>
      <c r="BQ161" s="21">
        <f>EXP(-LN(2)/25)*BQ160+(1-EXP(-LN(2)/25))/(LN(2)/25)*Calculateur!BL161*Calculateur!BN161*VLOOKUP('Données projet'!$B$11,Paramètres!$A$1:$I$89,3,0)*0.475*44/12</f>
        <v>19.042258906885358</v>
      </c>
      <c r="BR161" s="21">
        <f>EXP(-LN(2)/2)*BR160+(1-EXP(-LN(2)/2))/(LN(2)/2)*BL161*BO161*VLOOKUP('Données projet'!$B$11,Paramètres!$A$1:$I$89,3,0)*0.475*44/12</f>
        <v>1.1850984097261514E-4</v>
      </c>
      <c r="BS161" s="22">
        <f t="shared" si="169"/>
        <v>99.444118569798121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5.3205440053716299E-14</v>
      </c>
      <c r="P162" s="13">
        <f t="shared" si="141"/>
        <v>8.602146238565607E-13</v>
      </c>
      <c r="Q162" s="20">
        <f t="shared" si="162"/>
        <v>1.590873277977066E-12</v>
      </c>
      <c r="R162" s="59">
        <f t="shared" si="109"/>
        <v>293.33333333333491</v>
      </c>
      <c r="S162" s="59">
        <f ca="1">AVERAGE(OFFSET($R$3,0,0,'Données projet'!$E$9+1,1))-AVERAGE(OFFSET($H$3,0,0,'Données projet'!$E$9+1,1))</f>
        <v>263.84804661819163</v>
      </c>
      <c r="T162" s="59">
        <f t="shared" si="142"/>
        <v>271.81541836379307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63.23611535609038</v>
      </c>
      <c r="AA162" s="21">
        <f>EXP(-LN(2)/25)*AA161+(1-EXP(-LN(2)/25))/(LN(2)/25)*Calculateur!V162*Calculateur!X162*VLOOKUP('Données projet'!$B$9,Paramètres!$A$1:$I$89,3,0)*0.475*44/12</f>
        <v>12.184887672682018</v>
      </c>
      <c r="AB162" s="21">
        <f>EXP(-LN(2)/2)*AB161+(1-EXP(-LN(2)/2))/(LN(2)/2)*V162*Y162*VLOOKUP('Données projet'!$B$9,Paramètres!$A$1:$I$89,3,0)*0.475*44/12</f>
        <v>2.9227194215683356E-7</v>
      </c>
      <c r="AC162" s="22">
        <f t="shared" si="163"/>
        <v>75.421003321044353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270.04187128233121</v>
      </c>
      <c r="AO162" s="59">
        <f t="shared" si="144"/>
        <v>183.82555940776064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32.061385423600001</v>
      </c>
      <c r="AV162" s="21">
        <f>EXP(-LN(2)/25)*AV161+(1-EXP(-LN(2)/25))/(LN(2)/25)*Calculateur!AQ162*Calculateur!AS162*VLOOKUP('Données projet'!$B$10,Paramètres!$A$1:$I$89,3,0)*0.475*44/12</f>
        <v>5.7890638645024479</v>
      </c>
      <c r="AW162" s="21">
        <f>EXP(-LN(2)/2)*AW161+(1-EXP(-LN(2)/2))/(LN(2)/2)*AQ162*AT162*VLOOKUP('Données projet'!$B$10,Paramètres!$A$1:$I$89,3,0)*0.475*44/12</f>
        <v>9.0957142069749401E-11</v>
      </c>
      <c r="AX162" s="21">
        <f t="shared" si="166"/>
        <v>37.850449288193403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9.5326413429575044E-14</v>
      </c>
      <c r="BF162" s="13">
        <f t="shared" si="167"/>
        <v>1.4400742856080346E-12</v>
      </c>
      <c r="BG162" s="20">
        <f t="shared" si="168"/>
        <v>2.6741562174905032E-12</v>
      </c>
      <c r="BH162" s="59">
        <f t="shared" si="116"/>
        <v>293.33333333333599</v>
      </c>
      <c r="BI162" s="59">
        <f ca="1">AVERAGE(OFFSET($BH$3,0,0,'Données projet'!$E$11+1,1))-AVERAGE(OFFSET($H$3,0,0,'Données projet'!$E$11+1,1))</f>
        <v>293.82673322742102</v>
      </c>
      <c r="BJ162" s="59">
        <f t="shared" si="146"/>
        <v>138.78566015867693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78.825112049279838</v>
      </c>
      <c r="BQ162" s="21">
        <f>EXP(-LN(2)/25)*BQ161+(1-EXP(-LN(2)/25))/(LN(2)/25)*Calculateur!BL162*Calculateur!BN162*VLOOKUP('Données projet'!$B$11,Paramètres!$A$1:$I$89,3,0)*0.475*44/12</f>
        <v>18.521547335687703</v>
      </c>
      <c r="BR162" s="21">
        <f>EXP(-LN(2)/2)*BR161+(1-EXP(-LN(2)/2))/(LN(2)/2)*BL162*BO162*VLOOKUP('Données projet'!$B$11,Paramètres!$A$1:$I$89,3,0)*0.475*44/12</f>
        <v>8.3799112189075523E-5</v>
      </c>
      <c r="BS162" s="22">
        <f t="shared" si="169"/>
        <v>97.346743184079727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5.3205440053716299E-14</v>
      </c>
      <c r="P163" s="13">
        <f t="shared" si="141"/>
        <v>8.602146238565607E-13</v>
      </c>
      <c r="Q163" s="20">
        <f t="shared" si="162"/>
        <v>1.590873277977066E-12</v>
      </c>
      <c r="R163" s="59">
        <f t="shared" si="109"/>
        <v>293.33333333333491</v>
      </c>
      <c r="S163" s="59">
        <f ca="1">AVERAGE(OFFSET($R$3,0,0,'Données projet'!$E$9+1,1))-AVERAGE(OFFSET($H$3,0,0,'Données projet'!$E$9+1,1))</f>
        <v>263.84804661819163</v>
      </c>
      <c r="T163" s="59">
        <f t="shared" si="142"/>
        <v>271.81541836379307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61.996093704179323</v>
      </c>
      <c r="AA163" s="21">
        <f>EXP(-LN(2)/25)*AA162+(1-EXP(-LN(2)/25))/(LN(2)/25)*Calculateur!V163*Calculateur!X163*VLOOKUP('Données projet'!$B$9,Paramètres!$A$1:$I$89,3,0)*0.475*44/12</f>
        <v>11.851691278497135</v>
      </c>
      <c r="AB163" s="21">
        <f>EXP(-LN(2)/2)*AB162+(1-EXP(-LN(2)/2))/(LN(2)/2)*V163*Y163*VLOOKUP('Données projet'!$B$9,Paramètres!$A$1:$I$89,3,0)*0.475*44/12</f>
        <v>2.0666747224965939E-7</v>
      </c>
      <c r="AC163" s="22">
        <f t="shared" si="163"/>
        <v>73.847785189343924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270.04187128233121</v>
      </c>
      <c r="AO163" s="59">
        <f t="shared" si="144"/>
        <v>183.82555940776064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31.432681210957366</v>
      </c>
      <c r="AV163" s="21">
        <f>EXP(-LN(2)/25)*AV162+(1-EXP(-LN(2)/25))/(LN(2)/25)*Calculateur!AQ163*Calculateur!AS163*VLOOKUP('Données projet'!$B$10,Paramètres!$A$1:$I$89,3,0)*0.475*44/12</f>
        <v>5.6307616086939909</v>
      </c>
      <c r="AW163" s="21">
        <f>EXP(-LN(2)/2)*AW162+(1-EXP(-LN(2)/2))/(LN(2)/2)*AQ163*AT163*VLOOKUP('Données projet'!$B$10,Paramètres!$A$1:$I$89,3,0)*0.475*44/12</f>
        <v>6.4316411954868005E-11</v>
      </c>
      <c r="AX163" s="21">
        <f t="shared" si="166"/>
        <v>37.063442819715675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9.5326413429575044E-14</v>
      </c>
      <c r="BF163" s="13">
        <f t="shared" si="167"/>
        <v>1.4400742856080346E-12</v>
      </c>
      <c r="BG163" s="20">
        <f t="shared" si="168"/>
        <v>2.6741562174905032E-12</v>
      </c>
      <c r="BH163" s="59">
        <f t="shared" si="116"/>
        <v>293.33333333333599</v>
      </c>
      <c r="BI163" s="59">
        <f ca="1">AVERAGE(OFFSET($BH$3,0,0,'Données projet'!$E$11+1,1))-AVERAGE(OFFSET($H$3,0,0,'Données projet'!$E$11+1,1))</f>
        <v>293.82673322742102</v>
      </c>
      <c r="BJ163" s="59">
        <f t="shared" si="146"/>
        <v>138.78566015867693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77.279399680564453</v>
      </c>
      <c r="BQ163" s="21">
        <f>EXP(-LN(2)/25)*BQ162+(1-EXP(-LN(2)/25))/(LN(2)/25)*Calculateur!BL163*Calculateur!BN163*VLOOKUP('Données projet'!$B$11,Paramètres!$A$1:$I$89,3,0)*0.475*44/12</f>
        <v>18.015074649787479</v>
      </c>
      <c r="BR163" s="21">
        <f>EXP(-LN(2)/2)*BR162+(1-EXP(-LN(2)/2))/(LN(2)/2)*BL163*BO163*VLOOKUP('Données projet'!$B$11,Paramètres!$A$1:$I$89,3,0)*0.475*44/12</f>
        <v>5.9254920486307577E-5</v>
      </c>
      <c r="BS163" s="22">
        <f t="shared" si="169"/>
        <v>95.294533585272418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5.3205440053716299E-14</v>
      </c>
      <c r="P164" s="13">
        <f t="shared" si="141"/>
        <v>8.602146238565607E-13</v>
      </c>
      <c r="Q164" s="20">
        <f t="shared" si="162"/>
        <v>1.590873277977066E-12</v>
      </c>
      <c r="R164" s="59">
        <f t="shared" si="109"/>
        <v>293.33333333333491</v>
      </c>
      <c r="S164" s="59">
        <f ca="1">AVERAGE(OFFSET($R$3,0,0,'Données projet'!$E$9+1,1))-AVERAGE(OFFSET($H$3,0,0,'Données projet'!$E$9+1,1))</f>
        <v>263.84804661819163</v>
      </c>
      <c r="T164" s="59">
        <f t="shared" si="142"/>
        <v>271.81541836379307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60.780388120523718</v>
      </c>
      <c r="AA164" s="21">
        <f>EXP(-LN(2)/25)*AA163+(1-EXP(-LN(2)/25))/(LN(2)/25)*Calculateur!V164*Calculateur!X164*VLOOKUP('Données projet'!$B$9,Paramètres!$A$1:$I$89,3,0)*0.475*44/12</f>
        <v>11.527606157233274</v>
      </c>
      <c r="AB164" s="21">
        <f>EXP(-LN(2)/2)*AB163+(1-EXP(-LN(2)/2))/(LN(2)/2)*V164*Y164*VLOOKUP('Données projet'!$B$9,Paramètres!$A$1:$I$89,3,0)*0.475*44/12</f>
        <v>1.4613597107841678E-7</v>
      </c>
      <c r="AC164" s="22">
        <f t="shared" si="163"/>
        <v>72.307994423892964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270.04187128233121</v>
      </c>
      <c r="AO164" s="59">
        <f t="shared" si="144"/>
        <v>183.82555940776064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30.816305504452949</v>
      </c>
      <c r="AV164" s="21">
        <f>EXP(-LN(2)/25)*AV163+(1-EXP(-LN(2)/25))/(LN(2)/25)*Calculateur!AQ164*Calculateur!AS164*VLOOKUP('Données projet'!$B$10,Paramètres!$A$1:$I$89,3,0)*0.475*44/12</f>
        <v>5.4767881363953697</v>
      </c>
      <c r="AW164" s="21">
        <f>EXP(-LN(2)/2)*AW163+(1-EXP(-LN(2)/2))/(LN(2)/2)*AQ164*AT164*VLOOKUP('Données projet'!$B$10,Paramètres!$A$1:$I$89,3,0)*0.475*44/12</f>
        <v>4.54785710348747E-11</v>
      </c>
      <c r="AX164" s="21">
        <f t="shared" si="166"/>
        <v>36.293093640893801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9.5326413429575044E-14</v>
      </c>
      <c r="BF164" s="13">
        <f t="shared" si="167"/>
        <v>1.4400742856080346E-12</v>
      </c>
      <c r="BG164" s="20">
        <f t="shared" si="168"/>
        <v>2.6741562174905032E-12</v>
      </c>
      <c r="BH164" s="59">
        <f t="shared" si="116"/>
        <v>293.33333333333599</v>
      </c>
      <c r="BI164" s="59">
        <f ca="1">AVERAGE(OFFSET($BH$3,0,0,'Données projet'!$E$11+1,1))-AVERAGE(OFFSET($H$3,0,0,'Données projet'!$E$11+1,1))</f>
        <v>293.82673322742102</v>
      </c>
      <c r="BJ164" s="59">
        <f t="shared" si="146"/>
        <v>138.78566015867693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75.763997788608123</v>
      </c>
      <c r="BQ164" s="21">
        <f>EXP(-LN(2)/25)*BQ163+(1-EXP(-LN(2)/25))/(LN(2)/25)*Calculateur!BL164*Calculateur!BN164*VLOOKUP('Données projet'!$B$11,Paramètres!$A$1:$I$89,3,0)*0.475*44/12</f>
        <v>17.52245148611744</v>
      </c>
      <c r="BR164" s="21">
        <f>EXP(-LN(2)/2)*BR163+(1-EXP(-LN(2)/2))/(LN(2)/2)*BL164*BO164*VLOOKUP('Données projet'!$B$11,Paramètres!$A$1:$I$89,3,0)*0.475*44/12</f>
        <v>4.1899556094537768E-5</v>
      </c>
      <c r="BS164" s="22">
        <f t="shared" si="169"/>
        <v>93.28649117428165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5.3205440053716299E-14</v>
      </c>
      <c r="P165" s="13">
        <f t="shared" si="141"/>
        <v>8.602146238565607E-13</v>
      </c>
      <c r="Q165" s="20">
        <f t="shared" si="162"/>
        <v>1.590873277977066E-12</v>
      </c>
      <c r="R165" s="59">
        <f t="shared" si="109"/>
        <v>293.33333333333491</v>
      </c>
      <c r="S165" s="59">
        <f ca="1">AVERAGE(OFFSET($R$3,0,0,'Données projet'!$E$9+1,1))-AVERAGE(OFFSET($H$3,0,0,'Données projet'!$E$9+1,1))</f>
        <v>263.84804661819163</v>
      </c>
      <c r="T165" s="59">
        <f t="shared" si="142"/>
        <v>271.81541836379307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59.588521781856407</v>
      </c>
      <c r="AA165" s="21">
        <f>EXP(-LN(2)/25)*AA164+(1-EXP(-LN(2)/25))/(LN(2)/25)*Calculateur!V165*Calculateur!X165*VLOOKUP('Données projet'!$B$9,Paramètres!$A$1:$I$89,3,0)*0.475*44/12</f>
        <v>11.212383160653269</v>
      </c>
      <c r="AB165" s="21">
        <f>EXP(-LN(2)/2)*AB164+(1-EXP(-LN(2)/2))/(LN(2)/2)*V165*Y165*VLOOKUP('Données projet'!$B$9,Paramètres!$A$1:$I$89,3,0)*0.475*44/12</f>
        <v>1.0333373612482969E-7</v>
      </c>
      <c r="AC165" s="22">
        <f t="shared" si="163"/>
        <v>70.800905045843407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270.04187128233121</v>
      </c>
      <c r="AO165" s="59">
        <f t="shared" si="144"/>
        <v>183.82555940776064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30.212016549601024</v>
      </c>
      <c r="AV165" s="21">
        <f>EXP(-LN(2)/25)*AV164+(1-EXP(-LN(2)/25))/(LN(2)/25)*Calculateur!AQ165*Calculateur!AS165*VLOOKUP('Données projet'!$B$10,Paramètres!$A$1:$I$89,3,0)*0.475*44/12</f>
        <v>5.3270250767938672</v>
      </c>
      <c r="AW165" s="21">
        <f>EXP(-LN(2)/2)*AW164+(1-EXP(-LN(2)/2))/(LN(2)/2)*AQ165*AT165*VLOOKUP('Données projet'!$B$10,Paramètres!$A$1:$I$89,3,0)*0.475*44/12</f>
        <v>3.2158205977434003E-11</v>
      </c>
      <c r="AX165" s="21">
        <f t="shared" si="166"/>
        <v>35.53904162642705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9.5326413429575044E-14</v>
      </c>
      <c r="BF165" s="13">
        <f t="shared" si="167"/>
        <v>1.4400742856080346E-12</v>
      </c>
      <c r="BG165" s="20">
        <f t="shared" si="168"/>
        <v>2.6741562174905032E-12</v>
      </c>
      <c r="BH165" s="59">
        <f t="shared" si="116"/>
        <v>293.33333333333599</v>
      </c>
      <c r="BI165" s="59">
        <f ca="1">AVERAGE(OFFSET($BH$3,0,0,'Données projet'!$E$11+1,1))-AVERAGE(OFFSET($H$3,0,0,'Données projet'!$E$11+1,1))</f>
        <v>293.82673322742102</v>
      </c>
      <c r="BJ165" s="59">
        <f t="shared" si="146"/>
        <v>138.78566015867693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74.278312003449159</v>
      </c>
      <c r="BQ165" s="21">
        <f>EXP(-LN(2)/25)*BQ164+(1-EXP(-LN(2)/25))/(LN(2)/25)*Calculateur!BL165*Calculateur!BN165*VLOOKUP('Données projet'!$B$11,Paramètres!$A$1:$I$89,3,0)*0.475*44/12</f>
        <v>17.043299128763884</v>
      </c>
      <c r="BR165" s="21">
        <f>EXP(-LN(2)/2)*BR164+(1-EXP(-LN(2)/2))/(LN(2)/2)*BL165*BO165*VLOOKUP('Données projet'!$B$11,Paramètres!$A$1:$I$89,3,0)*0.475*44/12</f>
        <v>2.9627460243153792E-5</v>
      </c>
      <c r="BS165" s="22">
        <f t="shared" si="169"/>
        <v>91.321640759673272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5.3205440053716299E-14</v>
      </c>
      <c r="P166" s="13">
        <f t="shared" si="141"/>
        <v>8.602146238565607E-13</v>
      </c>
      <c r="Q166" s="20">
        <f t="shared" si="162"/>
        <v>1.590873277977066E-12</v>
      </c>
      <c r="R166" s="59">
        <f t="shared" si="109"/>
        <v>293.33333333333491</v>
      </c>
      <c r="S166" s="59">
        <f ca="1">AVERAGE(OFFSET($R$3,0,0,'Données projet'!$E$9+1,1))-AVERAGE(OFFSET($H$3,0,0,'Données projet'!$E$9+1,1))</f>
        <v>263.84804661819163</v>
      </c>
      <c r="T166" s="59">
        <f t="shared" si="142"/>
        <v>271.81541836379307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58.420027215123682</v>
      </c>
      <c r="AA166" s="21">
        <f>EXP(-LN(2)/25)*AA165+(1-EXP(-LN(2)/25))/(LN(2)/25)*Calculateur!V166*Calculateur!X166*VLOOKUP('Données projet'!$B$9,Paramètres!$A$1:$I$89,3,0)*0.475*44/12</f>
        <v>10.905779953491601</v>
      </c>
      <c r="AB166" s="21">
        <f>EXP(-LN(2)/2)*AB165+(1-EXP(-LN(2)/2))/(LN(2)/2)*V166*Y166*VLOOKUP('Données projet'!$B$9,Paramètres!$A$1:$I$89,3,0)*0.475*44/12</f>
        <v>7.3067985539208391E-8</v>
      </c>
      <c r="AC166" s="22">
        <f t="shared" si="163"/>
        <v>69.325807241683265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270.04187128233121</v>
      </c>
      <c r="AO166" s="59">
        <f t="shared" si="144"/>
        <v>183.82555940776064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29.619577332573879</v>
      </c>
      <c r="AV166" s="21">
        <f>EXP(-LN(2)/25)*AV165+(1-EXP(-LN(2)/25))/(LN(2)/25)*Calculateur!AQ166*Calculateur!AS166*VLOOKUP('Données projet'!$B$10,Paramètres!$A$1:$I$89,3,0)*0.475*44/12</f>
        <v>5.1813572959328651</v>
      </c>
      <c r="AW166" s="21">
        <f>EXP(-LN(2)/2)*AW165+(1-EXP(-LN(2)/2))/(LN(2)/2)*AQ166*AT166*VLOOKUP('Données projet'!$B$10,Paramètres!$A$1:$I$89,3,0)*0.475*44/12</f>
        <v>2.273928551743735E-11</v>
      </c>
      <c r="AX166" s="21">
        <f t="shared" si="166"/>
        <v>34.800934628529482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9.5326413429575044E-14</v>
      </c>
      <c r="BF166" s="13">
        <f t="shared" si="167"/>
        <v>1.4400742856080346E-12</v>
      </c>
      <c r="BG166" s="20">
        <f t="shared" si="168"/>
        <v>2.6741562174905032E-12</v>
      </c>
      <c r="BH166" s="59">
        <f t="shared" si="116"/>
        <v>293.33333333333599</v>
      </c>
      <c r="BI166" s="59">
        <f ca="1">AVERAGE(OFFSET($BH$3,0,0,'Données projet'!$E$11+1,1))-AVERAGE(OFFSET($H$3,0,0,'Données projet'!$E$11+1,1))</f>
        <v>293.82673322742102</v>
      </c>
      <c r="BJ166" s="59">
        <f t="shared" si="146"/>
        <v>138.78566015867693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72.821759610358313</v>
      </c>
      <c r="BQ166" s="21">
        <f>EXP(-LN(2)/25)*BQ165+(1-EXP(-LN(2)/25))/(LN(2)/25)*Calculateur!BL166*Calculateur!BN166*VLOOKUP('Données projet'!$B$11,Paramètres!$A$1:$I$89,3,0)*0.475*44/12</f>
        <v>16.577249217819688</v>
      </c>
      <c r="BR166" s="21">
        <f>EXP(-LN(2)/2)*BR165+(1-EXP(-LN(2)/2))/(LN(2)/2)*BL166*BO166*VLOOKUP('Données projet'!$B$11,Paramètres!$A$1:$I$89,3,0)*0.475*44/12</f>
        <v>2.0949778047268887E-5</v>
      </c>
      <c r="BS166" s="22">
        <f t="shared" si="169"/>
        <v>89.399029777956045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5.3205440053716299E-14</v>
      </c>
      <c r="P167" s="13">
        <f t="shared" si="141"/>
        <v>8.602146238565607E-13</v>
      </c>
      <c r="Q167" s="20">
        <f t="shared" si="162"/>
        <v>1.590873277977066E-12</v>
      </c>
      <c r="R167" s="59">
        <f t="shared" si="109"/>
        <v>293.33333333333491</v>
      </c>
      <c r="S167" s="59">
        <f ca="1">AVERAGE(OFFSET($R$3,0,0,'Données projet'!$E$9+1,1))-AVERAGE(OFFSET($H$3,0,0,'Données projet'!$E$9+1,1))</f>
        <v>263.84804661819163</v>
      </c>
      <c r="T167" s="59">
        <f t="shared" si="142"/>
        <v>271.81541836379307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57.274446114133269</v>
      </c>
      <c r="AA167" s="21">
        <f>EXP(-LN(2)/25)*AA166+(1-EXP(-LN(2)/25))/(LN(2)/25)*Calculateur!V167*Calculateur!X167*VLOOKUP('Données projet'!$B$9,Paramètres!$A$1:$I$89,3,0)*0.475*44/12</f>
        <v>10.60756082715333</v>
      </c>
      <c r="AB167" s="21">
        <f>EXP(-LN(2)/2)*AB166+(1-EXP(-LN(2)/2))/(LN(2)/2)*V167*Y167*VLOOKUP('Données projet'!$B$9,Paramètres!$A$1:$I$89,3,0)*0.475*44/12</f>
        <v>5.1666868062414847E-8</v>
      </c>
      <c r="AC167" s="22">
        <f t="shared" si="163"/>
        <v>67.882006992953478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270.04187128233121</v>
      </c>
      <c r="AO167" s="59">
        <f t="shared" si="144"/>
        <v>183.82555940776064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29.038755487240394</v>
      </c>
      <c r="AV167" s="21">
        <f>EXP(-LN(2)/25)*AV166+(1-EXP(-LN(2)/25))/(LN(2)/25)*Calculateur!AQ167*Calculateur!AS167*VLOOKUP('Données projet'!$B$10,Paramètres!$A$1:$I$89,3,0)*0.475*44/12</f>
        <v>5.0396728081998425</v>
      </c>
      <c r="AW167" s="21">
        <f>EXP(-LN(2)/2)*AW166+(1-EXP(-LN(2)/2))/(LN(2)/2)*AQ167*AT167*VLOOKUP('Données projet'!$B$10,Paramètres!$A$1:$I$89,3,0)*0.475*44/12</f>
        <v>1.6079102988717001E-11</v>
      </c>
      <c r="AX167" s="21">
        <f t="shared" si="166"/>
        <v>34.078428295456312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9.5326413429575044E-14</v>
      </c>
      <c r="BF167" s="13">
        <f t="shared" si="167"/>
        <v>1.4400742856080346E-12</v>
      </c>
      <c r="BG167" s="20">
        <f t="shared" si="168"/>
        <v>2.6741562174905032E-12</v>
      </c>
      <c r="BH167" s="59">
        <f t="shared" si="116"/>
        <v>293.33333333333599</v>
      </c>
      <c r="BI167" s="59">
        <f ca="1">AVERAGE(OFFSET($BH$3,0,0,'Données projet'!$E$11+1,1))-AVERAGE(OFFSET($H$3,0,0,'Données projet'!$E$11+1,1))</f>
        <v>293.82673322742102</v>
      </c>
      <c r="BJ167" s="59">
        <f t="shared" si="146"/>
        <v>138.78566015867693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71.39376932128674</v>
      </c>
      <c r="BQ167" s="21">
        <f>EXP(-LN(2)/25)*BQ166+(1-EXP(-LN(2)/25))/(LN(2)/25)*Calculateur!BL167*Calculateur!BN167*VLOOKUP('Données projet'!$B$11,Paramètres!$A$1:$I$89,3,0)*0.475*44/12</f>
        <v>16.12394346619876</v>
      </c>
      <c r="BR167" s="21">
        <f>EXP(-LN(2)/2)*BR166+(1-EXP(-LN(2)/2))/(LN(2)/2)*BL167*BO167*VLOOKUP('Données projet'!$B$11,Paramètres!$A$1:$I$89,3,0)*0.475*44/12</f>
        <v>1.4813730121576899E-5</v>
      </c>
      <c r="BS167" s="22">
        <f t="shared" si="169"/>
        <v>87.517727601215611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5.3205440053716299E-14</v>
      </c>
      <c r="P168" s="13">
        <f t="shared" si="141"/>
        <v>8.602146238565607E-13</v>
      </c>
      <c r="Q168" s="20">
        <f t="shared" si="162"/>
        <v>1.590873277977066E-12</v>
      </c>
      <c r="R168" s="59">
        <f t="shared" si="109"/>
        <v>293.33333333333491</v>
      </c>
      <c r="S168" s="59">
        <f ca="1">AVERAGE(OFFSET($R$3,0,0,'Données projet'!$E$9+1,1))-AVERAGE(OFFSET($H$3,0,0,'Données projet'!$E$9+1,1))</f>
        <v>263.84804661819163</v>
      </c>
      <c r="T168" s="59">
        <f t="shared" si="142"/>
        <v>271.81541836379307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56.151329159797804</v>
      </c>
      <c r="AA168" s="21">
        <f>EXP(-LN(2)/25)*AA167+(1-EXP(-LN(2)/25))/(LN(2)/25)*Calculateur!V168*Calculateur!X168*VLOOKUP('Données projet'!$B$9,Paramètres!$A$1:$I$89,3,0)*0.475*44/12</f>
        <v>10.317496518507442</v>
      </c>
      <c r="AB168" s="21">
        <f>EXP(-LN(2)/2)*AB167+(1-EXP(-LN(2)/2))/(LN(2)/2)*V168*Y168*VLOOKUP('Données projet'!$B$9,Paramètres!$A$1:$I$89,3,0)*0.475*44/12</f>
        <v>3.6533992769604195E-8</v>
      </c>
      <c r="AC168" s="22">
        <f t="shared" si="163"/>
        <v>66.468825714839241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270.04187128233121</v>
      </c>
      <c r="AO168" s="59">
        <f t="shared" si="144"/>
        <v>183.82555940776064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28.469323204027553</v>
      </c>
      <c r="AV168" s="21">
        <f>EXP(-LN(2)/25)*AV167+(1-EXP(-LN(2)/25))/(LN(2)/25)*Calculateur!AQ168*Calculateur!AS168*VLOOKUP('Données projet'!$B$10,Paramètres!$A$1:$I$89,3,0)*0.475*44/12</f>
        <v>4.9018626902347435</v>
      </c>
      <c r="AW168" s="21">
        <f>EXP(-LN(2)/2)*AW167+(1-EXP(-LN(2)/2))/(LN(2)/2)*AQ168*AT168*VLOOKUP('Données projet'!$B$10,Paramètres!$A$1:$I$89,3,0)*0.475*44/12</f>
        <v>1.1369642758718675E-11</v>
      </c>
      <c r="AX168" s="21">
        <f t="shared" si="166"/>
        <v>33.371185894273665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9.5326413429575044E-14</v>
      </c>
      <c r="BF168" s="13">
        <f t="shared" si="167"/>
        <v>1.4400742856080346E-12</v>
      </c>
      <c r="BG168" s="20">
        <f t="shared" si="168"/>
        <v>2.6741562174905032E-12</v>
      </c>
      <c r="BH168" s="59">
        <f t="shared" si="116"/>
        <v>293.33333333333599</v>
      </c>
      <c r="BI168" s="59">
        <f ca="1">AVERAGE(OFFSET($BH$3,0,0,'Données projet'!$E$11+1,1))-AVERAGE(OFFSET($H$3,0,0,'Données projet'!$E$11+1,1))</f>
        <v>293.82673322742102</v>
      </c>
      <c r="BJ168" s="59">
        <f t="shared" si="146"/>
        <v>138.78566015867693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69.993781050795789</v>
      </c>
      <c r="BQ168" s="21">
        <f>EXP(-LN(2)/25)*BQ167+(1-EXP(-LN(2)/25))/(LN(2)/25)*Calculateur!BL168*Calculateur!BN168*VLOOKUP('Données projet'!$B$11,Paramètres!$A$1:$I$89,3,0)*0.475*44/12</f>
        <v>15.68303338419422</v>
      </c>
      <c r="BR168" s="21">
        <f>EXP(-LN(2)/2)*BR167+(1-EXP(-LN(2)/2))/(LN(2)/2)*BL168*BO168*VLOOKUP('Données projet'!$B$11,Paramètres!$A$1:$I$89,3,0)*0.475*44/12</f>
        <v>1.0474889023634445E-5</v>
      </c>
      <c r="BS168" s="22">
        <f t="shared" si="169"/>
        <v>85.676824909879031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5.3205440053716299E-14</v>
      </c>
      <c r="P169" s="13">
        <f t="shared" si="141"/>
        <v>8.602146238565607E-13</v>
      </c>
      <c r="Q169" s="20">
        <f t="shared" si="162"/>
        <v>1.590873277977066E-12</v>
      </c>
      <c r="R169" s="59">
        <f t="shared" si="109"/>
        <v>293.33333333333491</v>
      </c>
      <c r="S169" s="59">
        <f ca="1">AVERAGE(OFFSET($R$3,0,0,'Données projet'!$E$9+1,1))-AVERAGE(OFFSET($H$3,0,0,'Données projet'!$E$9+1,1))</f>
        <v>263.84804661819163</v>
      </c>
      <c r="T169" s="59">
        <f t="shared" si="142"/>
        <v>271.81541836379307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55.050235843903152</v>
      </c>
      <c r="AA169" s="21">
        <f>EXP(-LN(2)/25)*AA168+(1-EXP(-LN(2)/25))/(LN(2)/25)*Calculateur!V169*Calculateur!X169*VLOOKUP('Données projet'!$B$9,Paramètres!$A$1:$I$89,3,0)*0.475*44/12</f>
        <v>10.035364033635295</v>
      </c>
      <c r="AB169" s="21">
        <f>EXP(-LN(2)/2)*AB168+(1-EXP(-LN(2)/2))/(LN(2)/2)*V169*Y169*VLOOKUP('Données projet'!$B$9,Paramètres!$A$1:$I$89,3,0)*0.475*44/12</f>
        <v>2.5833434031207423E-8</v>
      </c>
      <c r="AC169" s="22">
        <f t="shared" si="163"/>
        <v>65.085599903371872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270.04187128233121</v>
      </c>
      <c r="AO169" s="59">
        <f t="shared" si="144"/>
        <v>183.82555940776064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27.911057140569117</v>
      </c>
      <c r="AV169" s="21">
        <f>EXP(-LN(2)/25)*AV168+(1-EXP(-LN(2)/25))/(LN(2)/25)*Calculateur!AQ169*Calculateur!AS169*VLOOKUP('Données projet'!$B$10,Paramètres!$A$1:$I$89,3,0)*0.475*44/12</f>
        <v>4.7678209971925192</v>
      </c>
      <c r="AW169" s="21">
        <f>EXP(-LN(2)/2)*AW168+(1-EXP(-LN(2)/2))/(LN(2)/2)*AQ169*AT169*VLOOKUP('Données projet'!$B$10,Paramètres!$A$1:$I$89,3,0)*0.475*44/12</f>
        <v>8.0395514943585007E-12</v>
      </c>
      <c r="AX169" s="21">
        <f t="shared" si="166"/>
        <v>32.678878137769672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9.5326413429575044E-14</v>
      </c>
      <c r="BF169" s="13">
        <f t="shared" si="167"/>
        <v>1.4400742856080346E-12</v>
      </c>
      <c r="BG169" s="20">
        <f t="shared" si="168"/>
        <v>2.6741562174905032E-12</v>
      </c>
      <c r="BH169" s="59">
        <f t="shared" si="116"/>
        <v>293.33333333333599</v>
      </c>
      <c r="BI169" s="59">
        <f ca="1">AVERAGE(OFFSET($BH$3,0,0,'Données projet'!$E$11+1,1))-AVERAGE(OFFSET($H$3,0,0,'Données projet'!$E$11+1,1))</f>
        <v>293.82673322742102</v>
      </c>
      <c r="BJ169" s="59">
        <f t="shared" si="146"/>
        <v>138.78566015867693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68.62124569638064</v>
      </c>
      <c r="BQ169" s="21">
        <f>EXP(-LN(2)/25)*BQ168+(1-EXP(-LN(2)/25))/(LN(2)/25)*Calculateur!BL169*Calculateur!BN169*VLOOKUP('Données projet'!$B$11,Paramètres!$A$1:$I$89,3,0)*0.475*44/12</f>
        <v>15.254180011568547</v>
      </c>
      <c r="BR169" s="21">
        <f>EXP(-LN(2)/2)*BR168+(1-EXP(-LN(2)/2))/(LN(2)/2)*BL169*BO169*VLOOKUP('Données projet'!$B$11,Paramètres!$A$1:$I$89,3,0)*0.475*44/12</f>
        <v>7.4068650607884505E-6</v>
      </c>
      <c r="BS169" s="22">
        <f t="shared" si="169"/>
        <v>83.875433114814257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5.3205440053716299E-14</v>
      </c>
      <c r="P170" s="13">
        <f t="shared" si="141"/>
        <v>8.602146238565607E-13</v>
      </c>
      <c r="Q170" s="20">
        <f t="shared" si="162"/>
        <v>1.590873277977066E-12</v>
      </c>
      <c r="R170" s="59">
        <f t="shared" si="109"/>
        <v>293.33333333333491</v>
      </c>
      <c r="S170" s="59">
        <f ca="1">AVERAGE(OFFSET($R$3,0,0,'Données projet'!$E$9+1,1))-AVERAGE(OFFSET($H$3,0,0,'Données projet'!$E$9+1,1))</f>
        <v>263.84804661819163</v>
      </c>
      <c r="T170" s="59">
        <f t="shared" si="142"/>
        <v>271.81541836379307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53.970734296332587</v>
      </c>
      <c r="AA170" s="21">
        <f>EXP(-LN(2)/25)*AA169+(1-EXP(-LN(2)/25))/(LN(2)/25)*Calculateur!V170*Calculateur!X170*VLOOKUP('Données projet'!$B$9,Paramètres!$A$1:$I$89,3,0)*0.475*44/12</f>
        <v>9.7609464763986793</v>
      </c>
      <c r="AB170" s="21">
        <f>EXP(-LN(2)/2)*AB169+(1-EXP(-LN(2)/2))/(LN(2)/2)*V170*Y170*VLOOKUP('Données projet'!$B$9,Paramètres!$A$1:$I$89,3,0)*0.475*44/12</f>
        <v>1.8266996384802098E-8</v>
      </c>
      <c r="AC170" s="22">
        <f t="shared" si="163"/>
        <v>63.731680790998261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270.04187128233121</v>
      </c>
      <c r="AO170" s="59">
        <f t="shared" si="144"/>
        <v>183.82555940776064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27.363738334106426</v>
      </c>
      <c r="AV170" s="21">
        <f>EXP(-LN(2)/25)*AV169+(1-EXP(-LN(2)/25))/(LN(2)/25)*Calculateur!AQ170*Calculateur!AS170*VLOOKUP('Données projet'!$B$10,Paramètres!$A$1:$I$89,3,0)*0.475*44/12</f>
        <v>4.6374446812954808</v>
      </c>
      <c r="AW170" s="21">
        <f>EXP(-LN(2)/2)*AW169+(1-EXP(-LN(2)/2))/(LN(2)/2)*AQ170*AT170*VLOOKUP('Données projet'!$B$10,Paramètres!$A$1:$I$89,3,0)*0.475*44/12</f>
        <v>5.6848213793593375E-12</v>
      </c>
      <c r="AX170" s="21">
        <f t="shared" si="166"/>
        <v>32.001183015407591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9.5326413429575044E-14</v>
      </c>
      <c r="BF170" s="13">
        <f t="shared" si="167"/>
        <v>1.4400742856080346E-12</v>
      </c>
      <c r="BG170" s="20">
        <f t="shared" si="168"/>
        <v>2.6741562174905032E-12</v>
      </c>
      <c r="BH170" s="59">
        <f t="shared" si="116"/>
        <v>293.33333333333599</v>
      </c>
      <c r="BI170" s="59">
        <f ca="1">AVERAGE(OFFSET($BH$3,0,0,'Données projet'!$E$11+1,1))-AVERAGE(OFFSET($H$3,0,0,'Données projet'!$E$11+1,1))</f>
        <v>293.82673322742102</v>
      </c>
      <c r="BJ170" s="59">
        <f t="shared" si="146"/>
        <v>138.78566015867693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67.275624923101674</v>
      </c>
      <c r="BQ170" s="21">
        <f>EXP(-LN(2)/25)*BQ169+(1-EXP(-LN(2)/25))/(LN(2)/25)*Calculateur!BL170*Calculateur!BN170*VLOOKUP('Données projet'!$B$11,Paramètres!$A$1:$I$89,3,0)*0.475*44/12</f>
        <v>14.837053656969742</v>
      </c>
      <c r="BR170" s="21">
        <f>EXP(-LN(2)/2)*BR169+(1-EXP(-LN(2)/2))/(LN(2)/2)*BL170*BO170*VLOOKUP('Données projet'!$B$11,Paramètres!$A$1:$I$89,3,0)*0.475*44/12</f>
        <v>5.2374445118172236E-6</v>
      </c>
      <c r="BS170" s="22">
        <f t="shared" si="169"/>
        <v>82.112683817515929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5.3205440053716299E-14</v>
      </c>
      <c r="P171" s="13">
        <f t="shared" si="141"/>
        <v>8.602146238565607E-13</v>
      </c>
      <c r="Q171" s="20">
        <f t="shared" si="162"/>
        <v>1.590873277977066E-12</v>
      </c>
      <c r="R171" s="59">
        <f t="shared" si="109"/>
        <v>293.33333333333491</v>
      </c>
      <c r="S171" s="59">
        <f ca="1">AVERAGE(OFFSET($R$3,0,0,'Données projet'!$E$9+1,1))-AVERAGE(OFFSET($H$3,0,0,'Données projet'!$E$9+1,1))</f>
        <v>263.84804661819163</v>
      </c>
      <c r="T171" s="59">
        <f t="shared" si="142"/>
        <v>271.81541836379307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52.912401115678954</v>
      </c>
      <c r="AA171" s="21">
        <f>EXP(-LN(2)/25)*AA170+(1-EXP(-LN(2)/25))/(LN(2)/25)*Calculateur!V171*Calculateur!X171*VLOOKUP('Données projet'!$B$9,Paramètres!$A$1:$I$89,3,0)*0.475*44/12</f>
        <v>9.4940328816956914</v>
      </c>
      <c r="AB171" s="21">
        <f>EXP(-LN(2)/2)*AB170+(1-EXP(-LN(2)/2))/(LN(2)/2)*V171*Y171*VLOOKUP('Données projet'!$B$9,Paramètres!$A$1:$I$89,3,0)*0.475*44/12</f>
        <v>1.2916717015603712E-8</v>
      </c>
      <c r="AC171" s="22">
        <f t="shared" si="163"/>
        <v>62.406434010291363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270.04187128233121</v>
      </c>
      <c r="AO171" s="59">
        <f t="shared" si="144"/>
        <v>183.82555940776064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26.82715211560696</v>
      </c>
      <c r="AV171" s="21">
        <f>EXP(-LN(2)/25)*AV170+(1-EXP(-LN(2)/25))/(LN(2)/25)*Calculateur!AQ171*Calculateur!AS171*VLOOKUP('Données projet'!$B$10,Paramètres!$A$1:$I$89,3,0)*0.475*44/12</f>
        <v>4.5106335126128387</v>
      </c>
      <c r="AW171" s="21">
        <f>EXP(-LN(2)/2)*AW170+(1-EXP(-LN(2)/2))/(LN(2)/2)*AQ171*AT171*VLOOKUP('Données projet'!$B$10,Paramètres!$A$1:$I$89,3,0)*0.475*44/12</f>
        <v>4.0197757471792503E-12</v>
      </c>
      <c r="AX171" s="21">
        <f t="shared" si="166"/>
        <v>31.337785628223816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9.5326413429575044E-14</v>
      </c>
      <c r="BF171" s="13">
        <f t="shared" si="167"/>
        <v>1.4400742856080346E-12</v>
      </c>
      <c r="BG171" s="20">
        <f t="shared" si="168"/>
        <v>2.6741562174905032E-12</v>
      </c>
      <c r="BH171" s="59">
        <f t="shared" si="116"/>
        <v>293.33333333333599</v>
      </c>
      <c r="BI171" s="59">
        <f ca="1">AVERAGE(OFFSET($BH$3,0,0,'Données projet'!$E$11+1,1))-AVERAGE(OFFSET($H$3,0,0,'Données projet'!$E$11+1,1))</f>
        <v>293.82673322742102</v>
      </c>
      <c r="BJ171" s="59">
        <f t="shared" si="146"/>
        <v>138.78566015867693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65.956390952439079</v>
      </c>
      <c r="BQ171" s="21">
        <f>EXP(-LN(2)/25)*BQ170+(1-EXP(-LN(2)/25))/(LN(2)/25)*Calculateur!BL171*Calculateur!BN171*VLOOKUP('Données projet'!$B$11,Paramètres!$A$1:$I$89,3,0)*0.475*44/12</f>
        <v>14.431333644473163</v>
      </c>
      <c r="BR171" s="21">
        <f>EXP(-LN(2)/2)*BR170+(1-EXP(-LN(2)/2))/(LN(2)/2)*BL171*BO171*VLOOKUP('Données projet'!$B$11,Paramètres!$A$1:$I$89,3,0)*0.475*44/12</f>
        <v>3.7034325303942261E-6</v>
      </c>
      <c r="BS171" s="22">
        <f t="shared" si="169"/>
        <v>80.387728300344776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5.3205440053716299E-14</v>
      </c>
      <c r="P172" s="13">
        <f t="shared" si="141"/>
        <v>8.602146238565607E-13</v>
      </c>
      <c r="Q172" s="20">
        <f t="shared" si="162"/>
        <v>1.590873277977066E-12</v>
      </c>
      <c r="R172" s="59">
        <f t="shared" si="109"/>
        <v>293.33333333333491</v>
      </c>
      <c r="S172" s="59">
        <f ca="1">AVERAGE(OFFSET($R$3,0,0,'Données projet'!$E$9+1,1))-AVERAGE(OFFSET($H$3,0,0,'Données projet'!$E$9+1,1))</f>
        <v>263.84804661819163</v>
      </c>
      <c r="T172" s="59">
        <f t="shared" si="142"/>
        <v>271.81541836379307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51.874821203178442</v>
      </c>
      <c r="AA172" s="21">
        <f>EXP(-LN(2)/25)*AA171+(1-EXP(-LN(2)/25))/(LN(2)/25)*Calculateur!V172*Calculateur!X172*VLOOKUP('Données projet'!$B$9,Paramètres!$A$1:$I$89,3,0)*0.475*44/12</f>
        <v>9.234418053276233</v>
      </c>
      <c r="AB172" s="21">
        <f>EXP(-LN(2)/2)*AB171+(1-EXP(-LN(2)/2))/(LN(2)/2)*V172*Y172*VLOOKUP('Données projet'!$B$9,Paramètres!$A$1:$I$89,3,0)*0.475*44/12</f>
        <v>9.1334981924010488E-9</v>
      </c>
      <c r="AC172" s="22">
        <f t="shared" si="163"/>
        <v>61.109239265588172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270.04187128233121</v>
      </c>
      <c r="AO172" s="59">
        <f t="shared" si="144"/>
        <v>183.82555940776064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26.30108802556699</v>
      </c>
      <c r="AV172" s="21">
        <f>EXP(-LN(2)/25)*AV171+(1-EXP(-LN(2)/25))/(LN(2)/25)*Calculateur!AQ172*Calculateur!AS172*VLOOKUP('Données projet'!$B$10,Paramètres!$A$1:$I$89,3,0)*0.475*44/12</f>
        <v>4.3872900020065337</v>
      </c>
      <c r="AW172" s="21">
        <f>EXP(-LN(2)/2)*AW171+(1-EXP(-LN(2)/2))/(LN(2)/2)*AQ172*AT172*VLOOKUP('Données projet'!$B$10,Paramètres!$A$1:$I$89,3,0)*0.475*44/12</f>
        <v>2.8424106896796688E-12</v>
      </c>
      <c r="AX172" s="21">
        <f t="shared" si="166"/>
        <v>30.688378027576366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9.5326413429575044E-14</v>
      </c>
      <c r="BF172" s="13">
        <f t="shared" si="167"/>
        <v>1.4400742856080346E-12</v>
      </c>
      <c r="BG172" s="20">
        <f t="shared" si="168"/>
        <v>2.6741562174905032E-12</v>
      </c>
      <c r="BH172" s="59">
        <f t="shared" si="116"/>
        <v>293.33333333333599</v>
      </c>
      <c r="BI172" s="59">
        <f ca="1">AVERAGE(OFFSET($BH$3,0,0,'Données projet'!$E$11+1,1))-AVERAGE(OFFSET($H$3,0,0,'Données projet'!$E$11+1,1))</f>
        <v>293.82673322742102</v>
      </c>
      <c r="BJ172" s="59">
        <f t="shared" si="146"/>
        <v>138.78566015867693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64.663026355287897</v>
      </c>
      <c r="BQ172" s="21">
        <f>EXP(-LN(2)/25)*BQ171+(1-EXP(-LN(2)/25))/(LN(2)/25)*Calculateur!BL172*Calculateur!BN172*VLOOKUP('Données projet'!$B$11,Paramètres!$A$1:$I$89,3,0)*0.475*44/12</f>
        <v>14.036708067054192</v>
      </c>
      <c r="BR172" s="21">
        <f>EXP(-LN(2)/2)*BR171+(1-EXP(-LN(2)/2))/(LN(2)/2)*BL172*BO172*VLOOKUP('Données projet'!$B$11,Paramètres!$A$1:$I$89,3,0)*0.475*44/12</f>
        <v>2.6187222559086122E-6</v>
      </c>
      <c r="BS172" s="22">
        <f t="shared" si="169"/>
        <v>78.699737041064338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5.3205440053716299E-14</v>
      </c>
      <c r="P173" s="13">
        <f t="shared" si="141"/>
        <v>8.602146238565607E-13</v>
      </c>
      <c r="Q173" s="20">
        <f t="shared" si="162"/>
        <v>1.590873277977066E-12</v>
      </c>
      <c r="R173" s="59">
        <f t="shared" si="109"/>
        <v>293.33333333333491</v>
      </c>
      <c r="S173" s="59">
        <f ca="1">AVERAGE(OFFSET($R$3,0,0,'Données projet'!$E$9+1,1))-AVERAGE(OFFSET($H$3,0,0,'Données projet'!$E$9+1,1))</f>
        <v>263.84804661819163</v>
      </c>
      <c r="T173" s="59">
        <f t="shared" si="142"/>
        <v>271.81541836379307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50.857587599900803</v>
      </c>
      <c r="AA173" s="21">
        <f>EXP(-LN(2)/25)*AA172+(1-EXP(-LN(2)/25))/(LN(2)/25)*Calculateur!V173*Calculateur!X173*VLOOKUP('Données projet'!$B$9,Paramètres!$A$1:$I$89,3,0)*0.475*44/12</f>
        <v>8.9819024059924537</v>
      </c>
      <c r="AB173" s="21">
        <f>EXP(-LN(2)/2)*AB172+(1-EXP(-LN(2)/2))/(LN(2)/2)*V173*Y173*VLOOKUP('Données projet'!$B$9,Paramètres!$A$1:$I$89,3,0)*0.475*44/12</f>
        <v>6.4583585078018558E-9</v>
      </c>
      <c r="AC173" s="22">
        <f t="shared" si="163"/>
        <v>59.839490012351611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270.04187128233121</v>
      </c>
      <c r="AO173" s="59">
        <f t="shared" si="144"/>
        <v>183.82555940776064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25.785339731465292</v>
      </c>
      <c r="AV173" s="21">
        <f>EXP(-LN(2)/25)*AV172+(1-EXP(-LN(2)/25))/(LN(2)/25)*Calculateur!AQ173*Calculateur!AS173*VLOOKUP('Données projet'!$B$10,Paramètres!$A$1:$I$89,3,0)*0.475*44/12</f>
        <v>4.2673193261841114</v>
      </c>
      <c r="AW173" s="21">
        <f>EXP(-LN(2)/2)*AW172+(1-EXP(-LN(2)/2))/(LN(2)/2)*AQ173*AT173*VLOOKUP('Données projet'!$B$10,Paramètres!$A$1:$I$89,3,0)*0.475*44/12</f>
        <v>2.0098878735896252E-12</v>
      </c>
      <c r="AX173" s="21">
        <f t="shared" si="166"/>
        <v>30.052659057651415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9.5326413429575044E-14</v>
      </c>
      <c r="BF173" s="13">
        <f t="shared" si="167"/>
        <v>1.4400742856080346E-12</v>
      </c>
      <c r="BG173" s="20">
        <f t="shared" si="168"/>
        <v>2.6741562174905032E-12</v>
      </c>
      <c r="BH173" s="59">
        <f t="shared" si="116"/>
        <v>293.33333333333599</v>
      </c>
      <c r="BI173" s="59">
        <f ca="1">AVERAGE(OFFSET($BH$3,0,0,'Données projet'!$E$11+1,1))-AVERAGE(OFFSET($H$3,0,0,'Données projet'!$E$11+1,1))</f>
        <v>293.82673322742102</v>
      </c>
      <c r="BJ173" s="59">
        <f t="shared" si="146"/>
        <v>138.78566015867693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63.395023849012347</v>
      </c>
      <c r="BQ173" s="21">
        <f>EXP(-LN(2)/25)*BQ172+(1-EXP(-LN(2)/25))/(LN(2)/25)*Calculateur!BL173*Calculateur!BN173*VLOOKUP('Données projet'!$B$11,Paramètres!$A$1:$I$89,3,0)*0.475*44/12</f>
        <v>13.6528735468022</v>
      </c>
      <c r="BR173" s="21">
        <f>EXP(-LN(2)/2)*BR172+(1-EXP(-LN(2)/2))/(LN(2)/2)*BL173*BO173*VLOOKUP('Données projet'!$B$11,Paramètres!$A$1:$I$89,3,0)*0.475*44/12</f>
        <v>1.8517162651971133E-6</v>
      </c>
      <c r="BS173" s="22">
        <f t="shared" si="169"/>
        <v>77.047899247530808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5.3205440053716299E-14</v>
      </c>
      <c r="P174" s="13">
        <f t="shared" si="141"/>
        <v>8.602146238565607E-13</v>
      </c>
      <c r="Q174" s="20">
        <f t="shared" si="162"/>
        <v>1.590873277977066E-12</v>
      </c>
      <c r="R174" s="59">
        <f t="shared" si="109"/>
        <v>293.33333333333491</v>
      </c>
      <c r="S174" s="59">
        <f ca="1">AVERAGE(OFFSET($R$3,0,0,'Données projet'!$E$9+1,1))-AVERAGE(OFFSET($H$3,0,0,'Données projet'!$E$9+1,1))</f>
        <v>263.84804661819163</v>
      </c>
      <c r="T174" s="59">
        <f t="shared" si="142"/>
        <v>271.81541836379307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49.860301327132206</v>
      </c>
      <c r="AA174" s="21">
        <f>EXP(-LN(2)/25)*AA173+(1-EXP(-LN(2)/25))/(LN(2)/25)*Calculateur!V174*Calculateur!X174*VLOOKUP('Données projet'!$B$9,Paramètres!$A$1:$I$89,3,0)*0.475*44/12</f>
        <v>8.7362918123628717</v>
      </c>
      <c r="AB174" s="21">
        <f>EXP(-LN(2)/2)*AB173+(1-EXP(-LN(2)/2))/(LN(2)/2)*V174*Y174*VLOOKUP('Données projet'!$B$9,Paramètres!$A$1:$I$89,3,0)*0.475*44/12</f>
        <v>4.5667490962005244E-9</v>
      </c>
      <c r="AC174" s="22">
        <f t="shared" si="163"/>
        <v>58.596593144061828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270.04187128233121</v>
      </c>
      <c r="AO174" s="59">
        <f t="shared" si="144"/>
        <v>183.82555940776064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25.279704946835533</v>
      </c>
      <c r="AV174" s="21">
        <f>EXP(-LN(2)/25)*AV173+(1-EXP(-LN(2)/25))/(LN(2)/25)*Calculateur!AQ174*Calculateur!AS174*VLOOKUP('Données projet'!$B$10,Paramètres!$A$1:$I$89,3,0)*0.475*44/12</f>
        <v>4.1506292548010366</v>
      </c>
      <c r="AW174" s="21">
        <f>EXP(-LN(2)/2)*AW173+(1-EXP(-LN(2)/2))/(LN(2)/2)*AQ174*AT174*VLOOKUP('Données projet'!$B$10,Paramètres!$A$1:$I$89,3,0)*0.475*44/12</f>
        <v>1.4212053448398344E-12</v>
      </c>
      <c r="AX174" s="21">
        <f t="shared" si="166"/>
        <v>29.43033420163799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9.5326413429575044E-14</v>
      </c>
      <c r="BF174" s="13">
        <f t="shared" si="167"/>
        <v>1.4400742856080346E-12</v>
      </c>
      <c r="BG174" s="20">
        <f t="shared" si="168"/>
        <v>2.6741562174905032E-12</v>
      </c>
      <c r="BH174" s="59">
        <f t="shared" si="116"/>
        <v>293.33333333333599</v>
      </c>
      <c r="BI174" s="59">
        <f ca="1">AVERAGE(OFFSET($BH$3,0,0,'Données projet'!$E$11+1,1))-AVERAGE(OFFSET($H$3,0,0,'Données projet'!$E$11+1,1))</f>
        <v>293.82673322742102</v>
      </c>
      <c r="BJ174" s="59">
        <f t="shared" si="146"/>
        <v>138.78566015867693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62.1518860984797</v>
      </c>
      <c r="BQ174" s="21">
        <f>EXP(-LN(2)/25)*BQ173+(1-EXP(-LN(2)/25))/(LN(2)/25)*Calculateur!BL174*Calculateur!BN174*VLOOKUP('Données projet'!$B$11,Paramètres!$A$1:$I$89,3,0)*0.475*44/12</f>
        <v>13.279535001691478</v>
      </c>
      <c r="BR174" s="21">
        <f>EXP(-LN(2)/2)*BR173+(1-EXP(-LN(2)/2))/(LN(2)/2)*BL174*BO174*VLOOKUP('Données projet'!$B$11,Paramètres!$A$1:$I$89,3,0)*0.475*44/12</f>
        <v>1.3093611279543063E-6</v>
      </c>
      <c r="BS174" s="22">
        <f t="shared" si="169"/>
        <v>75.431422409532303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5.3205440053716299E-14</v>
      </c>
      <c r="P175" s="13">
        <f t="shared" si="141"/>
        <v>8.602146238565607E-13</v>
      </c>
      <c r="Q175" s="20">
        <f t="shared" si="162"/>
        <v>1.590873277977066E-12</v>
      </c>
      <c r="R175" s="59">
        <f t="shared" si="109"/>
        <v>293.33333333333491</v>
      </c>
      <c r="S175" s="59">
        <f ca="1">AVERAGE(OFFSET($R$3,0,0,'Données projet'!$E$9+1,1))-AVERAGE(OFFSET($H$3,0,0,'Données projet'!$E$9+1,1))</f>
        <v>263.84804661819163</v>
      </c>
      <c r="T175" s="59">
        <f t="shared" si="142"/>
        <v>271.81541836379307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48.882571229888036</v>
      </c>
      <c r="AA175" s="21">
        <f>EXP(-LN(2)/25)*AA174+(1-EXP(-LN(2)/25))/(LN(2)/25)*Calculateur!V175*Calculateur!X175*VLOOKUP('Données projet'!$B$9,Paramètres!$A$1:$I$89,3,0)*0.475*44/12</f>
        <v>8.497397453332189</v>
      </c>
      <c r="AB175" s="21">
        <f>EXP(-LN(2)/2)*AB174+(1-EXP(-LN(2)/2))/(LN(2)/2)*V175*Y175*VLOOKUP('Données projet'!$B$9,Paramètres!$A$1:$I$89,3,0)*0.475*44/12</f>
        <v>3.2291792539009279E-9</v>
      </c>
      <c r="AC175" s="22">
        <f t="shared" si="163"/>
        <v>57.379968686449409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270.04187128233121</v>
      </c>
      <c r="AO175" s="59">
        <f t="shared" si="144"/>
        <v>183.82555940776064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24.783985351925597</v>
      </c>
      <c r="AV175" s="21">
        <f>EXP(-LN(2)/25)*AV174+(1-EXP(-LN(2)/25))/(LN(2)/25)*Calculateur!AQ175*Calculateur!AS175*VLOOKUP('Données projet'!$B$10,Paramètres!$A$1:$I$89,3,0)*0.475*44/12</f>
        <v>4.0371300795563965</v>
      </c>
      <c r="AW175" s="21">
        <f>EXP(-LN(2)/2)*AW174+(1-EXP(-LN(2)/2))/(LN(2)/2)*AQ175*AT175*VLOOKUP('Données projet'!$B$10,Paramètres!$A$1:$I$89,3,0)*0.475*44/12</f>
        <v>1.0049439367948126E-12</v>
      </c>
      <c r="AX175" s="21">
        <f t="shared" si="166"/>
        <v>28.821115431482998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9.5326413429575044E-14</v>
      </c>
      <c r="BF175" s="13">
        <f t="shared" si="167"/>
        <v>1.4400742856080346E-12</v>
      </c>
      <c r="BG175" s="20">
        <f t="shared" si="168"/>
        <v>2.6741562174905032E-12</v>
      </c>
      <c r="BH175" s="59">
        <f t="shared" si="116"/>
        <v>293.33333333333599</v>
      </c>
      <c r="BI175" s="59">
        <f ca="1">AVERAGE(OFFSET($BH$3,0,0,'Données projet'!$E$11+1,1))-AVERAGE(OFFSET($H$3,0,0,'Données projet'!$E$11+1,1))</f>
        <v>293.82673322742102</v>
      </c>
      <c r="BJ175" s="59">
        <f t="shared" si="146"/>
        <v>138.78566015867693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60.933125520995837</v>
      </c>
      <c r="BQ175" s="21">
        <f>EXP(-LN(2)/25)*BQ174+(1-EXP(-LN(2)/25))/(LN(2)/25)*Calculateur!BL175*Calculateur!BN175*VLOOKUP('Données projet'!$B$11,Paramètres!$A$1:$I$89,3,0)*0.475*44/12</f>
        <v>12.916405418729831</v>
      </c>
      <c r="BR175" s="21">
        <f>EXP(-LN(2)/2)*BR174+(1-EXP(-LN(2)/2))/(LN(2)/2)*BL175*BO175*VLOOKUP('Données projet'!$B$11,Paramètres!$A$1:$I$89,3,0)*0.475*44/12</f>
        <v>9.2585813259855685E-7</v>
      </c>
      <c r="BS175" s="22">
        <f t="shared" si="169"/>
        <v>73.849531865583799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5.3205440053716299E-14</v>
      </c>
      <c r="P176" s="13">
        <f t="shared" si="141"/>
        <v>8.602146238565607E-13</v>
      </c>
      <c r="Q176" s="20">
        <f t="shared" si="162"/>
        <v>1.590873277977066E-12</v>
      </c>
      <c r="R176" s="59">
        <f t="shared" si="109"/>
        <v>293.33333333333491</v>
      </c>
      <c r="S176" s="59">
        <f ca="1">AVERAGE(OFFSET($R$3,0,0,'Données projet'!$E$9+1,1))-AVERAGE(OFFSET($H$3,0,0,'Données projet'!$E$9+1,1))</f>
        <v>263.84804661819163</v>
      </c>
      <c r="T176" s="59">
        <f t="shared" si="142"/>
        <v>271.81541836379307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47.924013823494356</v>
      </c>
      <c r="AA176" s="21">
        <f>EXP(-LN(2)/25)*AA175+(1-EXP(-LN(2)/25))/(LN(2)/25)*Calculateur!V176*Calculateur!X176*VLOOKUP('Données projet'!$B$9,Paramètres!$A$1:$I$89,3,0)*0.475*44/12</f>
        <v>8.2650356731121093</v>
      </c>
      <c r="AB176" s="21">
        <f>EXP(-LN(2)/2)*AB175+(1-EXP(-LN(2)/2))/(LN(2)/2)*V176*Y176*VLOOKUP('Données projet'!$B$9,Paramètres!$A$1:$I$89,3,0)*0.475*44/12</f>
        <v>2.2833745481002622E-9</v>
      </c>
      <c r="AC176" s="22">
        <f t="shared" si="163"/>
        <v>56.189049498889837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270.04187128233121</v>
      </c>
      <c r="AO176" s="59">
        <f t="shared" si="144"/>
        <v>183.82555940776064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24.297986515912747</v>
      </c>
      <c r="AV176" s="21">
        <f>EXP(-LN(2)/25)*AV175+(1-EXP(-LN(2)/25))/(LN(2)/25)*Calculateur!AQ176*Calculateur!AS176*VLOOKUP('Données projet'!$B$10,Paramètres!$A$1:$I$89,3,0)*0.475*44/12</f>
        <v>3.9267345452274829</v>
      </c>
      <c r="AW176" s="21">
        <f>EXP(-LN(2)/2)*AW175+(1-EXP(-LN(2)/2))/(LN(2)/2)*AQ176*AT176*VLOOKUP('Données projet'!$B$10,Paramètres!$A$1:$I$89,3,0)*0.475*44/12</f>
        <v>7.1060267241991719E-13</v>
      </c>
      <c r="AX176" s="21">
        <f t="shared" si="166"/>
        <v>28.22472106114094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9.5326413429575044E-14</v>
      </c>
      <c r="BF176" s="13">
        <f t="shared" si="167"/>
        <v>1.4400742856080346E-12</v>
      </c>
      <c r="BG176" s="20">
        <f t="shared" si="168"/>
        <v>2.6741562174905032E-12</v>
      </c>
      <c r="BH176" s="59">
        <f t="shared" si="116"/>
        <v>293.33333333333599</v>
      </c>
      <c r="BI176" s="59">
        <f ca="1">AVERAGE(OFFSET($BH$3,0,0,'Données projet'!$E$11+1,1))-AVERAGE(OFFSET($H$3,0,0,'Données projet'!$E$11+1,1))</f>
        <v>293.82673322742102</v>
      </c>
      <c r="BJ176" s="59">
        <f t="shared" si="146"/>
        <v>138.78566015867693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59.738264095065887</v>
      </c>
      <c r="BQ176" s="21">
        <f>EXP(-LN(2)/25)*BQ175+(1-EXP(-LN(2)/25))/(LN(2)/25)*Calculateur!BL176*Calculateur!BN176*VLOOKUP('Données projet'!$B$11,Paramètres!$A$1:$I$89,3,0)*0.475*44/12</f>
        <v>12.563205633310423</v>
      </c>
      <c r="BR176" s="21">
        <f>EXP(-LN(2)/2)*BR175+(1-EXP(-LN(2)/2))/(LN(2)/2)*BL176*BO176*VLOOKUP('Données projet'!$B$11,Paramètres!$A$1:$I$89,3,0)*0.475*44/12</f>
        <v>6.5468056397715326E-7</v>
      </c>
      <c r="BS176" s="22">
        <f t="shared" si="169"/>
        <v>72.301470383056866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5.3205440053716299E-14</v>
      </c>
      <c r="P177" s="13">
        <f t="shared" si="141"/>
        <v>8.602146238565607E-13</v>
      </c>
      <c r="Q177" s="20">
        <f t="shared" si="162"/>
        <v>1.590873277977066E-12</v>
      </c>
      <c r="R177" s="59">
        <f t="shared" si="109"/>
        <v>293.33333333333491</v>
      </c>
      <c r="S177" s="59">
        <f ca="1">AVERAGE(OFFSET($R$3,0,0,'Données projet'!$E$9+1,1))-AVERAGE(OFFSET($H$3,0,0,'Données projet'!$E$9+1,1))</f>
        <v>263.84804661819163</v>
      </c>
      <c r="T177" s="59">
        <f t="shared" si="142"/>
        <v>271.81541836379307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46.984253143177767</v>
      </c>
      <c r="AA177" s="21">
        <f>EXP(-LN(2)/25)*AA176+(1-EXP(-LN(2)/25))/(LN(2)/25)*Calculateur!V177*Calculateur!X177*VLOOKUP('Données projet'!$B$9,Paramètres!$A$1:$I$89,3,0)*0.475*44/12</f>
        <v>8.0390278379915223</v>
      </c>
      <c r="AB177" s="21">
        <f>EXP(-LN(2)/2)*AB176+(1-EXP(-LN(2)/2))/(LN(2)/2)*V177*Y177*VLOOKUP('Données projet'!$B$9,Paramètres!$A$1:$I$89,3,0)*0.475*44/12</f>
        <v>1.614589626950464E-9</v>
      </c>
      <c r="AC177" s="22">
        <f t="shared" si="163"/>
        <v>55.023280982783881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270.04187128233121</v>
      </c>
      <c r="AO177" s="59">
        <f t="shared" si="144"/>
        <v>183.82555940776064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23.82151782064409</v>
      </c>
      <c r="AV177" s="21">
        <f>EXP(-LN(2)/25)*AV176+(1-EXP(-LN(2)/25))/(LN(2)/25)*Calculateur!AQ177*Calculateur!AS177*VLOOKUP('Données projet'!$B$10,Paramètres!$A$1:$I$89,3,0)*0.475*44/12</f>
        <v>3.8193577825902425</v>
      </c>
      <c r="AW177" s="21">
        <f>EXP(-LN(2)/2)*AW176+(1-EXP(-LN(2)/2))/(LN(2)/2)*AQ177*AT177*VLOOKUP('Données projet'!$B$10,Paramètres!$A$1:$I$89,3,0)*0.475*44/12</f>
        <v>5.0247196839740629E-13</v>
      </c>
      <c r="AX177" s="21">
        <f t="shared" si="166"/>
        <v>27.640875603234832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9.5326413429575044E-14</v>
      </c>
      <c r="BF177" s="13">
        <f t="shared" si="167"/>
        <v>1.4400742856080346E-12</v>
      </c>
      <c r="BG177" s="20">
        <f t="shared" si="168"/>
        <v>2.6741562174905032E-12</v>
      </c>
      <c r="BH177" s="59">
        <f t="shared" si="116"/>
        <v>293.33333333333599</v>
      </c>
      <c r="BI177" s="59">
        <f ca="1">AVERAGE(OFFSET($BH$3,0,0,'Données projet'!$E$11+1,1))-AVERAGE(OFFSET($H$3,0,0,'Données projet'!$E$11+1,1))</f>
        <v>293.82673322742102</v>
      </c>
      <c r="BJ177" s="59">
        <f t="shared" si="146"/>
        <v>138.78566015867693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58.566833172904914</v>
      </c>
      <c r="BQ177" s="21">
        <f>EXP(-LN(2)/25)*BQ176+(1-EXP(-LN(2)/25))/(LN(2)/25)*Calculateur!BL177*Calculateur!BN177*VLOOKUP('Données projet'!$B$11,Paramètres!$A$1:$I$89,3,0)*0.475*44/12</f>
        <v>12.219664114597279</v>
      </c>
      <c r="BR177" s="21">
        <f>EXP(-LN(2)/2)*BR176+(1-EXP(-LN(2)/2))/(LN(2)/2)*BL177*BO177*VLOOKUP('Données projet'!$B$11,Paramètres!$A$1:$I$89,3,0)*0.475*44/12</f>
        <v>4.6292906629927848E-7</v>
      </c>
      <c r="BS177" s="22">
        <f t="shared" si="169"/>
        <v>70.786497750431252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5.3205440053716299E-14</v>
      </c>
      <c r="P178" s="13">
        <f t="shared" si="141"/>
        <v>8.602146238565607E-13</v>
      </c>
      <c r="Q178" s="20">
        <f t="shared" si="162"/>
        <v>1.590873277977066E-12</v>
      </c>
      <c r="R178" s="59">
        <f t="shared" si="109"/>
        <v>293.33333333333491</v>
      </c>
      <c r="S178" s="59">
        <f ca="1">AVERAGE(OFFSET($R$3,0,0,'Données projet'!$E$9+1,1))-AVERAGE(OFFSET($H$3,0,0,'Données projet'!$E$9+1,1))</f>
        <v>263.84804661819163</v>
      </c>
      <c r="T178" s="59">
        <f t="shared" si="142"/>
        <v>271.81541836379307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46.062920596604769</v>
      </c>
      <c r="AA178" s="21">
        <f>EXP(-LN(2)/25)*AA177+(1-EXP(-LN(2)/25))/(LN(2)/25)*Calculateur!V178*Calculateur!X178*VLOOKUP('Données projet'!$B$9,Paramètres!$A$1:$I$89,3,0)*0.475*44/12</f>
        <v>7.8192001990075433</v>
      </c>
      <c r="AB178" s="21">
        <f>EXP(-LN(2)/2)*AB177+(1-EXP(-LN(2)/2))/(LN(2)/2)*V178*Y178*VLOOKUP('Données projet'!$B$9,Paramètres!$A$1:$I$89,3,0)*0.475*44/12</f>
        <v>1.1416872740501311E-9</v>
      </c>
      <c r="AC178" s="22">
        <f t="shared" si="163"/>
        <v>53.882120796753995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270.04187128233121</v>
      </c>
      <c r="AO178" s="59">
        <f t="shared" si="144"/>
        <v>183.82555940776064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23.35439238587244</v>
      </c>
      <c r="AV178" s="21">
        <f>EXP(-LN(2)/25)*AV177+(1-EXP(-LN(2)/25))/(LN(2)/25)*Calculateur!AQ178*Calculateur!AS178*VLOOKUP('Données projet'!$B$10,Paramètres!$A$1:$I$89,3,0)*0.475*44/12</f>
        <v>3.7149172431740158</v>
      </c>
      <c r="AW178" s="21">
        <f>EXP(-LN(2)/2)*AW177+(1-EXP(-LN(2)/2))/(LN(2)/2)*AQ178*AT178*VLOOKUP('Données projet'!$B$10,Paramètres!$A$1:$I$89,3,0)*0.475*44/12</f>
        <v>3.553013362099586E-13</v>
      </c>
      <c r="AX178" s="21">
        <f t="shared" si="166"/>
        <v>27.069309629046813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9.5326413429575044E-14</v>
      </c>
      <c r="BF178" s="13">
        <f t="shared" si="167"/>
        <v>1.4400742856080346E-12</v>
      </c>
      <c r="BG178" s="20">
        <f t="shared" si="168"/>
        <v>2.6741562174905032E-12</v>
      </c>
      <c r="BH178" s="59">
        <f t="shared" si="116"/>
        <v>293.33333333333599</v>
      </c>
      <c r="BI178" s="59">
        <f ca="1">AVERAGE(OFFSET($BH$3,0,0,'Données projet'!$E$11+1,1))-AVERAGE(OFFSET($H$3,0,0,'Données projet'!$E$11+1,1))</f>
        <v>293.82673322742102</v>
      </c>
      <c r="BJ178" s="59">
        <f t="shared" si="146"/>
        <v>138.78566015867693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57.418373296625205</v>
      </c>
      <c r="BQ178" s="21">
        <f>EXP(-LN(2)/25)*BQ177+(1-EXP(-LN(2)/25))/(LN(2)/25)*Calculateur!BL178*Calculateur!BN178*VLOOKUP('Données projet'!$B$11,Paramètres!$A$1:$I$89,3,0)*0.475*44/12</f>
        <v>11.88551675677941</v>
      </c>
      <c r="BR178" s="21">
        <f>EXP(-LN(2)/2)*BR177+(1-EXP(-LN(2)/2))/(LN(2)/2)*BL178*BO178*VLOOKUP('Données projet'!$B$11,Paramètres!$A$1:$I$89,3,0)*0.475*44/12</f>
        <v>3.2734028198857668E-7</v>
      </c>
      <c r="BS178" s="22">
        <f t="shared" si="169"/>
        <v>69.303890380744903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5.3205440053716299E-14</v>
      </c>
      <c r="P179" s="13">
        <f t="shared" si="141"/>
        <v>8.602146238565607E-13</v>
      </c>
      <c r="Q179" s="20">
        <f t="shared" si="162"/>
        <v>1.590873277977066E-12</v>
      </c>
      <c r="R179" s="59">
        <f t="shared" si="109"/>
        <v>293.33333333333491</v>
      </c>
      <c r="S179" s="59">
        <f ca="1">AVERAGE(OFFSET($R$3,0,0,'Données projet'!$E$9+1,1))-AVERAGE(OFFSET($H$3,0,0,'Données projet'!$E$9+1,1))</f>
        <v>263.84804661819163</v>
      </c>
      <c r="T179" s="59">
        <f t="shared" si="142"/>
        <v>271.81541836379307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45.159654819312706</v>
      </c>
      <c r="AA179" s="21">
        <f>EXP(-LN(2)/25)*AA178+(1-EXP(-LN(2)/25))/(LN(2)/25)*Calculateur!V179*Calculateur!X179*VLOOKUP('Données projet'!$B$9,Paramètres!$A$1:$I$89,3,0)*0.475*44/12</f>
        <v>7.6053837583718149</v>
      </c>
      <c r="AB179" s="21">
        <f>EXP(-LN(2)/2)*AB178+(1-EXP(-LN(2)/2))/(LN(2)/2)*V179*Y179*VLOOKUP('Données projet'!$B$9,Paramètres!$A$1:$I$89,3,0)*0.475*44/12</f>
        <v>8.0729481347523198E-10</v>
      </c>
      <c r="AC179" s="22">
        <f t="shared" si="163"/>
        <v>52.765038578491819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270.04187128233121</v>
      </c>
      <c r="AO179" s="59">
        <f t="shared" si="144"/>
        <v>183.82555940776064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22.896426995958283</v>
      </c>
      <c r="AV179" s="21">
        <f>EXP(-LN(2)/25)*AV178+(1-EXP(-LN(2)/25))/(LN(2)/25)*Calculateur!AQ179*Calculateur!AS179*VLOOKUP('Données projet'!$B$10,Paramètres!$A$1:$I$89,3,0)*0.475*44/12</f>
        <v>3.6133326358004152</v>
      </c>
      <c r="AW179" s="21">
        <f>EXP(-LN(2)/2)*AW178+(1-EXP(-LN(2)/2))/(LN(2)/2)*AQ179*AT179*VLOOKUP('Données projet'!$B$10,Paramètres!$A$1:$I$89,3,0)*0.475*44/12</f>
        <v>2.5123598419870315E-13</v>
      </c>
      <c r="AX179" s="21">
        <f t="shared" si="166"/>
        <v>26.50975963175895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9.5326413429575044E-14</v>
      </c>
      <c r="BF179" s="13">
        <f t="shared" si="167"/>
        <v>1.4400742856080346E-12</v>
      </c>
      <c r="BG179" s="20">
        <f t="shared" si="168"/>
        <v>2.6741562174905032E-12</v>
      </c>
      <c r="BH179" s="59">
        <f t="shared" si="116"/>
        <v>293.33333333333599</v>
      </c>
      <c r="BI179" s="59">
        <f ca="1">AVERAGE(OFFSET($BH$3,0,0,'Données projet'!$E$11+1,1))-AVERAGE(OFFSET($H$3,0,0,'Données projet'!$E$11+1,1))</f>
        <v>293.82673322742102</v>
      </c>
      <c r="BJ179" s="59">
        <f t="shared" si="146"/>
        <v>138.78566015867693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56.292434018027983</v>
      </c>
      <c r="BQ179" s="21">
        <f>EXP(-LN(2)/25)*BQ178+(1-EXP(-LN(2)/25))/(LN(2)/25)*Calculateur!BL179*Calculateur!BN179*VLOOKUP('Données projet'!$B$11,Paramètres!$A$1:$I$89,3,0)*0.475*44/12</f>
        <v>11.560506676033116</v>
      </c>
      <c r="BR179" s="21">
        <f>EXP(-LN(2)/2)*BR178+(1-EXP(-LN(2)/2))/(LN(2)/2)*BL179*BO179*VLOOKUP('Données projet'!$B$11,Paramètres!$A$1:$I$89,3,0)*0.475*44/12</f>
        <v>2.3146453314963926E-7</v>
      </c>
      <c r="BS179" s="22">
        <f t="shared" si="169"/>
        <v>67.852940925525644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5.3205440053716299E-14</v>
      </c>
      <c r="P180" s="13">
        <f t="shared" si="141"/>
        <v>8.602146238565607E-13</v>
      </c>
      <c r="Q180" s="20">
        <f t="shared" si="162"/>
        <v>1.590873277977066E-12</v>
      </c>
      <c r="R180" s="59">
        <f t="shared" si="109"/>
        <v>293.33333333333491</v>
      </c>
      <c r="S180" s="59">
        <f ca="1">AVERAGE(OFFSET($R$3,0,0,'Données projet'!$E$9+1,1))-AVERAGE(OFFSET($H$3,0,0,'Données projet'!$E$9+1,1))</f>
        <v>263.84804661819163</v>
      </c>
      <c r="T180" s="59">
        <f t="shared" si="142"/>
        <v>271.81541836379307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44.274101532975614</v>
      </c>
      <c r="AA180" s="21">
        <f>EXP(-LN(2)/25)*AA179+(1-EXP(-LN(2)/25))/(LN(2)/25)*Calculateur!V180*Calculateur!X180*VLOOKUP('Données projet'!$B$9,Paramètres!$A$1:$I$89,3,0)*0.475*44/12</f>
        <v>7.3974141395493884</v>
      </c>
      <c r="AB180" s="21">
        <f>EXP(-LN(2)/2)*AB179+(1-EXP(-LN(2)/2))/(LN(2)/2)*V180*Y180*VLOOKUP('Données projet'!$B$9,Paramètres!$A$1:$I$89,3,0)*0.475*44/12</f>
        <v>5.7084363702506555E-10</v>
      </c>
      <c r="AC180" s="22">
        <f t="shared" si="163"/>
        <v>51.671515673095847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270.04187128233121</v>
      </c>
      <c r="AO180" s="59">
        <f t="shared" si="144"/>
        <v>183.82555940776064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22.447442028009036</v>
      </c>
      <c r="AV180" s="21">
        <f>EXP(-LN(2)/25)*AV179+(1-EXP(-LN(2)/25))/(LN(2)/25)*Calculateur!AQ180*Calculateur!AS180*VLOOKUP('Données projet'!$B$10,Paramètres!$A$1:$I$89,3,0)*0.475*44/12</f>
        <v>3.5145258648575477</v>
      </c>
      <c r="AW180" s="21">
        <f>EXP(-LN(2)/2)*AW179+(1-EXP(-LN(2)/2))/(LN(2)/2)*AQ180*AT180*VLOOKUP('Données projet'!$B$10,Paramètres!$A$1:$I$89,3,0)*0.475*44/12</f>
        <v>1.776506681049793E-13</v>
      </c>
      <c r="AX180" s="21">
        <f t="shared" si="166"/>
        <v>25.96196789286676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9.5326413429575044E-14</v>
      </c>
      <c r="BF180" s="13">
        <f t="shared" si="167"/>
        <v>1.4400742856080346E-12</v>
      </c>
      <c r="BG180" s="20">
        <f t="shared" si="168"/>
        <v>2.6741562174905032E-12</v>
      </c>
      <c r="BH180" s="59">
        <f t="shared" si="116"/>
        <v>293.33333333333599</v>
      </c>
      <c r="BI180" s="59">
        <f ca="1">AVERAGE(OFFSET($BH$3,0,0,'Données projet'!$E$11+1,1))-AVERAGE(OFFSET($H$3,0,0,'Données projet'!$E$11+1,1))</f>
        <v>293.82673322742102</v>
      </c>
      <c r="BJ180" s="59">
        <f t="shared" si="146"/>
        <v>138.78566015867693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55.188573721928904</v>
      </c>
      <c r="BQ180" s="21">
        <f>EXP(-LN(2)/25)*BQ179+(1-EXP(-LN(2)/25))/(LN(2)/25)*Calculateur!BL180*Calculateur!BN180*VLOOKUP('Données projet'!$B$11,Paramètres!$A$1:$I$89,3,0)*0.475*44/12</f>
        <v>11.244384013036367</v>
      </c>
      <c r="BR180" s="21">
        <f>EXP(-LN(2)/2)*BR179+(1-EXP(-LN(2)/2))/(LN(2)/2)*BL180*BO180*VLOOKUP('Données projet'!$B$11,Paramètres!$A$1:$I$89,3,0)*0.475*44/12</f>
        <v>1.6367014099428837E-7</v>
      </c>
      <c r="BS180" s="22">
        <f t="shared" si="169"/>
        <v>66.432957898635408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5.3205440053716299E-14</v>
      </c>
      <c r="P181" s="13">
        <f t="shared" si="141"/>
        <v>8.602146238565607E-13</v>
      </c>
      <c r="Q181" s="20">
        <f t="shared" si="162"/>
        <v>1.590873277977066E-12</v>
      </c>
      <c r="R181" s="59">
        <f t="shared" si="109"/>
        <v>293.33333333333491</v>
      </c>
      <c r="S181" s="59">
        <f ca="1">AVERAGE(OFFSET($R$3,0,0,'Données projet'!$E$9+1,1))-AVERAGE(OFFSET($H$3,0,0,'Données projet'!$E$9+1,1))</f>
        <v>263.84804661819163</v>
      </c>
      <c r="T181" s="59">
        <f t="shared" si="142"/>
        <v>271.81541836379307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43.405913406449422</v>
      </c>
      <c r="AA181" s="21">
        <f>EXP(-LN(2)/25)*AA180+(1-EXP(-LN(2)/25))/(LN(2)/25)*Calculateur!V181*Calculateur!X181*VLOOKUP('Données projet'!$B$9,Paramètres!$A$1:$I$89,3,0)*0.475*44/12</f>
        <v>7.1951314608903081</v>
      </c>
      <c r="AB181" s="21">
        <f>EXP(-LN(2)/2)*AB180+(1-EXP(-LN(2)/2))/(LN(2)/2)*V181*Y181*VLOOKUP('Données projet'!$B$9,Paramètres!$A$1:$I$89,3,0)*0.475*44/12</f>
        <v>4.0364740673761599E-10</v>
      </c>
      <c r="AC181" s="22">
        <f t="shared" si="163"/>
        <v>50.601044867743376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270.04187128233121</v>
      </c>
      <c r="AO181" s="59">
        <f t="shared" si="144"/>
        <v>183.82555940776064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22.007261381427483</v>
      </c>
      <c r="AV181" s="21">
        <f>EXP(-LN(2)/25)*AV180+(1-EXP(-LN(2)/25))/(LN(2)/25)*Calculateur!AQ181*Calculateur!AS181*VLOOKUP('Données projet'!$B$10,Paramètres!$A$1:$I$89,3,0)*0.475*44/12</f>
        <v>3.4184209702621353</v>
      </c>
      <c r="AW181" s="21">
        <f>EXP(-LN(2)/2)*AW180+(1-EXP(-LN(2)/2))/(LN(2)/2)*AQ181*AT181*VLOOKUP('Données projet'!$B$10,Paramètres!$A$1:$I$89,3,0)*0.475*44/12</f>
        <v>1.2561799209935157E-13</v>
      </c>
      <c r="AX181" s="21">
        <f t="shared" si="166"/>
        <v>25.425682351689744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9.5326413429575044E-14</v>
      </c>
      <c r="BF181" s="13">
        <f t="shared" si="167"/>
        <v>1.4400742856080346E-12</v>
      </c>
      <c r="BG181" s="20">
        <f t="shared" si="168"/>
        <v>2.6741562174905032E-12</v>
      </c>
      <c r="BH181" s="59">
        <f t="shared" si="116"/>
        <v>293.33333333333599</v>
      </c>
      <c r="BI181" s="59">
        <f ca="1">AVERAGE(OFFSET($BH$3,0,0,'Données projet'!$E$11+1,1))-AVERAGE(OFFSET($H$3,0,0,'Données projet'!$E$11+1,1))</f>
        <v>293.82673322742102</v>
      </c>
      <c r="BJ181" s="59">
        <f t="shared" si="146"/>
        <v>138.78566015867693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54.106359452948034</v>
      </c>
      <c r="BQ181" s="21">
        <f>EXP(-LN(2)/25)*BQ180+(1-EXP(-LN(2)/25))/(LN(2)/25)*Calculateur!BL181*Calculateur!BN181*VLOOKUP('Données projet'!$B$11,Paramètres!$A$1:$I$89,3,0)*0.475*44/12</f>
        <v>10.936905740883432</v>
      </c>
      <c r="BR181" s="21">
        <f>EXP(-LN(2)/2)*BR180+(1-EXP(-LN(2)/2))/(LN(2)/2)*BL181*BO181*VLOOKUP('Données projet'!$B$11,Paramètres!$A$1:$I$89,3,0)*0.475*44/12</f>
        <v>1.1573226657481966E-7</v>
      </c>
      <c r="BS181" s="22">
        <f t="shared" si="169"/>
        <v>65.043265309563736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5.3205440053716299E-14</v>
      </c>
      <c r="P182" s="13">
        <f t="shared" si="141"/>
        <v>8.602146238565607E-13</v>
      </c>
      <c r="Q182" s="20">
        <f t="shared" si="162"/>
        <v>1.590873277977066E-12</v>
      </c>
      <c r="R182" s="59">
        <f t="shared" si="109"/>
        <v>293.33333333333491</v>
      </c>
      <c r="S182" s="59">
        <f ca="1">AVERAGE(OFFSET($R$3,0,0,'Données projet'!$E$9+1,1))-AVERAGE(OFFSET($H$3,0,0,'Données projet'!$E$9+1,1))</f>
        <v>263.84804661819163</v>
      </c>
      <c r="T182" s="59">
        <f t="shared" si="142"/>
        <v>271.81541836379307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42.554749919541941</v>
      </c>
      <c r="AA182" s="21">
        <f>EXP(-LN(2)/25)*AA181+(1-EXP(-LN(2)/25))/(LN(2)/25)*Calculateur!V182*Calculateur!X182*VLOOKUP('Données projet'!$B$9,Paramètres!$A$1:$I$89,3,0)*0.475*44/12</f>
        <v>6.9983802127167438</v>
      </c>
      <c r="AB182" s="21">
        <f>EXP(-LN(2)/2)*AB181+(1-EXP(-LN(2)/2))/(LN(2)/2)*V182*Y182*VLOOKUP('Données projet'!$B$9,Paramètres!$A$1:$I$89,3,0)*0.475*44/12</f>
        <v>2.8542181851253278E-10</v>
      </c>
      <c r="AC182" s="22">
        <f t="shared" si="163"/>
        <v>49.553130132544112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270.04187128233121</v>
      </c>
      <c r="AO182" s="59">
        <f t="shared" si="144"/>
        <v>183.82555940776064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21.57571240884171</v>
      </c>
      <c r="AV182" s="21">
        <f>EXP(-LN(2)/25)*AV181+(1-EXP(-LN(2)/25))/(LN(2)/25)*Calculateur!AQ182*Calculateur!AS182*VLOOKUP('Données projet'!$B$10,Paramètres!$A$1:$I$89,3,0)*0.475*44/12</f>
        <v>3.3249440690633714</v>
      </c>
      <c r="AW182" s="21">
        <f>EXP(-LN(2)/2)*AW181+(1-EXP(-LN(2)/2))/(LN(2)/2)*AQ182*AT182*VLOOKUP('Données projet'!$B$10,Paramètres!$A$1:$I$89,3,0)*0.475*44/12</f>
        <v>8.8825334052489649E-14</v>
      </c>
      <c r="AX182" s="21">
        <f t="shared" si="166"/>
        <v>24.900656477905169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9.5326413429575044E-14</v>
      </c>
      <c r="BF182" s="13">
        <f t="shared" si="167"/>
        <v>1.4400742856080346E-12</v>
      </c>
      <c r="BG182" s="20">
        <f t="shared" si="168"/>
        <v>2.6741562174905032E-12</v>
      </c>
      <c r="BH182" s="59">
        <f t="shared" si="116"/>
        <v>293.33333333333599</v>
      </c>
      <c r="BI182" s="59">
        <f ca="1">AVERAGE(OFFSET($BH$3,0,0,'Données projet'!$E$11+1,1))-AVERAGE(OFFSET($H$3,0,0,'Données projet'!$E$11+1,1))</f>
        <v>293.82673322742102</v>
      </c>
      <c r="BJ182" s="59">
        <f t="shared" si="146"/>
        <v>138.78566015867693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53.045366745696349</v>
      </c>
      <c r="BQ182" s="21">
        <f>EXP(-LN(2)/25)*BQ181+(1-EXP(-LN(2)/25))/(LN(2)/25)*Calculateur!BL182*Calculateur!BN182*VLOOKUP('Données projet'!$B$11,Paramètres!$A$1:$I$89,3,0)*0.475*44/12</f>
        <v>10.637835478252098</v>
      </c>
      <c r="BR182" s="21">
        <f>EXP(-LN(2)/2)*BR181+(1-EXP(-LN(2)/2))/(LN(2)/2)*BL182*BO182*VLOOKUP('Données projet'!$B$11,Paramètres!$A$1:$I$89,3,0)*0.475*44/12</f>
        <v>8.1835070497144198E-8</v>
      </c>
      <c r="BS182" s="22">
        <f t="shared" si="169"/>
        <v>63.683202305783517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5.3205440053716299E-14</v>
      </c>
      <c r="P183" s="13">
        <f t="shared" si="141"/>
        <v>8.602146238565607E-13</v>
      </c>
      <c r="Q183" s="20">
        <f t="shared" si="162"/>
        <v>1.590873277977066E-12</v>
      </c>
      <c r="R183" s="59">
        <f t="shared" si="109"/>
        <v>293.33333333333491</v>
      </c>
      <c r="S183" s="59">
        <f ca="1">AVERAGE(OFFSET($R$3,0,0,'Données projet'!$E$9+1,1))-AVERAGE(OFFSET($H$3,0,0,'Données projet'!$E$9+1,1))</f>
        <v>263.84804661819163</v>
      </c>
      <c r="T183" s="59">
        <f t="shared" si="142"/>
        <v>271.81541836379307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41.720277229454247</v>
      </c>
      <c r="AA183" s="21">
        <f>EXP(-LN(2)/25)*AA182+(1-EXP(-LN(2)/25))/(LN(2)/25)*Calculateur!V183*Calculateur!X183*VLOOKUP('Données projet'!$B$9,Paramètres!$A$1:$I$89,3,0)*0.475*44/12</f>
        <v>6.8070091377711837</v>
      </c>
      <c r="AB183" s="21">
        <f>EXP(-LN(2)/2)*AB182+(1-EXP(-LN(2)/2))/(LN(2)/2)*V183*Y183*VLOOKUP('Données projet'!$B$9,Paramètres!$A$1:$I$89,3,0)*0.475*44/12</f>
        <v>2.0182370336880799E-10</v>
      </c>
      <c r="AC183" s="22">
        <f t="shared" si="163"/>
        <v>48.527286367427251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270.04187128233121</v>
      </c>
      <c r="AO183" s="59">
        <f t="shared" si="144"/>
        <v>183.82555940776064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21.152625848389462</v>
      </c>
      <c r="AV183" s="21">
        <f>EXP(-LN(2)/25)*AV182+(1-EXP(-LN(2)/25))/(LN(2)/25)*Calculateur!AQ183*Calculateur!AS183*VLOOKUP('Données projet'!$B$10,Paramètres!$A$1:$I$89,3,0)*0.475*44/12</f>
        <v>3.2340232986436241</v>
      </c>
      <c r="AW183" s="21">
        <f>EXP(-LN(2)/2)*AW182+(1-EXP(-LN(2)/2))/(LN(2)/2)*AQ183*AT183*VLOOKUP('Données projet'!$B$10,Paramètres!$A$1:$I$89,3,0)*0.475*44/12</f>
        <v>6.2808996049675786E-14</v>
      </c>
      <c r="AX183" s="21">
        <f t="shared" si="166"/>
        <v>24.38664914703315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9.5326413429575044E-14</v>
      </c>
      <c r="BF183" s="13">
        <f t="shared" si="167"/>
        <v>1.4400742856080346E-12</v>
      </c>
      <c r="BG183" s="20">
        <f t="shared" si="168"/>
        <v>2.6741562174905032E-12</v>
      </c>
      <c r="BH183" s="59">
        <f t="shared" si="116"/>
        <v>293.33333333333599</v>
      </c>
      <c r="BI183" s="59">
        <f ca="1">AVERAGE(OFFSET($BH$3,0,0,'Données projet'!$E$11+1,1))-AVERAGE(OFFSET($H$3,0,0,'Données projet'!$E$11+1,1))</f>
        <v>293.82673322742102</v>
      </c>
      <c r="BJ183" s="59">
        <f t="shared" si="146"/>
        <v>138.78566015867693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52.005179458292218</v>
      </c>
      <c r="BQ183" s="21">
        <f>EXP(-LN(2)/25)*BQ182+(1-EXP(-LN(2)/25))/(LN(2)/25)*Calculateur!BL183*Calculateur!BN183*VLOOKUP('Données projet'!$B$11,Paramètres!$A$1:$I$89,3,0)*0.475*44/12</f>
        <v>10.34694330767984</v>
      </c>
      <c r="BR183" s="21">
        <f>EXP(-LN(2)/2)*BR182+(1-EXP(-LN(2)/2))/(LN(2)/2)*BL183*BO183*VLOOKUP('Données projet'!$B$11,Paramètres!$A$1:$I$89,3,0)*0.475*44/12</f>
        <v>5.7866133287409836E-8</v>
      </c>
      <c r="BS183" s="22">
        <f t="shared" si="169"/>
        <v>62.352122823838187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5.3205440053716299E-14</v>
      </c>
      <c r="P184" s="13">
        <f t="shared" si="141"/>
        <v>8.602146238565607E-13</v>
      </c>
      <c r="Q184" s="20">
        <f t="shared" si="162"/>
        <v>1.590873277977066E-12</v>
      </c>
      <c r="R184" s="59">
        <f t="shared" si="109"/>
        <v>293.33333333333491</v>
      </c>
      <c r="S184" s="59">
        <f ca="1">AVERAGE(OFFSET($R$3,0,0,'Données projet'!$E$9+1,1))-AVERAGE(OFFSET($H$3,0,0,'Données projet'!$E$9+1,1))</f>
        <v>263.84804661819163</v>
      </c>
      <c r="T184" s="59">
        <f t="shared" si="142"/>
        <v>271.81541836379307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40.902168039841094</v>
      </c>
      <c r="AA184" s="21">
        <f>EXP(-LN(2)/25)*AA183+(1-EXP(-LN(2)/25))/(LN(2)/25)*Calculateur!V184*Calculateur!X184*VLOOKUP('Données projet'!$B$9,Paramètres!$A$1:$I$89,3,0)*0.475*44/12</f>
        <v>6.6208711149337773</v>
      </c>
      <c r="AB184" s="21">
        <f>EXP(-LN(2)/2)*AB183+(1-EXP(-LN(2)/2))/(LN(2)/2)*V184*Y184*VLOOKUP('Données projet'!$B$9,Paramètres!$A$1:$I$89,3,0)*0.475*44/12</f>
        <v>1.4271090925626639E-10</v>
      </c>
      <c r="AC184" s="22">
        <f t="shared" si="163"/>
        <v>47.523039154917583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270.04187128233121</v>
      </c>
      <c r="AO184" s="59">
        <f t="shared" si="144"/>
        <v>183.82555940776064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20.737835757330362</v>
      </c>
      <c r="AV184" s="21">
        <f>EXP(-LN(2)/25)*AV183+(1-EXP(-LN(2)/25))/(LN(2)/25)*Calculateur!AQ184*Calculateur!AS184*VLOOKUP('Données projet'!$B$10,Paramètres!$A$1:$I$89,3,0)*0.475*44/12</f>
        <v>3.1455887614723204</v>
      </c>
      <c r="AW184" s="21">
        <f>EXP(-LN(2)/2)*AW183+(1-EXP(-LN(2)/2))/(LN(2)/2)*AQ184*AT184*VLOOKUP('Données projet'!$B$10,Paramètres!$A$1:$I$89,3,0)*0.475*44/12</f>
        <v>4.4412667026244825E-14</v>
      </c>
      <c r="AX184" s="21">
        <f t="shared" si="166"/>
        <v>23.88342451880273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9.5326413429575044E-14</v>
      </c>
      <c r="BF184" s="13">
        <f t="shared" si="167"/>
        <v>1.4400742856080346E-12</v>
      </c>
      <c r="BG184" s="20">
        <f t="shared" si="168"/>
        <v>2.6741562174905032E-12</v>
      </c>
      <c r="BH184" s="59">
        <f t="shared" si="116"/>
        <v>293.33333333333599</v>
      </c>
      <c r="BI184" s="59">
        <f ca="1">AVERAGE(OFFSET($BH$3,0,0,'Données projet'!$E$11+1,1))-AVERAGE(OFFSET($H$3,0,0,'Données projet'!$E$11+1,1))</f>
        <v>293.82673322742102</v>
      </c>
      <c r="BJ184" s="59">
        <f t="shared" si="146"/>
        <v>138.78566015867693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50.985389609142487</v>
      </c>
      <c r="BQ184" s="21">
        <f>EXP(-LN(2)/25)*BQ183+(1-EXP(-LN(2)/25))/(LN(2)/25)*Calculateur!BL184*Calculateur!BN184*VLOOKUP('Données projet'!$B$11,Paramètres!$A$1:$I$89,3,0)*0.475*44/12</f>
        <v>10.064005598809235</v>
      </c>
      <c r="BR184" s="21">
        <f>EXP(-LN(2)/2)*BR183+(1-EXP(-LN(2)/2))/(LN(2)/2)*BL184*BO184*VLOOKUP('Données projet'!$B$11,Paramètres!$A$1:$I$89,3,0)*0.475*44/12</f>
        <v>4.0917535248572105E-8</v>
      </c>
      <c r="BS184" s="22">
        <f t="shared" si="169"/>
        <v>61.049395248869253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5.3205440053716299E-14</v>
      </c>
      <c r="P185" s="13">
        <f t="shared" si="141"/>
        <v>8.602146238565607E-13</v>
      </c>
      <c r="Q185" s="20">
        <f t="shared" si="162"/>
        <v>1.590873277977066E-12</v>
      </c>
      <c r="R185" s="59">
        <f t="shared" si="109"/>
        <v>293.33333333333491</v>
      </c>
      <c r="S185" s="59">
        <f ca="1">AVERAGE(OFFSET($R$3,0,0,'Données projet'!$E$9+1,1))-AVERAGE(OFFSET($H$3,0,0,'Données projet'!$E$9+1,1))</f>
        <v>263.84804661819163</v>
      </c>
      <c r="T185" s="59">
        <f t="shared" si="142"/>
        <v>271.81541836379307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40.100101472438915</v>
      </c>
      <c r="AA185" s="21">
        <f>EXP(-LN(2)/25)*AA184+(1-EXP(-LN(2)/25))/(LN(2)/25)*Calculateur!V185*Calculateur!X185*VLOOKUP('Données projet'!$B$9,Paramètres!$A$1:$I$89,3,0)*0.475*44/12</f>
        <v>6.4398230461194332</v>
      </c>
      <c r="AB185" s="21">
        <f>EXP(-LN(2)/2)*AB184+(1-EXP(-LN(2)/2))/(LN(2)/2)*V185*Y185*VLOOKUP('Données projet'!$B$9,Paramètres!$A$1:$I$89,3,0)*0.475*44/12</f>
        <v>1.00911851684404E-10</v>
      </c>
      <c r="AC185" s="22">
        <f t="shared" si="163"/>
        <v>46.539924518659262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270.04187128233121</v>
      </c>
      <c r="AO185" s="59">
        <f t="shared" si="144"/>
        <v>183.82555940776064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20.331179446959958</v>
      </c>
      <c r="AV185" s="21">
        <f>EXP(-LN(2)/25)*AV184+(1-EXP(-LN(2)/25))/(LN(2)/25)*Calculateur!AQ185*Calculateur!AS185*VLOOKUP('Données projet'!$B$10,Paramètres!$A$1:$I$89,3,0)*0.475*44/12</f>
        <v>3.0595724713705361</v>
      </c>
      <c r="AW185" s="21">
        <f>EXP(-LN(2)/2)*AW184+(1-EXP(-LN(2)/2))/(LN(2)/2)*AQ185*AT185*VLOOKUP('Données projet'!$B$10,Paramètres!$A$1:$I$89,3,0)*0.475*44/12</f>
        <v>3.1404498024837893E-14</v>
      </c>
      <c r="AX185" s="21">
        <f t="shared" si="166"/>
        <v>23.390751918330526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9.5326413429575044E-14</v>
      </c>
      <c r="BF185" s="13">
        <f t="shared" si="167"/>
        <v>1.4400742856080346E-12</v>
      </c>
      <c r="BG185" s="20">
        <f t="shared" si="168"/>
        <v>2.6741562174905032E-12</v>
      </c>
      <c r="BH185" s="59">
        <f t="shared" si="116"/>
        <v>293.33333333333599</v>
      </c>
      <c r="BI185" s="59">
        <f ca="1">AVERAGE(OFFSET($BH$3,0,0,'Données projet'!$E$11+1,1))-AVERAGE(OFFSET($H$3,0,0,'Données projet'!$E$11+1,1))</f>
        <v>293.82673322742102</v>
      </c>
      <c r="BJ185" s="59">
        <f t="shared" si="146"/>
        <v>138.78566015867693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49.985597216924191</v>
      </c>
      <c r="BQ185" s="21">
        <f>EXP(-LN(2)/25)*BQ184+(1-EXP(-LN(2)/25))/(LN(2)/25)*Calculateur!BL185*Calculateur!BN185*VLOOKUP('Données projet'!$B$11,Paramètres!$A$1:$I$89,3,0)*0.475*44/12</f>
        <v>9.7888048364667437</v>
      </c>
      <c r="BR185" s="21">
        <f>EXP(-LN(2)/2)*BR184+(1-EXP(-LN(2)/2))/(LN(2)/2)*BL185*BO185*VLOOKUP('Données projet'!$B$11,Paramètres!$A$1:$I$89,3,0)*0.475*44/12</f>
        <v>2.8933066643704925E-8</v>
      </c>
      <c r="BS185" s="22">
        <f t="shared" si="169"/>
        <v>59.774402082324002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5.3205440053716299E-14</v>
      </c>
      <c r="P186" s="13">
        <f t="shared" si="141"/>
        <v>8.602146238565607E-13</v>
      </c>
      <c r="Q186" s="20">
        <f t="shared" si="162"/>
        <v>1.590873277977066E-12</v>
      </c>
      <c r="R186" s="59">
        <f t="shared" si="109"/>
        <v>293.33333333333491</v>
      </c>
      <c r="S186" s="59">
        <f ca="1">AVERAGE(OFFSET($R$3,0,0,'Données projet'!$E$9+1,1))-AVERAGE(OFFSET($H$3,0,0,'Données projet'!$E$9+1,1))</f>
        <v>263.84804661819163</v>
      </c>
      <c r="T186" s="59">
        <f t="shared" si="142"/>
        <v>271.81541836379307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39.313762941211195</v>
      </c>
      <c r="AA186" s="21">
        <f>EXP(-LN(2)/25)*AA185+(1-EXP(-LN(2)/25))/(LN(2)/25)*Calculateur!V186*Calculateur!X186*VLOOKUP('Données projet'!$B$9,Paramètres!$A$1:$I$89,3,0)*0.475*44/12</f>
        <v>6.2637257462677214</v>
      </c>
      <c r="AB186" s="21">
        <f>EXP(-LN(2)/2)*AB185+(1-EXP(-LN(2)/2))/(LN(2)/2)*V186*Y186*VLOOKUP('Données projet'!$B$9,Paramètres!$A$1:$I$89,3,0)*0.475*44/12</f>
        <v>7.1355454628133194E-11</v>
      </c>
      <c r="AC186" s="22">
        <f t="shared" si="163"/>
        <v>45.577488687550272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270.04187128233121</v>
      </c>
      <c r="AO186" s="59">
        <f t="shared" si="144"/>
        <v>183.82555940776064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19.932497418800057</v>
      </c>
      <c r="AV186" s="21">
        <f>EXP(-LN(2)/25)*AV185+(1-EXP(-LN(2)/25))/(LN(2)/25)*Calculateur!AQ186*Calculateur!AS186*VLOOKUP('Données projet'!$B$10,Paramètres!$A$1:$I$89,3,0)*0.475*44/12</f>
        <v>2.9759083012449854</v>
      </c>
      <c r="AW186" s="21">
        <f>EXP(-LN(2)/2)*AW185+(1-EXP(-LN(2)/2))/(LN(2)/2)*AQ186*AT186*VLOOKUP('Données projet'!$B$10,Paramètres!$A$1:$I$89,3,0)*0.475*44/12</f>
        <v>2.2206333513122412E-14</v>
      </c>
      <c r="AX186" s="21">
        <f t="shared" si="166"/>
        <v>22.908405720045064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9.5326413429575044E-14</v>
      </c>
      <c r="BF186" s="13">
        <f t="shared" si="167"/>
        <v>1.4400742856080346E-12</v>
      </c>
      <c r="BG186" s="20">
        <f t="shared" si="168"/>
        <v>2.6741562174905032E-12</v>
      </c>
      <c r="BH186" s="59">
        <f t="shared" si="116"/>
        <v>293.33333333333599</v>
      </c>
      <c r="BI186" s="59">
        <f ca="1">AVERAGE(OFFSET($BH$3,0,0,'Données projet'!$E$11+1,1))-AVERAGE(OFFSET($H$3,0,0,'Données projet'!$E$11+1,1))</f>
        <v>293.82673322742102</v>
      </c>
      <c r="BJ186" s="59">
        <f t="shared" si="146"/>
        <v>138.78566015867693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49.005410143704147</v>
      </c>
      <c r="BQ186" s="21">
        <f>EXP(-LN(2)/25)*BQ185+(1-EXP(-LN(2)/25))/(LN(2)/25)*Calculateur!BL186*Calculateur!BN186*VLOOKUP('Données projet'!$B$11,Paramètres!$A$1:$I$89,3,0)*0.475*44/12</f>
        <v>9.5211294534426862</v>
      </c>
      <c r="BR186" s="21">
        <f>EXP(-LN(2)/2)*BR185+(1-EXP(-LN(2)/2))/(LN(2)/2)*BL186*BO186*VLOOKUP('Données projet'!$B$11,Paramètres!$A$1:$I$89,3,0)*0.475*44/12</f>
        <v>2.0458767624286056E-8</v>
      </c>
      <c r="BS186" s="22">
        <f t="shared" si="169"/>
        <v>58.526539617605607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5.3205440053716299E-14</v>
      </c>
      <c r="P187" s="13">
        <f t="shared" si="141"/>
        <v>8.602146238565607E-13</v>
      </c>
      <c r="Q187" s="20">
        <f t="shared" si="162"/>
        <v>1.590873277977066E-12</v>
      </c>
      <c r="R187" s="59">
        <f t="shared" si="109"/>
        <v>293.33333333333491</v>
      </c>
      <c r="S187" s="59">
        <f ca="1">AVERAGE(OFFSET($R$3,0,0,'Données projet'!$E$9+1,1))-AVERAGE(OFFSET($H$3,0,0,'Données projet'!$E$9+1,1))</f>
        <v>263.84804661819163</v>
      </c>
      <c r="T187" s="59">
        <f t="shared" si="142"/>
        <v>271.81541836379307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38.542844028961703</v>
      </c>
      <c r="AA187" s="21">
        <f>EXP(-LN(2)/25)*AA186+(1-EXP(-LN(2)/25))/(LN(2)/25)*Calculateur!V187*Calculateur!X187*VLOOKUP('Données projet'!$B$9,Paramètres!$A$1:$I$89,3,0)*0.475*44/12</f>
        <v>6.0924438363410092</v>
      </c>
      <c r="AB187" s="21">
        <f>EXP(-LN(2)/2)*AB186+(1-EXP(-LN(2)/2))/(LN(2)/2)*V187*Y187*VLOOKUP('Données projet'!$B$9,Paramètres!$A$1:$I$89,3,0)*0.475*44/12</f>
        <v>5.0455925842201999E-11</v>
      </c>
      <c r="AC187" s="22">
        <f t="shared" si="163"/>
        <v>44.63528786535317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270.04187128233121</v>
      </c>
      <c r="AO187" s="59">
        <f t="shared" si="144"/>
        <v>183.82555940776064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19.541633302040349</v>
      </c>
      <c r="AV187" s="21">
        <f>EXP(-LN(2)/25)*AV186+(1-EXP(-LN(2)/25))/(LN(2)/25)*Calculateur!AQ187*Calculateur!AS187*VLOOKUP('Données projet'!$B$10,Paramètres!$A$1:$I$89,3,0)*0.475*44/12</f>
        <v>2.8945319322512253</v>
      </c>
      <c r="AW187" s="21">
        <f>EXP(-LN(2)/2)*AW186+(1-EXP(-LN(2)/2))/(LN(2)/2)*AQ187*AT187*VLOOKUP('Données projet'!$B$10,Paramètres!$A$1:$I$89,3,0)*0.475*44/12</f>
        <v>1.5702249012418947E-14</v>
      </c>
      <c r="AX187" s="21">
        <f t="shared" si="166"/>
        <v>22.43616523429159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9.5326413429575044E-14</v>
      </c>
      <c r="BF187" s="13">
        <f t="shared" si="167"/>
        <v>1.4400742856080346E-12</v>
      </c>
      <c r="BG187" s="20">
        <f t="shared" si="168"/>
        <v>2.6741562174905032E-12</v>
      </c>
      <c r="BH187" s="59">
        <f t="shared" si="116"/>
        <v>293.33333333333599</v>
      </c>
      <c r="BI187" s="59">
        <f ca="1">AVERAGE(OFFSET($BH$3,0,0,'Données projet'!$E$11+1,1))-AVERAGE(OFFSET($H$3,0,0,'Données projet'!$E$11+1,1))</f>
        <v>293.82673322742102</v>
      </c>
      <c r="BJ187" s="59">
        <f t="shared" si="146"/>
        <v>138.78566015867693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48.044443941134872</v>
      </c>
      <c r="BQ187" s="21">
        <f>EXP(-LN(2)/25)*BQ186+(1-EXP(-LN(2)/25))/(LN(2)/25)*Calculateur!BL187*Calculateur!BN187*VLOOKUP('Données projet'!$B$11,Paramètres!$A$1:$I$89,3,0)*0.475*44/12</f>
        <v>9.2607736678438588</v>
      </c>
      <c r="BR187" s="21">
        <f>EXP(-LN(2)/2)*BR186+(1-EXP(-LN(2)/2))/(LN(2)/2)*BL187*BO187*VLOOKUP('Données projet'!$B$11,Paramètres!$A$1:$I$89,3,0)*0.475*44/12</f>
        <v>1.4466533321852464E-8</v>
      </c>
      <c r="BS187" s="22">
        <f t="shared" si="169"/>
        <v>57.305217623445266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5.3205440053716299E-14</v>
      </c>
      <c r="P188" s="13">
        <f t="shared" si="141"/>
        <v>8.602146238565607E-13</v>
      </c>
      <c r="Q188" s="20">
        <f t="shared" si="162"/>
        <v>1.590873277977066E-12</v>
      </c>
      <c r="R188" s="59">
        <f t="shared" si="109"/>
        <v>293.33333333333491</v>
      </c>
      <c r="S188" s="59">
        <f ca="1">AVERAGE(OFFSET($R$3,0,0,'Données projet'!$E$9+1,1))-AVERAGE(OFFSET($H$3,0,0,'Données projet'!$E$9+1,1))</f>
        <v>263.84804661819163</v>
      </c>
      <c r="T188" s="59">
        <f t="shared" si="142"/>
        <v>271.81541836379307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37.787042366367317</v>
      </c>
      <c r="AA188" s="21">
        <f>EXP(-LN(2)/25)*AA187+(1-EXP(-LN(2)/25))/(LN(2)/25)*Calculateur!V188*Calculateur!X188*VLOOKUP('Données projet'!$B$9,Paramètres!$A$1:$I$89,3,0)*0.475*44/12</f>
        <v>5.9258456392485677</v>
      </c>
      <c r="AB188" s="21">
        <f>EXP(-LN(2)/2)*AB187+(1-EXP(-LN(2)/2))/(LN(2)/2)*V188*Y188*VLOOKUP('Données projet'!$B$9,Paramètres!$A$1:$I$89,3,0)*0.475*44/12</f>
        <v>3.5677727314066597E-11</v>
      </c>
      <c r="AC188" s="22">
        <f t="shared" si="163"/>
        <v>43.712888005651557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270.04187128233121</v>
      </c>
      <c r="AO188" s="59">
        <f t="shared" si="144"/>
        <v>183.82555940776064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19.158433792206726</v>
      </c>
      <c r="AV188" s="21">
        <f>EXP(-LN(2)/25)*AV187+(1-EXP(-LN(2)/25))/(LN(2)/25)*Calculateur!AQ188*Calculateur!AS188*VLOOKUP('Données projet'!$B$10,Paramètres!$A$1:$I$89,3,0)*0.475*44/12</f>
        <v>2.8153808043469968</v>
      </c>
      <c r="AW188" s="21">
        <f>EXP(-LN(2)/2)*AW187+(1-EXP(-LN(2)/2))/(LN(2)/2)*AQ188*AT188*VLOOKUP('Données projet'!$B$10,Paramètres!$A$1:$I$89,3,0)*0.475*44/12</f>
        <v>1.1103166756561206E-14</v>
      </c>
      <c r="AX188" s="21">
        <f t="shared" si="166"/>
        <v>21.973814596553733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9.5326413429575044E-14</v>
      </c>
      <c r="BF188" s="13">
        <f t="shared" si="167"/>
        <v>1.4400742856080346E-12</v>
      </c>
      <c r="BG188" s="20">
        <f t="shared" si="168"/>
        <v>2.6741562174905032E-12</v>
      </c>
      <c r="BH188" s="59">
        <f t="shared" si="116"/>
        <v>293.33333333333599</v>
      </c>
      <c r="BI188" s="59">
        <f ca="1">AVERAGE(OFFSET($BH$3,0,0,'Données projet'!$E$11+1,1))-AVERAGE(OFFSET($H$3,0,0,'Données projet'!$E$11+1,1))</f>
        <v>293.82673322742102</v>
      </c>
      <c r="BJ188" s="59">
        <f t="shared" si="146"/>
        <v>138.78566015867693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47.102321699666469</v>
      </c>
      <c r="BQ188" s="21">
        <f>EXP(-LN(2)/25)*BQ187+(1-EXP(-LN(2)/25))/(LN(2)/25)*Calculateur!BL188*Calculateur!BN188*VLOOKUP('Données projet'!$B$11,Paramètres!$A$1:$I$89,3,0)*0.475*44/12</f>
        <v>9.0075373248937467</v>
      </c>
      <c r="BR188" s="21">
        <f>EXP(-LN(2)/2)*BR187+(1-EXP(-LN(2)/2))/(LN(2)/2)*BL188*BO188*VLOOKUP('Données projet'!$B$11,Paramètres!$A$1:$I$89,3,0)*0.475*44/12</f>
        <v>1.022938381214303E-8</v>
      </c>
      <c r="BS188" s="22">
        <f t="shared" si="169"/>
        <v>56.109859034789601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5.3205440053716299E-14</v>
      </c>
      <c r="P189" s="13">
        <f t="shared" si="141"/>
        <v>8.602146238565607E-13</v>
      </c>
      <c r="Q189" s="20">
        <f t="shared" si="162"/>
        <v>1.590873277977066E-12</v>
      </c>
      <c r="R189" s="59">
        <f t="shared" si="109"/>
        <v>293.33333333333491</v>
      </c>
      <c r="S189" s="59">
        <f ca="1">AVERAGE(OFFSET($R$3,0,0,'Données projet'!$E$9+1,1))-AVERAGE(OFFSET($H$3,0,0,'Données projet'!$E$9+1,1))</f>
        <v>263.84804661819163</v>
      </c>
      <c r="T189" s="59">
        <f t="shared" si="142"/>
        <v>271.81541836379307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37.046061513382917</v>
      </c>
      <c r="AA189" s="21">
        <f>EXP(-LN(2)/25)*AA188+(1-EXP(-LN(2)/25))/(LN(2)/25)*Calculateur!V189*Calculateur!X189*VLOOKUP('Données projet'!$B$9,Paramètres!$A$1:$I$89,3,0)*0.475*44/12</f>
        <v>5.763803078616637</v>
      </c>
      <c r="AB189" s="21">
        <f>EXP(-LN(2)/2)*AB188+(1-EXP(-LN(2)/2))/(LN(2)/2)*V189*Y189*VLOOKUP('Données projet'!$B$9,Paramètres!$A$1:$I$89,3,0)*0.475*44/12</f>
        <v>2.5227962921100999E-11</v>
      </c>
      <c r="AC189" s="22">
        <f t="shared" si="163"/>
        <v>42.809864592024788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270.04187128233121</v>
      </c>
      <c r="AO189" s="59">
        <f t="shared" si="144"/>
        <v>183.82555940776064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18.78274859103232</v>
      </c>
      <c r="AV189" s="21">
        <f>EXP(-LN(2)/25)*AV188+(1-EXP(-LN(2)/25))/(LN(2)/25)*Calculateur!AQ189*Calculateur!AS189*VLOOKUP('Données projet'!$B$10,Paramètres!$A$1:$I$89,3,0)*0.475*44/12</f>
        <v>2.7383940681976862</v>
      </c>
      <c r="AW189" s="21">
        <f>EXP(-LN(2)/2)*AW188+(1-EXP(-LN(2)/2))/(LN(2)/2)*AQ189*AT189*VLOOKUP('Données projet'!$B$10,Paramètres!$A$1:$I$89,3,0)*0.475*44/12</f>
        <v>7.8511245062094733E-15</v>
      </c>
      <c r="AX189" s="21">
        <f t="shared" si="166"/>
        <v>21.521142659230012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9.5326413429575044E-14</v>
      </c>
      <c r="BF189" s="13">
        <f t="shared" si="167"/>
        <v>1.4400742856080346E-12</v>
      </c>
      <c r="BG189" s="20">
        <f t="shared" si="168"/>
        <v>2.6741562174905032E-12</v>
      </c>
      <c r="BH189" s="59">
        <f t="shared" si="116"/>
        <v>293.33333333333599</v>
      </c>
      <c r="BI189" s="59">
        <f ca="1">AVERAGE(OFFSET($BH$3,0,0,'Données projet'!$E$11+1,1))-AVERAGE(OFFSET($H$3,0,0,'Données projet'!$E$11+1,1))</f>
        <v>293.82673322742102</v>
      </c>
      <c r="BJ189" s="59">
        <f t="shared" si="146"/>
        <v>138.78566015867693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46.178673900715438</v>
      </c>
      <c r="BQ189" s="21">
        <f>EXP(-LN(2)/25)*BQ188+(1-EXP(-LN(2)/25))/(LN(2)/25)*Calculateur!BL189*Calculateur!BN189*VLOOKUP('Données projet'!$B$11,Paramètres!$A$1:$I$89,3,0)*0.475*44/12</f>
        <v>8.761225743058727</v>
      </c>
      <c r="BR189" s="21">
        <f>EXP(-LN(2)/2)*BR188+(1-EXP(-LN(2)/2))/(LN(2)/2)*BL189*BO189*VLOOKUP('Données projet'!$B$11,Paramètres!$A$1:$I$89,3,0)*0.475*44/12</f>
        <v>7.2332666609262328E-9</v>
      </c>
      <c r="BS189" s="22">
        <f t="shared" si="169"/>
        <v>54.939899651007437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5.3205440053716299E-14</v>
      </c>
      <c r="P190" s="13">
        <f t="shared" si="141"/>
        <v>8.602146238565607E-13</v>
      </c>
      <c r="Q190" s="20">
        <f t="shared" si="162"/>
        <v>1.590873277977066E-12</v>
      </c>
      <c r="R190" s="59">
        <f t="shared" si="109"/>
        <v>293.33333333333491</v>
      </c>
      <c r="S190" s="59">
        <f ca="1">AVERAGE(OFFSET($R$3,0,0,'Données projet'!$E$9+1,1))-AVERAGE(OFFSET($H$3,0,0,'Données projet'!$E$9+1,1))</f>
        <v>263.84804661819163</v>
      </c>
      <c r="T190" s="59">
        <f t="shared" si="142"/>
        <v>271.81541836379307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36.319610842971841</v>
      </c>
      <c r="AA190" s="21">
        <f>EXP(-LN(2)/25)*AA189+(1-EXP(-LN(2)/25))/(LN(2)/25)*Calculateur!V190*Calculateur!X190*VLOOKUP('Données projet'!$B$9,Paramètres!$A$1:$I$89,3,0)*0.475*44/12</f>
        <v>5.6061915803266347</v>
      </c>
      <c r="AB190" s="21">
        <f>EXP(-LN(2)/2)*AB189+(1-EXP(-LN(2)/2))/(LN(2)/2)*V190*Y190*VLOOKUP('Données projet'!$B$9,Paramètres!$A$1:$I$89,3,0)*0.475*44/12</f>
        <v>1.7838863657033299E-11</v>
      </c>
      <c r="AC190" s="22">
        <f t="shared" si="163"/>
        <v>41.92580242331632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270.04187128233121</v>
      </c>
      <c r="AO190" s="59">
        <f t="shared" si="144"/>
        <v>183.82555940776064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18.414430347507597</v>
      </c>
      <c r="AV190" s="21">
        <f>EXP(-LN(2)/25)*AV189+(1-EXP(-LN(2)/25))/(LN(2)/25)*Calculateur!AQ190*Calculateur!AS190*VLOOKUP('Données projet'!$B$10,Paramètres!$A$1:$I$89,3,0)*0.475*44/12</f>
        <v>2.6635125383969349</v>
      </c>
      <c r="AW190" s="21">
        <f>EXP(-LN(2)/2)*AW189+(1-EXP(-LN(2)/2))/(LN(2)/2)*AQ190*AT190*VLOOKUP('Données projet'!$B$10,Paramètres!$A$1:$I$89,3,0)*0.475*44/12</f>
        <v>5.5515833782806031E-15</v>
      </c>
      <c r="AX190" s="21">
        <f t="shared" si="166"/>
        <v>21.077942885904541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9.5326413429575044E-14</v>
      </c>
      <c r="BF190" s="13">
        <f t="shared" si="167"/>
        <v>1.4400742856080346E-12</v>
      </c>
      <c r="BG190" s="20">
        <f t="shared" si="168"/>
        <v>2.6741562174905032E-12</v>
      </c>
      <c r="BH190" s="59">
        <f t="shared" si="116"/>
        <v>293.33333333333599</v>
      </c>
      <c r="BI190" s="59">
        <f ca="1">AVERAGE(OFFSET($BH$3,0,0,'Données projet'!$E$11+1,1))-AVERAGE(OFFSET($H$3,0,0,'Données projet'!$E$11+1,1))</f>
        <v>293.82673322742102</v>
      </c>
      <c r="BJ190" s="59">
        <f t="shared" si="146"/>
        <v>138.78566015867693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45.273138271732307</v>
      </c>
      <c r="BQ190" s="21">
        <f>EXP(-LN(2)/25)*BQ189+(1-EXP(-LN(2)/25))/(LN(2)/25)*Calculateur!BL190*Calculateur!BN190*VLOOKUP('Données projet'!$B$11,Paramètres!$A$1:$I$89,3,0)*0.475*44/12</f>
        <v>8.5216495643819492</v>
      </c>
      <c r="BR190" s="21">
        <f>EXP(-LN(2)/2)*BR189+(1-EXP(-LN(2)/2))/(LN(2)/2)*BL190*BO190*VLOOKUP('Données projet'!$B$11,Paramètres!$A$1:$I$89,3,0)*0.475*44/12</f>
        <v>5.1146919060715157E-9</v>
      </c>
      <c r="BS190" s="22">
        <f t="shared" si="169"/>
        <v>53.794787841228946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5.3205440053716299E-14</v>
      </c>
      <c r="P191" s="13">
        <f t="shared" si="141"/>
        <v>8.602146238565607E-13</v>
      </c>
      <c r="Q191" s="20">
        <f t="shared" si="162"/>
        <v>1.590873277977066E-12</v>
      </c>
      <c r="R191" s="59">
        <f t="shared" si="109"/>
        <v>293.33333333333491</v>
      </c>
      <c r="S191" s="59">
        <f ca="1">AVERAGE(OFFSET($R$3,0,0,'Données projet'!$E$9+1,1))-AVERAGE(OFFSET($H$3,0,0,'Données projet'!$E$9+1,1))</f>
        <v>263.84804661819163</v>
      </c>
      <c r="T191" s="59">
        <f t="shared" si="142"/>
        <v>271.81541836379307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35.607405427116369</v>
      </c>
      <c r="AA191" s="21">
        <f>EXP(-LN(2)/25)*AA190+(1-EXP(-LN(2)/25))/(LN(2)/25)*Calculateur!V191*Calculateur!X191*VLOOKUP('Données projet'!$B$9,Paramètres!$A$1:$I$89,3,0)*0.475*44/12</f>
        <v>5.4528899767458006</v>
      </c>
      <c r="AB191" s="21">
        <f>EXP(-LN(2)/2)*AB190+(1-EXP(-LN(2)/2))/(LN(2)/2)*V191*Y191*VLOOKUP('Données projet'!$B$9,Paramètres!$A$1:$I$89,3,0)*0.475*44/12</f>
        <v>1.26139814605505E-11</v>
      </c>
      <c r="AC191" s="22">
        <f t="shared" si="163"/>
        <v>41.060295403874782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270.04187128233121</v>
      </c>
      <c r="AO191" s="59">
        <f t="shared" si="144"/>
        <v>183.82555940776064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18.053334600086448</v>
      </c>
      <c r="AV191" s="21">
        <f>EXP(-LN(2)/25)*AV190+(1-EXP(-LN(2)/25))/(LN(2)/25)*Calculateur!AQ191*Calculateur!AS191*VLOOKUP('Données projet'!$B$10,Paramètres!$A$1:$I$89,3,0)*0.475*44/12</f>
        <v>2.5906786479664339</v>
      </c>
      <c r="AW191" s="21">
        <f>EXP(-LN(2)/2)*AW190+(1-EXP(-LN(2)/2))/(LN(2)/2)*AQ191*AT191*VLOOKUP('Données projet'!$B$10,Paramètres!$A$1:$I$89,3,0)*0.475*44/12</f>
        <v>3.9255622531047366E-15</v>
      </c>
      <c r="AX191" s="21">
        <f t="shared" si="166"/>
        <v>20.644013248052886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9.5326413429575044E-14</v>
      </c>
      <c r="BF191" s="13">
        <f t="shared" si="167"/>
        <v>1.4400742856080346E-12</v>
      </c>
      <c r="BG191" s="20">
        <f t="shared" si="168"/>
        <v>2.6741562174905032E-12</v>
      </c>
      <c r="BH191" s="59">
        <f t="shared" si="116"/>
        <v>293.33333333333599</v>
      </c>
      <c r="BI191" s="59">
        <f ca="1">AVERAGE(OFFSET($BH$3,0,0,'Données projet'!$E$11+1,1))-AVERAGE(OFFSET($H$3,0,0,'Données projet'!$E$11+1,1))</f>
        <v>293.82673322742102</v>
      </c>
      <c r="BJ191" s="59">
        <f t="shared" si="146"/>
        <v>138.78566015867693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44.38535964411134</v>
      </c>
      <c r="BQ191" s="21">
        <f>EXP(-LN(2)/25)*BQ190+(1-EXP(-LN(2)/25))/(LN(2)/25)*Calculateur!BL191*Calculateur!BN191*VLOOKUP('Données projet'!$B$11,Paramètres!$A$1:$I$89,3,0)*0.475*44/12</f>
        <v>8.288624608909851</v>
      </c>
      <c r="BR191" s="21">
        <f>EXP(-LN(2)/2)*BR190+(1-EXP(-LN(2)/2))/(LN(2)/2)*BL191*BO191*VLOOKUP('Données projet'!$B$11,Paramètres!$A$1:$I$89,3,0)*0.475*44/12</f>
        <v>3.6166333304631172E-9</v>
      </c>
      <c r="BS191" s="22">
        <f t="shared" si="169"/>
        <v>52.673984256637823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5.3205440053716299E-14</v>
      </c>
      <c r="P192" s="13">
        <f t="shared" si="141"/>
        <v>8.602146238565607E-13</v>
      </c>
      <c r="Q192" s="20">
        <f t="shared" si="162"/>
        <v>1.590873277977066E-12</v>
      </c>
      <c r="R192" s="59">
        <f t="shared" si="109"/>
        <v>293.33333333333491</v>
      </c>
      <c r="S192" s="59">
        <f ca="1">AVERAGE(OFFSET($R$3,0,0,'Données projet'!$E$9+1,1))-AVERAGE(OFFSET($H$3,0,0,'Données projet'!$E$9+1,1))</f>
        <v>263.84804661819163</v>
      </c>
      <c r="T192" s="59">
        <f t="shared" si="142"/>
        <v>271.81541836379307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34.909165925063419</v>
      </c>
      <c r="AA192" s="21">
        <f>EXP(-LN(2)/25)*AA191+(1-EXP(-LN(2)/25))/(LN(2)/25)*Calculateur!V192*Calculateur!X192*VLOOKUP('Données projet'!$B$9,Paramètres!$A$1:$I$89,3,0)*0.475*44/12</f>
        <v>5.3037804135766651</v>
      </c>
      <c r="AB192" s="21">
        <f>EXP(-LN(2)/2)*AB191+(1-EXP(-LN(2)/2))/(LN(2)/2)*V192*Y192*VLOOKUP('Données projet'!$B$9,Paramètres!$A$1:$I$89,3,0)*0.475*44/12</f>
        <v>8.9194318285166493E-12</v>
      </c>
      <c r="AC192" s="22">
        <f t="shared" si="163"/>
        <v>40.212946338649004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270.04187128233121</v>
      </c>
      <c r="AO192" s="59">
        <f t="shared" si="144"/>
        <v>183.82555940776064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17.699319720025567</v>
      </c>
      <c r="AV192" s="21">
        <f>EXP(-LN(2)/25)*AV191+(1-EXP(-LN(2)/25))/(LN(2)/25)*Calculateur!AQ192*Calculateur!AS192*VLOOKUP('Données projet'!$B$10,Paramètres!$A$1:$I$89,3,0)*0.475*44/12</f>
        <v>2.5198364040999226</v>
      </c>
      <c r="AW192" s="21">
        <f>EXP(-LN(2)/2)*AW191+(1-EXP(-LN(2)/2))/(LN(2)/2)*AQ192*AT192*VLOOKUP('Données projet'!$B$10,Paramètres!$A$1:$I$89,3,0)*0.475*44/12</f>
        <v>2.7757916891403015E-15</v>
      </c>
      <c r="AX192" s="21">
        <f t="shared" si="166"/>
        <v>20.219156124125494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9.5326413429575044E-14</v>
      </c>
      <c r="BF192" s="13">
        <f t="shared" si="167"/>
        <v>1.4400742856080346E-12</v>
      </c>
      <c r="BG192" s="20">
        <f t="shared" si="168"/>
        <v>2.6741562174905032E-12</v>
      </c>
      <c r="BH192" s="59">
        <f t="shared" si="116"/>
        <v>293.33333333333599</v>
      </c>
      <c r="BI192" s="59">
        <f ca="1">AVERAGE(OFFSET($BH$3,0,0,'Données projet'!$E$11+1,1))-AVERAGE(OFFSET($H$3,0,0,'Données projet'!$E$11+1,1))</f>
        <v>293.82673322742102</v>
      </c>
      <c r="BJ192" s="59">
        <f t="shared" si="146"/>
        <v>138.78566015867693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43.514989813886523</v>
      </c>
      <c r="BQ192" s="21">
        <f>EXP(-LN(2)/25)*BQ191+(1-EXP(-LN(2)/25))/(LN(2)/25)*Calculateur!BL192*Calculateur!BN192*VLOOKUP('Données projet'!$B$11,Paramètres!$A$1:$I$89,3,0)*0.475*44/12</f>
        <v>8.0619717330993872</v>
      </c>
      <c r="BR192" s="21">
        <f>EXP(-LN(2)/2)*BR191+(1-EXP(-LN(2)/2))/(LN(2)/2)*BL192*BO192*VLOOKUP('Données projet'!$B$11,Paramètres!$A$1:$I$89,3,0)*0.475*44/12</f>
        <v>2.5573459530357582E-9</v>
      </c>
      <c r="BS192" s="22">
        <f t="shared" si="169"/>
        <v>51.576961549543256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5.3205440053716299E-14</v>
      </c>
      <c r="P193" s="13">
        <f t="shared" si="141"/>
        <v>8.602146238565607E-13</v>
      </c>
      <c r="Q193" s="20">
        <f t="shared" si="162"/>
        <v>1.590873277977066E-12</v>
      </c>
      <c r="R193" s="59">
        <f t="shared" si="109"/>
        <v>293.33333333333491</v>
      </c>
      <c r="S193" s="59">
        <f ca="1">AVERAGE(OFFSET($R$3,0,0,'Données projet'!$E$9+1,1))-AVERAGE(OFFSET($H$3,0,0,'Données projet'!$E$9+1,1))</f>
        <v>263.84804661819163</v>
      </c>
      <c r="T193" s="59">
        <f t="shared" si="142"/>
        <v>271.81541836379307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34.22461847376168</v>
      </c>
      <c r="AA193" s="21">
        <f>EXP(-LN(2)/25)*AA192+(1-EXP(-LN(2)/25))/(LN(2)/25)*Calculateur!V193*Calculateur!X193*VLOOKUP('Données projet'!$B$9,Paramètres!$A$1:$I$89,3,0)*0.475*44/12</f>
        <v>5.1587482592537208</v>
      </c>
      <c r="AB193" s="21">
        <f>EXP(-LN(2)/2)*AB192+(1-EXP(-LN(2)/2))/(LN(2)/2)*V193*Y193*VLOOKUP('Données projet'!$B$9,Paramètres!$A$1:$I$89,3,0)*0.475*44/12</f>
        <v>6.3069907302752498E-12</v>
      </c>
      <c r="AC193" s="22">
        <f t="shared" si="163"/>
        <v>39.38336673302171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270.04187128233121</v>
      </c>
      <c r="AO193" s="59">
        <f t="shared" si="144"/>
        <v>183.82555940776064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17.352246855834927</v>
      </c>
      <c r="AV193" s="21">
        <f>EXP(-LN(2)/25)*AV192+(1-EXP(-LN(2)/25))/(LN(2)/25)*Calculateur!AQ193*Calculateur!AS193*VLOOKUP('Données projet'!$B$10,Paramètres!$A$1:$I$89,3,0)*0.475*44/12</f>
        <v>2.4509313451173731</v>
      </c>
      <c r="AW193" s="21">
        <f>EXP(-LN(2)/2)*AW192+(1-EXP(-LN(2)/2))/(LN(2)/2)*AQ193*AT193*VLOOKUP('Données projet'!$B$10,Paramètres!$A$1:$I$89,3,0)*0.475*44/12</f>
        <v>1.9627811265523683E-15</v>
      </c>
      <c r="AX193" s="21">
        <f t="shared" si="166"/>
        <v>19.803178200952303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9.5326413429575044E-14</v>
      </c>
      <c r="BF193" s="13">
        <f t="shared" si="167"/>
        <v>1.4400742856080346E-12</v>
      </c>
      <c r="BG193" s="20">
        <f t="shared" si="168"/>
        <v>2.6741562174905032E-12</v>
      </c>
      <c r="BH193" s="59">
        <f t="shared" si="116"/>
        <v>293.33333333333599</v>
      </c>
      <c r="BI193" s="59">
        <f ca="1">AVERAGE(OFFSET($BH$3,0,0,'Données projet'!$E$11+1,1))-AVERAGE(OFFSET($H$3,0,0,'Données projet'!$E$11+1,1))</f>
        <v>293.82673322742102</v>
      </c>
      <c r="BJ193" s="59">
        <f t="shared" si="146"/>
        <v>138.78566015867693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42.661687405159235</v>
      </c>
      <c r="BQ193" s="21">
        <f>EXP(-LN(2)/25)*BQ192+(1-EXP(-LN(2)/25))/(LN(2)/25)*Calculateur!BL193*Calculateur!BN193*VLOOKUP('Données projet'!$B$11,Paramètres!$A$1:$I$89,3,0)*0.475*44/12</f>
        <v>7.8415166920971169</v>
      </c>
      <c r="BR193" s="21">
        <f>EXP(-LN(2)/2)*BR192+(1-EXP(-LN(2)/2))/(LN(2)/2)*BL193*BO193*VLOOKUP('Données projet'!$B$11,Paramètres!$A$1:$I$89,3,0)*0.475*44/12</f>
        <v>1.8083166652315588E-9</v>
      </c>
      <c r="BS193" s="22">
        <f t="shared" si="169"/>
        <v>50.503204099064668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5.3205440053716299E-14</v>
      </c>
      <c r="P194" s="13">
        <f t="shared" si="141"/>
        <v>8.602146238565607E-13</v>
      </c>
      <c r="Q194" s="20">
        <f t="shared" si="162"/>
        <v>1.590873277977066E-12</v>
      </c>
      <c r="R194" s="59">
        <f t="shared" si="109"/>
        <v>293.33333333333491</v>
      </c>
      <c r="S194" s="59">
        <f ca="1">AVERAGE(OFFSET($R$3,0,0,'Données projet'!$E$9+1,1))-AVERAGE(OFFSET($H$3,0,0,'Données projet'!$E$9+1,1))</f>
        <v>263.84804661819163</v>
      </c>
      <c r="T194" s="59">
        <f t="shared" si="142"/>
        <v>271.81541836379307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33.55349458044725</v>
      </c>
      <c r="AA194" s="21">
        <f>EXP(-LN(2)/25)*AA193+(1-EXP(-LN(2)/25))/(LN(2)/25)*Calculateur!V194*Calculateur!X194*VLOOKUP('Données projet'!$B$9,Paramètres!$A$1:$I$89,3,0)*0.475*44/12</f>
        <v>5.0176820168176475</v>
      </c>
      <c r="AB194" s="21">
        <f>EXP(-LN(2)/2)*AB193+(1-EXP(-LN(2)/2))/(LN(2)/2)*V194*Y194*VLOOKUP('Données projet'!$B$9,Paramètres!$A$1:$I$89,3,0)*0.475*44/12</f>
        <v>4.4597159142583246E-12</v>
      </c>
      <c r="AC194" s="22">
        <f t="shared" si="163"/>
        <v>38.571176597269357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270.04187128233121</v>
      </c>
      <c r="AO194" s="59">
        <f t="shared" si="144"/>
        <v>183.82555940776064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17.01197987881752</v>
      </c>
      <c r="AV194" s="21">
        <f>EXP(-LN(2)/25)*AV193+(1-EXP(-LN(2)/25))/(LN(2)/25)*Calculateur!AQ194*Calculateur!AS194*VLOOKUP('Données projet'!$B$10,Paramètres!$A$1:$I$89,3,0)*0.475*44/12</f>
        <v>2.3839104985962609</v>
      </c>
      <c r="AW194" s="21">
        <f>EXP(-LN(2)/2)*AW193+(1-EXP(-LN(2)/2))/(LN(2)/2)*AQ194*AT194*VLOOKUP('Données projet'!$B$10,Paramètres!$A$1:$I$89,3,0)*0.475*44/12</f>
        <v>1.3878958445701508E-15</v>
      </c>
      <c r="AX194" s="21">
        <f t="shared" si="166"/>
        <v>19.395890377413782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9.5326413429575044E-14</v>
      </c>
      <c r="BF194" s="13">
        <f t="shared" si="167"/>
        <v>1.4400742856080346E-12</v>
      </c>
      <c r="BG194" s="20">
        <f t="shared" si="168"/>
        <v>2.6741562174905032E-12</v>
      </c>
      <c r="BH194" s="59">
        <f t="shared" si="116"/>
        <v>293.33333333333599</v>
      </c>
      <c r="BI194" s="59">
        <f ca="1">AVERAGE(OFFSET($BH$3,0,0,'Données projet'!$E$11+1,1))-AVERAGE(OFFSET($H$3,0,0,'Données projet'!$E$11+1,1))</f>
        <v>293.82673322742102</v>
      </c>
      <c r="BJ194" s="59">
        <f t="shared" si="146"/>
        <v>138.78566015867693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41.825117736204014</v>
      </c>
      <c r="BQ194" s="21">
        <f>EXP(-LN(2)/25)*BQ193+(1-EXP(-LN(2)/25))/(LN(2)/25)*Calculateur!BL194*Calculateur!BN194*VLOOKUP('Données projet'!$B$11,Paramètres!$A$1:$I$89,3,0)*0.475*44/12</f>
        <v>7.6270900057842805</v>
      </c>
      <c r="BR194" s="21">
        <f>EXP(-LN(2)/2)*BR193+(1-EXP(-LN(2)/2))/(LN(2)/2)*BL194*BO194*VLOOKUP('Données projet'!$B$11,Paramètres!$A$1:$I$89,3,0)*0.475*44/12</f>
        <v>1.2786729765178793E-9</v>
      </c>
      <c r="BS194" s="22">
        <f t="shared" si="169"/>
        <v>49.452207743266968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5.3205440053716299E-14</v>
      </c>
      <c r="P195" s="13">
        <f t="shared" si="141"/>
        <v>8.602146238565607E-13</v>
      </c>
      <c r="Q195" s="20">
        <f t="shared" si="162"/>
        <v>1.590873277977066E-12</v>
      </c>
      <c r="R195" s="59">
        <f t="shared" ref="R195:R203" si="191">Q195+(I195+J195)*44/12</f>
        <v>293.33333333333491</v>
      </c>
      <c r="S195" s="59">
        <f ca="1">AVERAGE(OFFSET($R$3,0,0,'Données projet'!$E$9+1,1))-AVERAGE(OFFSET($H$3,0,0,'Données projet'!$E$9+1,1))</f>
        <v>263.84804661819163</v>
      </c>
      <c r="T195" s="59">
        <f t="shared" si="142"/>
        <v>271.81541836379307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32.895531017335564</v>
      </c>
      <c r="AA195" s="21">
        <f>EXP(-LN(2)/25)*AA194+(1-EXP(-LN(2)/25))/(LN(2)/25)*Calculateur!V195*Calculateur!X195*VLOOKUP('Données projet'!$B$9,Paramètres!$A$1:$I$89,3,0)*0.475*44/12</f>
        <v>4.8804732381993396</v>
      </c>
      <c r="AB195" s="21">
        <f>EXP(-LN(2)/2)*AB194+(1-EXP(-LN(2)/2))/(LN(2)/2)*V195*Y195*VLOOKUP('Données projet'!$B$9,Paramètres!$A$1:$I$89,3,0)*0.475*44/12</f>
        <v>3.1534953651376249E-12</v>
      </c>
      <c r="AC195" s="22">
        <f t="shared" si="163"/>
        <v>37.776004255538055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270.04187128233121</v>
      </c>
      <c r="AO195" s="59">
        <f t="shared" si="144"/>
        <v>183.82555940776064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16.678385329677063</v>
      </c>
      <c r="AV195" s="21">
        <f>EXP(-LN(2)/25)*AV194+(1-EXP(-LN(2)/25))/(LN(2)/25)*Calculateur!AQ195*Calculateur!AS195*VLOOKUP('Données projet'!$B$10,Paramètres!$A$1:$I$89,3,0)*0.475*44/12</f>
        <v>2.3187223406477417</v>
      </c>
      <c r="AW195" s="21">
        <f>EXP(-LN(2)/2)*AW194+(1-EXP(-LN(2)/2))/(LN(2)/2)*AQ195*AT195*VLOOKUP('Données projet'!$B$10,Paramètres!$A$1:$I$89,3,0)*0.475*44/12</f>
        <v>9.8139056327618416E-16</v>
      </c>
      <c r="AX195" s="21">
        <f t="shared" si="166"/>
        <v>18.997107670324805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9.5326413429575044E-14</v>
      </c>
      <c r="BF195" s="13">
        <f t="shared" si="167"/>
        <v>1.4400742856080346E-12</v>
      </c>
      <c r="BG195" s="20">
        <f t="shared" si="168"/>
        <v>2.6741562174905032E-12</v>
      </c>
      <c r="BH195" s="59">
        <f t="shared" si="116"/>
        <v>293.33333333333599</v>
      </c>
      <c r="BI195" s="59">
        <f ca="1">AVERAGE(OFFSET($BH$3,0,0,'Données projet'!$E$11+1,1))-AVERAGE(OFFSET($H$3,0,0,'Données projet'!$E$11+1,1))</f>
        <v>293.82673322742102</v>
      </c>
      <c r="BJ195" s="59">
        <f t="shared" si="146"/>
        <v>138.78566015867693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41.004952688199893</v>
      </c>
      <c r="BQ195" s="21">
        <f>EXP(-LN(2)/25)*BQ194+(1-EXP(-LN(2)/25))/(LN(2)/25)*Calculateur!BL195*Calculateur!BN195*VLOOKUP('Données projet'!$B$11,Paramètres!$A$1:$I$89,3,0)*0.475*44/12</f>
        <v>7.418526828484878</v>
      </c>
      <c r="BR195" s="21">
        <f>EXP(-LN(2)/2)*BR194+(1-EXP(-LN(2)/2))/(LN(2)/2)*BL195*BO195*VLOOKUP('Données projet'!$B$11,Paramètres!$A$1:$I$89,3,0)*0.475*44/12</f>
        <v>9.0415833261577962E-10</v>
      </c>
      <c r="BS195" s="22">
        <f t="shared" si="169"/>
        <v>48.42347951758893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5.3205440053716299E-14</v>
      </c>
      <c r="P196" s="13">
        <f t="shared" si="141"/>
        <v>8.602146238565607E-13</v>
      </c>
      <c r="Q196" s="20">
        <f t="shared" si="162"/>
        <v>1.590873277977066E-12</v>
      </c>
      <c r="R196" s="59">
        <f t="shared" si="191"/>
        <v>293.33333333333491</v>
      </c>
      <c r="S196" s="59">
        <f ca="1">AVERAGE(OFFSET($R$3,0,0,'Données projet'!$E$9+1,1))-AVERAGE(OFFSET($H$3,0,0,'Données projet'!$E$9+1,1))</f>
        <v>263.84804661819163</v>
      </c>
      <c r="T196" s="59">
        <f t="shared" si="142"/>
        <v>271.81541836379307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32.250469718378348</v>
      </c>
      <c r="AA196" s="21">
        <f>EXP(-LN(2)/25)*AA195+(1-EXP(-LN(2)/25))/(LN(2)/25)*Calculateur!V196*Calculateur!X196*VLOOKUP('Données projet'!$B$9,Paramètres!$A$1:$I$89,3,0)*0.475*44/12</f>
        <v>4.7470164408478457</v>
      </c>
      <c r="AB196" s="21">
        <f>EXP(-LN(2)/2)*AB195+(1-EXP(-LN(2)/2))/(LN(2)/2)*V196*Y196*VLOOKUP('Données projet'!$B$9,Paramètres!$A$1:$I$89,3,0)*0.475*44/12</f>
        <v>2.2298579571291623E-12</v>
      </c>
      <c r="AC196" s="22">
        <f t="shared" si="163"/>
        <v>36.997486159228423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270.04187128233121</v>
      </c>
      <c r="AO196" s="59">
        <f t="shared" si="144"/>
        <v>183.82555940776064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16.351332366172667</v>
      </c>
      <c r="AV196" s="21">
        <f>EXP(-LN(2)/25)*AV195+(1-EXP(-LN(2)/25))/(LN(2)/25)*Calculateur!AQ196*Calculateur!AS196*VLOOKUP('Données projet'!$B$10,Paramètres!$A$1:$I$89,3,0)*0.475*44/12</f>
        <v>2.2553167563064207</v>
      </c>
      <c r="AW196" s="21">
        <f>EXP(-LN(2)/2)*AW195+(1-EXP(-LN(2)/2))/(LN(2)/2)*AQ196*AT196*VLOOKUP('Données projet'!$B$10,Paramètres!$A$1:$I$89,3,0)*0.475*44/12</f>
        <v>6.9394792228507538E-16</v>
      </c>
      <c r="AX196" s="21">
        <f t="shared" si="166"/>
        <v>18.606649122479087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9.5326413429575044E-14</v>
      </c>
      <c r="BF196" s="13">
        <f t="shared" si="167"/>
        <v>1.4400742856080346E-12</v>
      </c>
      <c r="BG196" s="20">
        <f t="shared" si="168"/>
        <v>2.6741562174905032E-12</v>
      </c>
      <c r="BH196" s="59">
        <f t="shared" ref="BH196:BH203" si="194">BG196+(AY196+AZ196)*44/12</f>
        <v>293.33333333333599</v>
      </c>
      <c r="BI196" s="59">
        <f ca="1">AVERAGE(OFFSET($BH$3,0,0,'Données projet'!$E$11+1,1))-AVERAGE(OFFSET($H$3,0,0,'Données projet'!$E$11+1,1))</f>
        <v>293.82673322742102</v>
      </c>
      <c r="BJ196" s="59">
        <f t="shared" si="146"/>
        <v>138.78566015867693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40.200870576535848</v>
      </c>
      <c r="BQ196" s="21">
        <f>EXP(-LN(2)/25)*BQ195+(1-EXP(-LN(2)/25))/(LN(2)/25)*Calculateur!BL196*Calculateur!BN196*VLOOKUP('Données projet'!$B$11,Paramètres!$A$1:$I$89,3,0)*0.475*44/12</f>
        <v>7.2156668222365887</v>
      </c>
      <c r="BR196" s="21">
        <f>EXP(-LN(2)/2)*BR195+(1-EXP(-LN(2)/2))/(LN(2)/2)*BL196*BO196*VLOOKUP('Données projet'!$B$11,Paramètres!$A$1:$I$89,3,0)*0.475*44/12</f>
        <v>6.3933648825893977E-10</v>
      </c>
      <c r="BS196" s="22">
        <f t="shared" si="169"/>
        <v>47.416537399411773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5.3205440053716299E-14</v>
      </c>
      <c r="P197" s="13">
        <f t="shared" ref="P197:P203" si="203">EXP(-1.0587+0.8836*LN(O197)+0.284)</f>
        <v>8.602146238565607E-13</v>
      </c>
      <c r="Q197" s="20">
        <f t="shared" si="162"/>
        <v>1.590873277977066E-12</v>
      </c>
      <c r="R197" s="59">
        <f t="shared" si="191"/>
        <v>293.33333333333491</v>
      </c>
      <c r="S197" s="59">
        <f ca="1">AVERAGE(OFFSET($R$3,0,0,'Données projet'!$E$9+1,1))-AVERAGE(OFFSET($H$3,0,0,'Données projet'!$E$9+1,1))</f>
        <v>263.84804661819163</v>
      </c>
      <c r="T197" s="59">
        <f t="shared" ref="T197:T203" si="204">$T$3</f>
        <v>271.81541836379307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31.61805767804514</v>
      </c>
      <c r="AA197" s="21">
        <f>EXP(-LN(2)/25)*AA196+(1-EXP(-LN(2)/25))/(LN(2)/25)*Calculateur!V197*Calculateur!X197*VLOOKUP('Données projet'!$B$9,Paramètres!$A$1:$I$89,3,0)*0.475*44/12</f>
        <v>4.6172090266381165</v>
      </c>
      <c r="AB197" s="21">
        <f>EXP(-LN(2)/2)*AB196+(1-EXP(-LN(2)/2))/(LN(2)/2)*V197*Y197*VLOOKUP('Données projet'!$B$9,Paramètres!$A$1:$I$89,3,0)*0.475*44/12</f>
        <v>1.5767476825688125E-12</v>
      </c>
      <c r="AC197" s="22">
        <f t="shared" si="163"/>
        <v>36.235266704684832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270.04187128233121</v>
      </c>
      <c r="AO197" s="59">
        <f t="shared" ref="AO197:AO203" si="205">$AO$3</f>
        <v>183.82555940776064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16.030692711799979</v>
      </c>
      <c r="AV197" s="21">
        <f>EXP(-LN(2)/25)*AV196+(1-EXP(-LN(2)/25))/(LN(2)/25)*Calculateur!AQ197*Calculateur!AS197*VLOOKUP('Données projet'!$B$10,Paramètres!$A$1:$I$89,3,0)*0.475*44/12</f>
        <v>2.1936450010032682</v>
      </c>
      <c r="AW197" s="21">
        <f>EXP(-LN(2)/2)*AW196+(1-EXP(-LN(2)/2))/(LN(2)/2)*AQ197*AT197*VLOOKUP('Données projet'!$B$10,Paramètres!$A$1:$I$89,3,0)*0.475*44/12</f>
        <v>4.9069528163809208E-16</v>
      </c>
      <c r="AX197" s="21">
        <f t="shared" si="166"/>
        <v>18.224337712803248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9.5326413429575044E-14</v>
      </c>
      <c r="BF197" s="13">
        <f t="shared" si="167"/>
        <v>1.4400742856080346E-12</v>
      </c>
      <c r="BG197" s="20">
        <f t="shared" si="168"/>
        <v>2.6741562174905032E-12</v>
      </c>
      <c r="BH197" s="59">
        <f t="shared" si="194"/>
        <v>293.33333333333599</v>
      </c>
      <c r="BI197" s="59">
        <f ca="1">AVERAGE(OFFSET($BH$3,0,0,'Données projet'!$E$11+1,1))-AVERAGE(OFFSET($H$3,0,0,'Données projet'!$E$11+1,1))</f>
        <v>293.82673322742102</v>
      </c>
      <c r="BJ197" s="59">
        <f t="shared" ref="BJ197:BJ203" si="206">$BJ$3</f>
        <v>138.78566015867693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39.412556024639869</v>
      </c>
      <c r="BQ197" s="21">
        <f>EXP(-LN(2)/25)*BQ196+(1-EXP(-LN(2)/25))/(LN(2)/25)*Calculateur!BL197*Calculateur!BN197*VLOOKUP('Données projet'!$B$11,Paramètres!$A$1:$I$89,3,0)*0.475*44/12</f>
        <v>7.0183540335271024</v>
      </c>
      <c r="BR197" s="21">
        <f>EXP(-LN(2)/2)*BR196+(1-EXP(-LN(2)/2))/(LN(2)/2)*BL197*BO197*VLOOKUP('Données projet'!$B$11,Paramètres!$A$1:$I$89,3,0)*0.475*44/12</f>
        <v>4.5207916630788986E-10</v>
      </c>
      <c r="BS197" s="22">
        <f t="shared" si="169"/>
        <v>46.430910058619048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5.3205440053716299E-14</v>
      </c>
      <c r="P198" s="13">
        <f t="shared" si="203"/>
        <v>8.602146238565607E-13</v>
      </c>
      <c r="Q198" s="20">
        <f t="shared" si="162"/>
        <v>1.590873277977066E-12</v>
      </c>
      <c r="R198" s="59">
        <f t="shared" si="191"/>
        <v>293.33333333333491</v>
      </c>
      <c r="S198" s="59">
        <f ca="1">AVERAGE(OFFSET($R$3,0,0,'Données projet'!$E$9+1,1))-AVERAGE(OFFSET($H$3,0,0,'Données projet'!$E$9+1,1))</f>
        <v>263.84804661819163</v>
      </c>
      <c r="T198" s="59">
        <f t="shared" si="204"/>
        <v>271.81541836379307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30.998046852089612</v>
      </c>
      <c r="AA198" s="21">
        <f>EXP(-LN(2)/25)*AA197+(1-EXP(-LN(2)/25))/(LN(2)/25)*Calculateur!V198*Calculateur!X198*VLOOKUP('Données projet'!$B$9,Paramètres!$A$1:$I$89,3,0)*0.475*44/12</f>
        <v>4.4909512029962269</v>
      </c>
      <c r="AB198" s="21">
        <f>EXP(-LN(2)/2)*AB197+(1-EXP(-LN(2)/2))/(LN(2)/2)*V198*Y198*VLOOKUP('Données projet'!$B$9,Paramètres!$A$1:$I$89,3,0)*0.475*44/12</f>
        <v>1.1149289785645812E-12</v>
      </c>
      <c r="AC198" s="22">
        <f t="shared" si="163"/>
        <v>35.488998055086952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270.04187128233121</v>
      </c>
      <c r="AO198" s="59">
        <f t="shared" si="205"/>
        <v>183.82555940776064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15.716340605478662</v>
      </c>
      <c r="AV198" s="21">
        <f>EXP(-LN(2)/25)*AV197+(1-EXP(-LN(2)/25))/(LN(2)/25)*Calculateur!AQ198*Calculateur!AS198*VLOOKUP('Données projet'!$B$10,Paramètres!$A$1:$I$89,3,0)*0.475*44/12</f>
        <v>2.133659663092057</v>
      </c>
      <c r="AW198" s="21">
        <f>EXP(-LN(2)/2)*AW197+(1-EXP(-LN(2)/2))/(LN(2)/2)*AQ198*AT198*VLOOKUP('Données projet'!$B$10,Paramètres!$A$1:$I$89,3,0)*0.475*44/12</f>
        <v>3.4697396114253769E-16</v>
      </c>
      <c r="AX198" s="21">
        <f t="shared" si="166"/>
        <v>17.850000268570717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9.5326413429575044E-14</v>
      </c>
      <c r="BF198" s="13">
        <f t="shared" si="167"/>
        <v>1.4400742856080346E-12</v>
      </c>
      <c r="BG198" s="20">
        <f t="shared" si="168"/>
        <v>2.6741562174905032E-12</v>
      </c>
      <c r="BH198" s="59">
        <f t="shared" si="194"/>
        <v>293.33333333333599</v>
      </c>
      <c r="BI198" s="59">
        <f ca="1">AVERAGE(OFFSET($BH$3,0,0,'Données projet'!$E$11+1,1))-AVERAGE(OFFSET($H$3,0,0,'Données projet'!$E$11+1,1))</f>
        <v>293.82673322742102</v>
      </c>
      <c r="BJ198" s="59">
        <f t="shared" si="206"/>
        <v>138.78566015867693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38.639699840282177</v>
      </c>
      <c r="BQ198" s="21">
        <f>EXP(-LN(2)/25)*BQ197+(1-EXP(-LN(2)/25))/(LN(2)/25)*Calculateur!BL198*Calculateur!BN198*VLOOKUP('Données projet'!$B$11,Paramètres!$A$1:$I$89,3,0)*0.475*44/12</f>
        <v>6.826436773401106</v>
      </c>
      <c r="BR198" s="21">
        <f>EXP(-LN(2)/2)*BR197+(1-EXP(-LN(2)/2))/(LN(2)/2)*BL198*BO198*VLOOKUP('Données projet'!$B$11,Paramètres!$A$1:$I$89,3,0)*0.475*44/12</f>
        <v>3.1966824412946994E-10</v>
      </c>
      <c r="BS198" s="22">
        <f t="shared" si="169"/>
        <v>45.466136614002949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5.3205440053716299E-14</v>
      </c>
      <c r="P199" s="13">
        <f t="shared" si="203"/>
        <v>8.602146238565607E-13</v>
      </c>
      <c r="Q199" s="20">
        <f t="shared" si="162"/>
        <v>1.590873277977066E-12</v>
      </c>
      <c r="R199" s="59">
        <f t="shared" si="191"/>
        <v>293.33333333333491</v>
      </c>
      <c r="S199" s="59">
        <f ca="1">AVERAGE(OFFSET($R$3,0,0,'Données projet'!$E$9+1,1))-AVERAGE(OFFSET($H$3,0,0,'Données projet'!$E$9+1,1))</f>
        <v>263.84804661819163</v>
      </c>
      <c r="T199" s="59">
        <f t="shared" si="204"/>
        <v>271.81541836379307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30.390194060261809</v>
      </c>
      <c r="AA199" s="21">
        <f>EXP(-LN(2)/25)*AA198+(1-EXP(-LN(2)/25))/(LN(2)/25)*Calculateur!V199*Calculateur!X199*VLOOKUP('Données projet'!$B$9,Paramètres!$A$1:$I$89,3,0)*0.475*44/12</f>
        <v>4.3681459061814358</v>
      </c>
      <c r="AB199" s="21">
        <f>EXP(-LN(2)/2)*AB198+(1-EXP(-LN(2)/2))/(LN(2)/2)*V199*Y199*VLOOKUP('Données projet'!$B$9,Paramètres!$A$1:$I$89,3,0)*0.475*44/12</f>
        <v>7.8837384128440623E-13</v>
      </c>
      <c r="AC199" s="22">
        <f t="shared" si="163"/>
        <v>34.758339966444034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270.04187128233121</v>
      </c>
      <c r="AO199" s="59">
        <f t="shared" si="205"/>
        <v>183.82555940776064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15.408152752226453</v>
      </c>
      <c r="AV199" s="21">
        <f>EXP(-LN(2)/25)*AV198+(1-EXP(-LN(2)/25))/(LN(2)/25)*Calculateur!AQ199*Calculateur!AS199*VLOOKUP('Données projet'!$B$10,Paramètres!$A$1:$I$89,3,0)*0.475*44/12</f>
        <v>2.0753146274005196</v>
      </c>
      <c r="AW199" s="21">
        <f>EXP(-LN(2)/2)*AW198+(1-EXP(-LN(2)/2))/(LN(2)/2)*AQ199*AT199*VLOOKUP('Données projet'!$B$10,Paramètres!$A$1:$I$89,3,0)*0.475*44/12</f>
        <v>2.4534764081904604E-16</v>
      </c>
      <c r="AX199" s="21">
        <f t="shared" si="166"/>
        <v>17.483467379626973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9.5326413429575044E-14</v>
      </c>
      <c r="BF199" s="13">
        <f t="shared" si="167"/>
        <v>1.4400742856080346E-12</v>
      </c>
      <c r="BG199" s="20">
        <f t="shared" si="168"/>
        <v>2.6741562174905032E-12</v>
      </c>
      <c r="BH199" s="59">
        <f t="shared" si="194"/>
        <v>293.33333333333599</v>
      </c>
      <c r="BI199" s="59">
        <f ca="1">AVERAGE(OFFSET($BH$3,0,0,'Données projet'!$E$11+1,1))-AVERAGE(OFFSET($H$3,0,0,'Données projet'!$E$11+1,1))</f>
        <v>293.82673322742102</v>
      </c>
      <c r="BJ199" s="59">
        <f t="shared" si="206"/>
        <v>138.78566015867693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37.881998894304012</v>
      </c>
      <c r="BQ199" s="21">
        <f>EXP(-LN(2)/25)*BQ198+(1-EXP(-LN(2)/25))/(LN(2)/25)*Calculateur!BL199*Calculateur!BN199*VLOOKUP('Données projet'!$B$11,Paramètres!$A$1:$I$89,3,0)*0.475*44/12</f>
        <v>6.6397675008457453</v>
      </c>
      <c r="BR199" s="21">
        <f>EXP(-LN(2)/2)*BR198+(1-EXP(-LN(2)/2))/(LN(2)/2)*BL199*BO199*VLOOKUP('Données projet'!$B$11,Paramètres!$A$1:$I$89,3,0)*0.475*44/12</f>
        <v>2.2603958315394496E-10</v>
      </c>
      <c r="BS199" s="22">
        <f t="shared" si="169"/>
        <v>44.521766395375792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5.3205440053716299E-14</v>
      </c>
      <c r="P200" s="13">
        <f t="shared" si="203"/>
        <v>8.602146238565607E-13</v>
      </c>
      <c r="Q200" s="20">
        <f t="shared" si="162"/>
        <v>1.590873277977066E-12</v>
      </c>
      <c r="R200" s="59">
        <f t="shared" si="191"/>
        <v>293.33333333333491</v>
      </c>
      <c r="S200" s="59">
        <f ca="1">AVERAGE(OFFSET($R$3,0,0,'Données projet'!$E$9+1,1))-AVERAGE(OFFSET($H$3,0,0,'Données projet'!$E$9+1,1))</f>
        <v>263.84804661819163</v>
      </c>
      <c r="T200" s="59">
        <f t="shared" si="204"/>
        <v>271.81541836379307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29.794260890928154</v>
      </c>
      <c r="AA200" s="21">
        <f>EXP(-LN(2)/25)*AA199+(1-EXP(-LN(2)/25))/(LN(2)/25)*Calculateur!V200*Calculateur!X200*VLOOKUP('Données projet'!$B$9,Paramètres!$A$1:$I$89,3,0)*0.475*44/12</f>
        <v>4.2486987266660945</v>
      </c>
      <c r="AB200" s="21">
        <f>EXP(-LN(2)/2)*AB199+(1-EXP(-LN(2)/2))/(LN(2)/2)*V200*Y200*VLOOKUP('Données projet'!$B$9,Paramètres!$A$1:$I$89,3,0)*0.475*44/12</f>
        <v>5.5746448928229058E-13</v>
      </c>
      <c r="AC200" s="22">
        <f t="shared" si="163"/>
        <v>34.042959617594803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270.04187128233121</v>
      </c>
      <c r="AO200" s="59">
        <f t="shared" si="205"/>
        <v>183.82555940776064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15.106008274800491</v>
      </c>
      <c r="AV200" s="21">
        <f>EXP(-LN(2)/25)*AV199+(1-EXP(-LN(2)/25))/(LN(2)/25)*Calculateur!AQ200*Calculateur!AS200*VLOOKUP('Données projet'!$B$10,Paramètres!$A$1:$I$89,3,0)*0.475*44/12</f>
        <v>2.0185650397781996</v>
      </c>
      <c r="AW200" s="21">
        <f>EXP(-LN(2)/2)*AW199+(1-EXP(-LN(2)/2))/(LN(2)/2)*AQ200*AT200*VLOOKUP('Données projet'!$B$10,Paramètres!$A$1:$I$89,3,0)*0.475*44/12</f>
        <v>1.7348698057126885E-16</v>
      </c>
      <c r="AX200" s="21">
        <f t="shared" si="166"/>
        <v>17.12457331457869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9.5326413429575044E-14</v>
      </c>
      <c r="BF200" s="13">
        <f t="shared" si="167"/>
        <v>1.4400742856080346E-12</v>
      </c>
      <c r="BG200" s="20">
        <f t="shared" si="168"/>
        <v>2.6741562174905032E-12</v>
      </c>
      <c r="BH200" s="59">
        <f t="shared" si="194"/>
        <v>293.33333333333599</v>
      </c>
      <c r="BI200" s="59">
        <f ca="1">AVERAGE(OFFSET($BH$3,0,0,'Données projet'!$E$11+1,1))-AVERAGE(OFFSET($H$3,0,0,'Données projet'!$E$11+1,1))</f>
        <v>293.82673322742102</v>
      </c>
      <c r="BJ200" s="59">
        <f t="shared" si="206"/>
        <v>138.78566015867693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37.139156001724537</v>
      </c>
      <c r="BQ200" s="21">
        <f>EXP(-LN(2)/25)*BQ199+(1-EXP(-LN(2)/25))/(LN(2)/25)*Calculateur!BL200*Calculateur!BN200*VLOOKUP('Données projet'!$B$11,Paramètres!$A$1:$I$89,3,0)*0.475*44/12</f>
        <v>6.4582027093649206</v>
      </c>
      <c r="BR200" s="21">
        <f>EXP(-LN(2)/2)*BR199+(1-EXP(-LN(2)/2))/(LN(2)/2)*BL200*BO200*VLOOKUP('Données projet'!$B$11,Paramètres!$A$1:$I$89,3,0)*0.475*44/12</f>
        <v>1.5983412206473499E-10</v>
      </c>
      <c r="BS200" s="22">
        <f t="shared" si="169"/>
        <v>43.597358711249292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5.3205440053716299E-14</v>
      </c>
      <c r="P201" s="13">
        <f t="shared" si="203"/>
        <v>8.602146238565607E-13</v>
      </c>
      <c r="Q201" s="20">
        <f t="shared" si="162"/>
        <v>1.590873277977066E-12</v>
      </c>
      <c r="R201" s="59">
        <f t="shared" si="191"/>
        <v>293.33333333333491</v>
      </c>
      <c r="S201" s="59">
        <f ca="1">AVERAGE(OFFSET($R$3,0,0,'Données projet'!$E$9+1,1))-AVERAGE(OFFSET($H$3,0,0,'Données projet'!$E$9+1,1))</f>
        <v>263.84804661819163</v>
      </c>
      <c r="T201" s="59">
        <f t="shared" si="204"/>
        <v>271.81541836379307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29.210013607561791</v>
      </c>
      <c r="AA201" s="21">
        <f>EXP(-LN(2)/25)*AA200+(1-EXP(-LN(2)/25))/(LN(2)/25)*Calculateur!V201*Calculateur!X201*VLOOKUP('Données projet'!$B$9,Paramètres!$A$1:$I$89,3,0)*0.475*44/12</f>
        <v>4.1325178365560546</v>
      </c>
      <c r="AB201" s="21">
        <f>EXP(-LN(2)/2)*AB200+(1-EXP(-LN(2)/2))/(LN(2)/2)*V201*Y201*VLOOKUP('Données projet'!$B$9,Paramètres!$A$1:$I$89,3,0)*0.475*44/12</f>
        <v>3.9418692064220311E-13</v>
      </c>
      <c r="AC201" s="22">
        <f t="shared" si="163"/>
        <v>33.342531444118237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270.04187128233121</v>
      </c>
      <c r="AO201" s="59">
        <f t="shared" si="205"/>
        <v>183.82555940776064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14.809788666286918</v>
      </c>
      <c r="AV201" s="21">
        <f>EXP(-LN(2)/25)*AV200+(1-EXP(-LN(2)/25))/(LN(2)/25)*Calculateur!AQ201*Calculateur!AS201*VLOOKUP('Données projet'!$B$10,Paramètres!$A$1:$I$89,3,0)*0.475*44/12</f>
        <v>1.9633672726137428</v>
      </c>
      <c r="AW201" s="21">
        <f>EXP(-LN(2)/2)*AW200+(1-EXP(-LN(2)/2))/(LN(2)/2)*AQ201*AT201*VLOOKUP('Données projet'!$B$10,Paramètres!$A$1:$I$89,3,0)*0.475*44/12</f>
        <v>1.2267382040952302E-16</v>
      </c>
      <c r="AX201" s="21">
        <f t="shared" si="166"/>
        <v>16.773155938900661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9.5326413429575044E-14</v>
      </c>
      <c r="BF201" s="13">
        <f t="shared" si="167"/>
        <v>1.4400742856080346E-12</v>
      </c>
      <c r="BG201" s="20">
        <f t="shared" si="168"/>
        <v>2.6741562174905032E-12</v>
      </c>
      <c r="BH201" s="59">
        <f t="shared" si="194"/>
        <v>293.33333333333599</v>
      </c>
      <c r="BI201" s="59">
        <f ca="1">AVERAGE(OFFSET($BH$3,0,0,'Données projet'!$E$11+1,1))-AVERAGE(OFFSET($H$3,0,0,'Données projet'!$E$11+1,1))</f>
        <v>293.82673322742102</v>
      </c>
      <c r="BJ201" s="59">
        <f t="shared" si="206"/>
        <v>138.78566015867693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36.410879805179114</v>
      </c>
      <c r="BQ201" s="21">
        <f>EXP(-LN(2)/25)*BQ200+(1-EXP(-LN(2)/25))/(LN(2)/25)*Calculateur!BL201*Calculateur!BN201*VLOOKUP('Données projet'!$B$11,Paramètres!$A$1:$I$89,3,0)*0.475*44/12</f>
        <v>6.2816028166552167</v>
      </c>
      <c r="BR201" s="21">
        <f>EXP(-LN(2)/2)*BR200+(1-EXP(-LN(2)/2))/(LN(2)/2)*BL201*BO201*VLOOKUP('Données projet'!$B$11,Paramètres!$A$1:$I$89,3,0)*0.475*44/12</f>
        <v>1.130197915769725E-10</v>
      </c>
      <c r="BS201" s="22">
        <f t="shared" si="169"/>
        <v>42.692482621947349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5.3205440053716299E-14</v>
      </c>
      <c r="P202" s="13">
        <f t="shared" si="203"/>
        <v>8.602146238565607E-13</v>
      </c>
      <c r="Q202" s="20">
        <f t="shared" si="162"/>
        <v>1.590873277977066E-12</v>
      </c>
      <c r="R202" s="59">
        <f t="shared" si="191"/>
        <v>293.33333333333491</v>
      </c>
      <c r="S202" s="59">
        <f ca="1">AVERAGE(OFFSET($R$3,0,0,'Données projet'!$E$9+1,1))-AVERAGE(OFFSET($H$3,0,0,'Données projet'!$E$9+1,1))</f>
        <v>263.84804661819163</v>
      </c>
      <c r="T202" s="59">
        <f t="shared" si="204"/>
        <v>271.81541836379307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28.637223057066585</v>
      </c>
      <c r="AA202" s="21">
        <f>EXP(-LN(2)/25)*AA201+(1-EXP(-LN(2)/25))/(LN(2)/25)*Calculateur!V202*Calculateur!X202*VLOOKUP('Données projet'!$B$9,Paramètres!$A$1:$I$89,3,0)*0.475*44/12</f>
        <v>4.0195139189957612</v>
      </c>
      <c r="AB202" s="21">
        <f>EXP(-LN(2)/2)*AB201+(1-EXP(-LN(2)/2))/(LN(2)/2)*V202*Y202*VLOOKUP('Données projet'!$B$9,Paramètres!$A$1:$I$89,3,0)*0.475*44/12</f>
        <v>2.7873224464114529E-13</v>
      </c>
      <c r="AC202" s="22">
        <f t="shared" si="163"/>
        <v>32.656736976062625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270.04187128233121</v>
      </c>
      <c r="AO202" s="59">
        <f t="shared" si="205"/>
        <v>183.82555940776064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14.519377743620176</v>
      </c>
      <c r="AV202" s="21">
        <f>EXP(-LN(2)/25)*AV201+(1-EXP(-LN(2)/25))/(LN(2)/25)*Calculateur!AQ202*Calculateur!AS202*VLOOKUP('Données projet'!$B$10,Paramètres!$A$1:$I$89,3,0)*0.475*44/12</f>
        <v>1.9096788912951224</v>
      </c>
      <c r="AW202" s="21">
        <f>EXP(-LN(2)/2)*AW201+(1-EXP(-LN(2)/2))/(LN(2)/2)*AQ202*AT202*VLOOKUP('Données projet'!$B$10,Paramètres!$A$1:$I$89,3,0)*0.475*44/12</f>
        <v>8.6743490285634423E-17</v>
      </c>
      <c r="AX202" s="21">
        <f t="shared" si="166"/>
        <v>16.429056634915298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9.5326413429575044E-14</v>
      </c>
      <c r="BF202" s="13">
        <f t="shared" si="167"/>
        <v>1.4400742856080346E-12</v>
      </c>
      <c r="BG202" s="20">
        <f t="shared" si="168"/>
        <v>2.6741562174905032E-12</v>
      </c>
      <c r="BH202" s="59">
        <f t="shared" si="194"/>
        <v>293.33333333333599</v>
      </c>
      <c r="BI202" s="59">
        <f ca="1">AVERAGE(OFFSET($BH$3,0,0,'Données projet'!$E$11+1,1))-AVERAGE(OFFSET($H$3,0,0,'Données projet'!$E$11+1,1))</f>
        <v>293.82673322742102</v>
      </c>
      <c r="BJ202" s="59">
        <f t="shared" si="206"/>
        <v>138.78566015867693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35.696884660643335</v>
      </c>
      <c r="BQ202" s="21">
        <f>EXP(-LN(2)/25)*BQ201+(1-EXP(-LN(2)/25))/(LN(2)/25)*Calculateur!BL202*Calculateur!BN202*VLOOKUP('Données projet'!$B$11,Paramètres!$A$1:$I$89,3,0)*0.475*44/12</f>
        <v>6.1098320572986449</v>
      </c>
      <c r="BR202" s="21">
        <f>EXP(-LN(2)/2)*BR201+(1-EXP(-LN(2)/2))/(LN(2)/2)*BL202*BO202*VLOOKUP('Données projet'!$B$11,Paramètres!$A$1:$I$89,3,0)*0.475*44/12</f>
        <v>7.991706103236751E-11</v>
      </c>
      <c r="BS202" s="22">
        <f t="shared" si="169"/>
        <v>41.806716718021896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5.3205440053716299E-14</v>
      </c>
      <c r="P203" s="13">
        <f t="shared" si="203"/>
        <v>8.602146238565607E-13</v>
      </c>
      <c r="Q203" s="20">
        <f t="shared" si="162"/>
        <v>1.590873277977066E-12</v>
      </c>
      <c r="R203" s="59">
        <f t="shared" si="191"/>
        <v>293.33333333333491</v>
      </c>
      <c r="S203" s="59">
        <f ca="1">AVERAGE(OFFSET($R$3,0,0,'Données projet'!$E$9+1,1))-AVERAGE(OFFSET($H$3,0,0,'Données projet'!$E$9+1,1))</f>
        <v>263.84804661819163</v>
      </c>
      <c r="T203" s="59">
        <f t="shared" si="204"/>
        <v>271.81541836379307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28.075664579898852</v>
      </c>
      <c r="AA203" s="21">
        <f>EXP(-LN(2)/25)*AA202+(1-EXP(-LN(2)/25))/(LN(2)/25)*Calculateur!V203*Calculateur!X203*VLOOKUP('Données projet'!$B$9,Paramètres!$A$1:$I$89,3,0)*0.475*44/12</f>
        <v>3.9096000995037716</v>
      </c>
      <c r="AB203" s="21">
        <f>EXP(-LN(2)/2)*AB202+(1-EXP(-LN(2)/2))/(LN(2)/2)*V203*Y203*VLOOKUP('Données projet'!$B$9,Paramètres!$A$1:$I$89,3,0)*0.475*44/12</f>
        <v>1.9709346032110156E-13</v>
      </c>
      <c r="AC203" s="22">
        <f t="shared" si="163"/>
        <v>31.985264679402821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270.04187128233121</v>
      </c>
      <c r="AO203" s="59">
        <f t="shared" si="205"/>
        <v>183.82555940776064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14.234661602013755</v>
      </c>
      <c r="AV203" s="21">
        <f>EXP(-LN(2)/25)*AV202+(1-EXP(-LN(2)/25))/(LN(2)/25)*Calculateur!AQ203*Calculateur!AS203*VLOOKUP('Données projet'!$B$10,Paramètres!$A$1:$I$89,3,0)*0.475*44/12</f>
        <v>1.857458621587009</v>
      </c>
      <c r="AW203" s="21">
        <f>EXP(-LN(2)/2)*AW202+(1-EXP(-LN(2)/2))/(LN(2)/2)*AQ203*AT203*VLOOKUP('Données projet'!$B$10,Paramètres!$A$1:$I$89,3,0)*0.475*44/12</f>
        <v>6.133691020476151E-17</v>
      </c>
      <c r="AX203" s="21">
        <f t="shared" si="166"/>
        <v>16.092120223600766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9.5326413429575044E-14</v>
      </c>
      <c r="BF203" s="13">
        <f t="shared" si="167"/>
        <v>1.4400742856080346E-12</v>
      </c>
      <c r="BG203" s="20">
        <f t="shared" si="168"/>
        <v>2.6741562174905032E-12</v>
      </c>
      <c r="BH203" s="59">
        <f t="shared" si="194"/>
        <v>293.33333333333599</v>
      </c>
      <c r="BI203" s="59">
        <f ca="1">AVERAGE(OFFSET($BH$3,0,0,'Données projet'!$E$11+1,1))-AVERAGE(OFFSET($H$3,0,0,'Données projet'!$E$11+1,1))</f>
        <v>293.82673322742102</v>
      </c>
      <c r="BJ203" s="59">
        <f t="shared" si="206"/>
        <v>138.78566015867693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34.996890525397859</v>
      </c>
      <c r="BQ203" s="21">
        <f>EXP(-LN(2)/25)*BQ202+(1-EXP(-LN(2)/25))/(LN(2)/25)*Calculateur!BL203*Calculateur!BN203*VLOOKUP('Données projet'!$B$11,Paramètres!$A$1:$I$89,3,0)*0.475*44/12</f>
        <v>5.9427583783897093</v>
      </c>
      <c r="BR203" s="21">
        <f>EXP(-LN(2)/2)*BR202+(1-EXP(-LN(2)/2))/(LN(2)/2)*BL203*BO203*VLOOKUP('Données projet'!$B$11,Paramètres!$A$1:$I$89,3,0)*0.475*44/12</f>
        <v>5.6509895788486258E-11</v>
      </c>
      <c r="BS203" s="22">
        <f t="shared" si="169"/>
        <v>40.939648903844081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1.1548473372585901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1.2474449991725556</v>
      </c>
      <c r="BA205" s="82">
        <f>EXP(LN('Données projet'!B88)/'Données projet'!A88)</f>
        <v>1.1796834870079891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9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96875" style="4" bestFit="1" customWidth="1"/>
    <col min="7" max="7" width="11.46484375" style="4" bestFit="1" customWidth="1"/>
    <col min="8" max="8" width="39" style="4" bestFit="1" customWidth="1"/>
    <col min="9" max="9" width="16.79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1" zoomScale="90" zoomScaleNormal="90" workbookViewId="0">
      <selection activeCell="G16" sqref="G16"/>
    </sheetView>
  </sheetViews>
  <sheetFormatPr baseColWidth="10" defaultColWidth="11.46484375" defaultRowHeight="14.25" x14ac:dyDescent="0.45"/>
  <cols>
    <col min="1" max="1" width="22.7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Cèdre de l'Atlas</v>
      </c>
      <c r="B6" s="146">
        <f>'Données projet'!D9</f>
        <v>3.25</v>
      </c>
      <c r="C6" s="147">
        <f ca="1">IF(OR('Données projet'!B9="",'Données projet'!C9="",'Données projet'!C9=0%),0,Calculateur!S3)</f>
        <v>263.84804661819163</v>
      </c>
      <c r="D6" s="147">
        <f>IF(OR('Données projet'!B9="",'Données projet'!C9="",'Données projet'!C9=0%),0,Calculateur!T3)</f>
        <v>271.81541836379307</v>
      </c>
      <c r="E6" s="147">
        <f ca="1">MIN(C6,D6)</f>
        <v>263.84804661819163</v>
      </c>
      <c r="F6" s="147">
        <f ca="1">E6*B6</f>
        <v>857.50615150912279</v>
      </c>
      <c r="G6" s="147">
        <f ca="1">F6*(100%-'Données projet'!$C$24)*(100%-'Données projet'!$C$25)*(100%-'Données projet'!$C$26)*(100%-'Données projet'!$C$27)</f>
        <v>694.57998272238945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694.57998272238945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laricio</v>
      </c>
      <c r="B7" s="154">
        <f>'Données projet'!D10</f>
        <v>1.8849999999999998</v>
      </c>
      <c r="C7" s="147">
        <f ca="1">IF(OR('Données projet'!B10="",'Données projet'!C10="",'Données projet'!C10=0%),0,Calculateur!AN3)</f>
        <v>270.04187128233121</v>
      </c>
      <c r="D7" s="147">
        <f>IF(OR('Données projet'!B10="",'Données projet'!C10="",'Données projet'!C10=0%),0,Calculateur!AO3)</f>
        <v>183.82555940776064</v>
      </c>
      <c r="E7" s="147">
        <f t="shared" ref="E7:E15" ca="1" si="0">MIN(C7,D7)</f>
        <v>183.82555940776064</v>
      </c>
      <c r="F7" s="147">
        <f t="shared" ref="F7:F15" ca="1" si="1">E7*B7</f>
        <v>346.51117948362878</v>
      </c>
      <c r="G7" s="147">
        <f ca="1">F7*(100%-'Données projet'!$C$24)*(100%-'Données projet'!$C$25)*(100%-'Données projet'!$C$26)*(100%-'Données projet'!$C$27)</f>
        <v>280.67405538173932</v>
      </c>
      <c r="H7" s="155">
        <f>IF(OR('Données projet'!B10="",'Données projet'!C10="",'Données projet'!C10=0%),0,AVERAGE(Calculateur!$AX$3:$AX$33)*B7)</f>
        <v>11.947131886654107</v>
      </c>
      <c r="I7" s="149">
        <f>H7*(100%-'Données projet'!$C$24)*(100%-'Données projet'!$C$25)*(100%-'Données projet'!$C$26)*(100%-'Données projet'!$C$27)</f>
        <v>9.6771768281898272</v>
      </c>
      <c r="J7" s="150">
        <f>IF(OR('Données projet'!B10="",'Données projet'!C10="",'Données projet'!C10=0%),0,SUM(Calculateur!$AQ$3:$AQ$33)*VLOOKUP('Données projet'!$B$10,Paramètres!$A$1:$I$89,9,0)*B7)</f>
        <v>73.395302499999985</v>
      </c>
      <c r="K7" s="151">
        <f>J7*(100%-'Données projet'!$C$24)*(100%-'Données projet'!$C$25)*(100%-'Données projet'!$C$26)*(100%-'Données projet'!$C$27)</f>
        <v>59.450195024999992</v>
      </c>
      <c r="L7" s="152">
        <f t="shared" ref="L7:L15" ca="1" si="2">G7+I7+K7</f>
        <v>349.80142723492912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Douglas</v>
      </c>
      <c r="B8" s="154">
        <f>'Données projet'!D11</f>
        <v>1.365</v>
      </c>
      <c r="C8" s="147">
        <f ca="1">IF(OR('Données projet'!B11="",'Données projet'!C11="",'Données projet'!C11=0%),0,Calculateur!BI3)</f>
        <v>293.82673322742102</v>
      </c>
      <c r="D8" s="147">
        <f>IF(OR('Données projet'!B11="",'Données projet'!C11="",'Données projet'!C11=0%),0,Calculateur!BJ3)</f>
        <v>138.78566015867693</v>
      </c>
      <c r="E8" s="147">
        <f t="shared" ca="1" si="0"/>
        <v>138.78566015867693</v>
      </c>
      <c r="F8" s="147">
        <f t="shared" ca="1" si="1"/>
        <v>189.44242611659402</v>
      </c>
      <c r="G8" s="147">
        <f ca="1">F8*(100%-'Données projet'!$C$24)*(100%-'Données projet'!$C$25)*(100%-'Données projet'!$C$26)*(100%-'Données projet'!$C$27)</f>
        <v>153.44836515444115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153.44836515444115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1393.4597571093457</v>
      </c>
      <c r="G16" s="166">
        <f t="shared" ca="1" si="3"/>
        <v>1128.70240325857</v>
      </c>
      <c r="H16" s="167">
        <f t="shared" si="3"/>
        <v>11.947131886654107</v>
      </c>
      <c r="I16" s="167">
        <f t="shared" si="3"/>
        <v>9.6771768281898272</v>
      </c>
      <c r="J16" s="168">
        <f t="shared" si="3"/>
        <v>73.395302499999985</v>
      </c>
      <c r="K16" s="168">
        <f t="shared" si="3"/>
        <v>59.450195024999992</v>
      </c>
      <c r="L16" s="169">
        <f t="shared" ca="1" si="3"/>
        <v>1197.8297751117598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" zoomScale="80" zoomScaleNormal="80" workbookViewId="0">
      <selection activeCell="J22" sqref="J22:J26"/>
    </sheetView>
  </sheetViews>
  <sheetFormatPr baseColWidth="10" defaultColWidth="11.46484375" defaultRowHeight="14.25" x14ac:dyDescent="0.45"/>
  <cols>
    <col min="1" max="1" width="11.46484375" style="1"/>
    <col min="2" max="2" width="30.796875" style="1" bestFit="1" customWidth="1"/>
    <col min="3" max="3" width="18.19921875" style="1" bestFit="1" customWidth="1"/>
    <col min="4" max="5" width="11.46484375" style="1"/>
    <col min="6" max="6" width="14" style="1" customWidth="1"/>
    <col min="7" max="7" width="17.53125" style="1" customWidth="1"/>
    <col min="8" max="8" width="21.796875" style="1" customWidth="1"/>
    <col min="9" max="9" width="37" style="1" customWidth="1"/>
    <col min="10" max="10" width="11.46484375" style="1"/>
    <col min="11" max="11" width="8.7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9921875" style="1" customWidth="1"/>
    <col min="21" max="21" width="16.46484375" style="1" customWidth="1"/>
    <col min="22" max="22" width="17.7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1832.4866394737742</v>
      </c>
      <c r="U10" s="178">
        <f>'Données projet'!D9</f>
        <v>3.25</v>
      </c>
      <c r="V10" s="177">
        <f>U10*T10</f>
        <v>5955.5815782897662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1435.4902410278382</v>
      </c>
      <c r="U11" s="178">
        <f>'Données projet'!D10</f>
        <v>1.8849999999999998</v>
      </c>
      <c r="V11" s="177">
        <f t="shared" ref="V11" si="0">U11*T11</f>
        <v>2705.8991043374749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1126.5768554128156</v>
      </c>
      <c r="U12" s="178">
        <f>'Données projet'!D11</f>
        <v>1.365</v>
      </c>
      <c r="V12" s="177">
        <f t="shared" ref="V12:V19" si="1">U12*T12</f>
        <v>1537.7774076384933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69.999999999999943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699.99999999999943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5841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185.17</v>
      </c>
      <c r="C23" s="193">
        <v>26.25</v>
      </c>
      <c r="D23" s="182">
        <f>B23*C23</f>
        <v>4860.7124999999996</v>
      </c>
      <c r="E23" s="193">
        <v>60</v>
      </c>
      <c r="F23" s="230"/>
      <c r="H23" s="190">
        <v>5</v>
      </c>
      <c r="I23" s="191">
        <v>400</v>
      </c>
      <c r="J23" s="304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-34663.636026677312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49</v>
      </c>
      <c r="B24" s="181">
        <f>'Données projet'!D37</f>
        <v>101.22000000000003</v>
      </c>
      <c r="C24" s="193">
        <v>26.25</v>
      </c>
      <c r="D24" s="182">
        <f t="shared" ref="D24:D42" si="2">B24*C24</f>
        <v>2657.0250000000005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208.86759464678991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56</v>
      </c>
      <c r="B25" s="181">
        <f>'Données projet'!D38</f>
        <v>80.21999999999997</v>
      </c>
      <c r="C25" s="193">
        <v>26.25</v>
      </c>
      <c r="D25" s="182">
        <f t="shared" si="2"/>
        <v>2105.7749999999992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-34872.503621324104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63</v>
      </c>
      <c r="B26" s="181">
        <f>'Données projet'!D39</f>
        <v>79.909999999999968</v>
      </c>
      <c r="C26" s="193">
        <v>26.25</v>
      </c>
      <c r="D26" s="182">
        <f t="shared" si="2"/>
        <v>2097.6374999999994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71</v>
      </c>
      <c r="B27" s="181">
        <f>'Données projet'!D40</f>
        <v>91.730000000000018</v>
      </c>
      <c r="C27" s="193">
        <v>26.25</v>
      </c>
      <c r="D27" s="182">
        <f t="shared" si="2"/>
        <v>2407.9125000000004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79</v>
      </c>
      <c r="B28" s="181">
        <f>'Données projet'!D41</f>
        <v>89.009999999999991</v>
      </c>
      <c r="C28" s="193">
        <v>26.25</v>
      </c>
      <c r="D28" s="182">
        <f t="shared" si="2"/>
        <v>2336.5124999999998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87</v>
      </c>
      <c r="B29" s="181">
        <f>'Données projet'!D42</f>
        <v>89.649999999999977</v>
      </c>
      <c r="C29" s="193">
        <v>31.5</v>
      </c>
      <c r="D29" s="182">
        <f t="shared" si="2"/>
        <v>2823.9749999999995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95</v>
      </c>
      <c r="B30" s="181">
        <f>'Données projet'!D43</f>
        <v>272.32</v>
      </c>
      <c r="C30" s="193">
        <v>31.5</v>
      </c>
      <c r="D30" s="182">
        <f t="shared" si="2"/>
        <v>8578.08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105</v>
      </c>
      <c r="B31" s="181">
        <f>'Données projet'!D44</f>
        <v>361.46</v>
      </c>
      <c r="C31" s="193">
        <v>31.5</v>
      </c>
      <c r="D31" s="182">
        <f t="shared" si="2"/>
        <v>11385.99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22</v>
      </c>
      <c r="B54" s="181">
        <f>'Données projet'!D62</f>
        <v>52.620000000000005</v>
      </c>
      <c r="C54" s="191">
        <v>10.9375</v>
      </c>
      <c r="D54" s="179">
        <f>B54*C54</f>
        <v>575.53125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27</v>
      </c>
      <c r="B55" s="181">
        <f>'Données projet'!D63</f>
        <v>37.929999999999993</v>
      </c>
      <c r="C55" s="191">
        <v>10.9375</v>
      </c>
      <c r="D55" s="179">
        <f t="shared" ref="D55:D73" si="4">B55*C55</f>
        <v>414.85937499999994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33</v>
      </c>
      <c r="B56" s="181">
        <f>'Données projet'!D64</f>
        <v>50.460000000000008</v>
      </c>
      <c r="C56" s="191">
        <v>10.9375</v>
      </c>
      <c r="D56" s="179">
        <f t="shared" si="4"/>
        <v>551.90625000000011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41</v>
      </c>
      <c r="B57" s="181">
        <f>'Données projet'!D65</f>
        <v>72.16</v>
      </c>
      <c r="C57" s="191">
        <v>24</v>
      </c>
      <c r="D57" s="179">
        <f t="shared" si="4"/>
        <v>1731.84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50</v>
      </c>
      <c r="B58" s="181">
        <f>'Données projet'!D66</f>
        <v>70.20999999999998</v>
      </c>
      <c r="C58" s="191">
        <v>24</v>
      </c>
      <c r="D58" s="179">
        <f t="shared" si="4"/>
        <v>1685.0399999999995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60</v>
      </c>
      <c r="B59" s="181">
        <f>'Données projet'!D67</f>
        <v>69.839999999999975</v>
      </c>
      <c r="C59" s="191">
        <v>24</v>
      </c>
      <c r="D59" s="179">
        <f t="shared" si="4"/>
        <v>1676.1599999999994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70</v>
      </c>
      <c r="B60" s="181">
        <f>'Données projet'!D68</f>
        <v>67.88</v>
      </c>
      <c r="C60" s="191">
        <v>24</v>
      </c>
      <c r="D60" s="179">
        <f t="shared" si="4"/>
        <v>1629.12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80</v>
      </c>
      <c r="B61" s="181">
        <f>'Données projet'!D69</f>
        <v>520.03</v>
      </c>
      <c r="C61" s="191">
        <v>31.5</v>
      </c>
      <c r="D61" s="179">
        <f t="shared" si="4"/>
        <v>16380.945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34</v>
      </c>
      <c r="B85" s="181">
        <f>'Données projet'!D88</f>
        <v>94.509999999999991</v>
      </c>
      <c r="C85" s="191">
        <v>10.9375</v>
      </c>
      <c r="D85" s="179">
        <f>B85*C85</f>
        <v>1033.703125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43</v>
      </c>
      <c r="B86" s="181">
        <f>'Données projet'!D89</f>
        <v>72.429999999999978</v>
      </c>
      <c r="C86" s="191">
        <v>10.9375</v>
      </c>
      <c r="D86" s="179">
        <f t="shared" ref="D86:D104" si="6">B86*C86</f>
        <v>792.20312499999977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52</v>
      </c>
      <c r="B87" s="181">
        <f>'Données projet'!D90</f>
        <v>61.259999999999991</v>
      </c>
      <c r="C87" s="191">
        <v>41.5</v>
      </c>
      <c r="D87" s="179">
        <f t="shared" si="6"/>
        <v>2542.2899999999995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62</v>
      </c>
      <c r="B88" s="181">
        <f>'Données projet'!D91</f>
        <v>66.019999999999982</v>
      </c>
      <c r="C88" s="191">
        <v>41.5</v>
      </c>
      <c r="D88" s="179">
        <f t="shared" si="6"/>
        <v>2739.829999999999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72</v>
      </c>
      <c r="B89" s="181">
        <f>'Données projet'!D92</f>
        <v>64.210000000000036</v>
      </c>
      <c r="C89" s="191">
        <v>41.5</v>
      </c>
      <c r="D89" s="179">
        <f t="shared" si="6"/>
        <v>2664.7150000000015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70.220000000000027</v>
      </c>
      <c r="C90" s="191">
        <v>41.5</v>
      </c>
      <c r="D90" s="179">
        <f t="shared" si="6"/>
        <v>2914.130000000001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96</v>
      </c>
      <c r="B91" s="181">
        <f>'Données projet'!D94</f>
        <v>74.37</v>
      </c>
      <c r="C91" s="191">
        <v>41.5</v>
      </c>
      <c r="D91" s="179">
        <f t="shared" si="6"/>
        <v>3086.355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108</v>
      </c>
      <c r="B92" s="181">
        <f>'Données projet'!D95</f>
        <v>65.25</v>
      </c>
      <c r="C92" s="191">
        <v>48.5</v>
      </c>
      <c r="D92" s="179">
        <f t="shared" si="6"/>
        <v>3164.625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120</v>
      </c>
      <c r="B93" s="181">
        <f>'Données projet'!D96</f>
        <v>489.81</v>
      </c>
      <c r="C93" s="191">
        <v>48.5</v>
      </c>
      <c r="D93" s="179">
        <f t="shared" si="6"/>
        <v>23755.785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2AB53F-EB9B-4A0D-88F7-35CCD184D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05DCA-6742-4355-9597-9D6EAA81C88C}">
  <ds:schemaRefs>
    <ds:schemaRef ds:uri="http://purl.org/dc/elements/1.1/"/>
    <ds:schemaRef ds:uri="http://purl.org/dc/dcmitype/"/>
    <ds:schemaRef ds:uri="http://purl.org/dc/terms/"/>
    <ds:schemaRef ds:uri="0b31a522-a3bf-48c4-bec5-a17f159ba48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2382d34-9bb8-44b7-b653-fe70b92f32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2024-01-12T17:10:08Z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