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0" i="1" l="1"/>
  <c r="B179" i="1"/>
  <c r="D178" i="1"/>
  <c r="B178" i="1"/>
  <c r="B177" i="1"/>
  <c r="D176" i="1"/>
  <c r="B176" i="1"/>
  <c r="B175" i="1"/>
  <c r="D174" i="1"/>
  <c r="B174" i="1"/>
  <c r="B173" i="1"/>
  <c r="B172" i="1"/>
  <c r="B171" i="1"/>
  <c r="B170" i="1"/>
  <c r="B169" i="1"/>
  <c r="D168" i="1"/>
  <c r="B168" i="1"/>
  <c r="B167" i="1"/>
  <c r="B152" i="1"/>
  <c r="D151" i="1"/>
  <c r="B151" i="1"/>
  <c r="D149" i="1"/>
  <c r="B150" i="1"/>
  <c r="B149" i="1"/>
  <c r="B148" i="1"/>
  <c r="D147" i="1"/>
  <c r="B147" i="1"/>
  <c r="B146" i="1"/>
  <c r="B145" i="1"/>
  <c r="B144" i="1"/>
  <c r="B143" i="1"/>
  <c r="B142" i="1"/>
  <c r="B141" i="1"/>
  <c r="B89" i="1" l="1"/>
  <c r="B96" i="1" l="1"/>
  <c r="D95" i="1"/>
  <c r="B95" i="1"/>
  <c r="D96" i="1"/>
  <c r="D94" i="1"/>
  <c r="B94" i="1"/>
  <c r="D93" i="1"/>
  <c r="B93" i="1"/>
  <c r="D92" i="1"/>
  <c r="B92" i="1"/>
  <c r="D91" i="1"/>
  <c r="B91" i="1"/>
  <c r="D89" i="1"/>
  <c r="D90" i="1"/>
  <c r="B90" i="1"/>
  <c r="B88" i="1"/>
  <c r="D172" i="1" l="1"/>
  <c r="D170" i="1"/>
  <c r="B166" i="1"/>
  <c r="D145" i="1"/>
  <c r="D143" i="1"/>
  <c r="D141" i="1"/>
  <c r="B121" i="1"/>
  <c r="B120" i="1"/>
  <c r="B119" i="1"/>
  <c r="B118" i="1"/>
  <c r="B117" i="1"/>
  <c r="B116" i="1"/>
  <c r="B115" i="1"/>
  <c r="B114" i="1"/>
  <c r="D69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FS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HG85" i="2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HI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FS130" i="2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HH144" i="2"/>
  <c r="HG144" i="2"/>
  <c r="EB144" i="2"/>
  <c r="FR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EV150" i="2"/>
  <c r="FS150" i="2"/>
  <c r="HH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HH155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AB156" i="2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G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DG160" i="2"/>
  <c r="EY159" i="2"/>
  <c r="ED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FS161" i="2"/>
  <c r="ED160" i="2"/>
  <c r="HH161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C162" i="2"/>
  <c r="DI161" i="2"/>
  <c r="EW162" i="2"/>
  <c r="EB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G163" i="2"/>
  <c r="EB163" i="2"/>
  <c r="HI163" i="2"/>
  <c r="HH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V164" i="2" l="1"/>
  <c r="EX164" i="2"/>
  <c r="FS164" i="2"/>
  <c r="ED163" i="2"/>
  <c r="DH164" i="2"/>
  <c r="DI163" i="2"/>
  <c r="HG164" i="2"/>
  <c r="EA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HH167" i="2"/>
  <c r="HI167" i="2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FS175" i="2"/>
  <c r="HI175" i="2"/>
  <c r="EB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FS178" i="2"/>
  <c r="EA178" i="2"/>
  <c r="EB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HI179" i="2"/>
  <c r="EB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HG185" i="2"/>
  <c r="EB185" i="2"/>
  <c r="EA185" i="2"/>
  <c r="EV185" i="2"/>
  <c r="EW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D185" i="2"/>
  <c r="FR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HH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G190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C192" i="2"/>
  <c r="EB192" i="2"/>
  <c r="EW192" i="2"/>
  <c r="HG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DI192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HG194" i="2"/>
  <c r="FQ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HG195" i="2"/>
  <c r="EX195" i="2"/>
  <c r="HI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W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G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HG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EX202" i="2"/>
  <c r="ED201" i="2"/>
  <c r="HH202" i="2"/>
  <c r="FZ6" i="2"/>
  <c r="HG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4" i="2" a="1"/>
  <c r="BC84" i="2" s="1"/>
  <c r="BC7" i="2" a="1"/>
  <c r="BC7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5" i="2" a="1"/>
  <c r="DN65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103" i="2" l="1" a="1"/>
  <c r="DN103" i="2" s="1"/>
  <c r="DN168" i="2" a="1"/>
  <c r="DN168" i="2" s="1"/>
  <c r="DN49" i="2" a="1"/>
  <c r="DN49" i="2" s="1"/>
  <c r="DN66" i="2" a="1"/>
  <c r="DN66" i="2" s="1"/>
  <c r="DN50" i="2" a="1"/>
  <c r="DN50" i="2" s="1"/>
  <c r="DN186" i="2" a="1"/>
  <c r="DN186" i="2" s="1"/>
  <c r="CS105" i="2" a="1"/>
  <c r="CS105" i="2" s="1"/>
  <c r="CS137" i="2" a="1"/>
  <c r="CS137" i="2" s="1"/>
  <c r="CS114" i="2" a="1"/>
  <c r="CS114" i="2" s="1"/>
  <c r="CS116" i="2" a="1"/>
  <c r="CS116" i="2" s="1"/>
  <c r="CS56" i="2" a="1"/>
  <c r="CS56" i="2" s="1"/>
  <c r="CS72" i="2" a="1"/>
  <c r="CS72" i="2" s="1"/>
  <c r="CS120" i="2" a="1"/>
  <c r="CS120" i="2" s="1"/>
  <c r="CS134" i="2" a="1"/>
  <c r="CS134" i="2" s="1"/>
  <c r="CS129" i="2" a="1"/>
  <c r="CS129" i="2" s="1"/>
  <c r="CS161" i="2" a="1"/>
  <c r="CS161" i="2" s="1"/>
  <c r="CS38" i="2" a="1"/>
  <c r="CS38" i="2" s="1"/>
  <c r="CS77" i="2" a="1"/>
  <c r="CS77" i="2" s="1"/>
  <c r="CS52" i="2" a="1"/>
  <c r="CS52" i="2" s="1"/>
  <c r="CS66" i="2" a="1"/>
  <c r="CS66" i="2" s="1"/>
  <c r="CS185" i="2" a="1"/>
  <c r="CS185" i="2" s="1"/>
  <c r="BX107" i="2" a="1"/>
  <c r="BX107" i="2" s="1"/>
  <c r="BC38" i="2" a="1"/>
  <c r="BC38" i="2" s="1"/>
  <c r="BC32" i="2" a="1"/>
  <c r="BC32" i="2" s="1"/>
  <c r="BC65" i="2" a="1"/>
  <c r="BC65" i="2" s="1"/>
  <c r="BC83" i="2" a="1"/>
  <c r="BC83" i="2" s="1"/>
  <c r="BC164" i="2" a="1"/>
  <c r="BC164" i="2" s="1"/>
  <c r="BC114" i="2" a="1"/>
  <c r="BC114" i="2" s="1"/>
  <c r="BC151" i="2" a="1"/>
  <c r="BC151" i="2" s="1"/>
  <c r="BC192" i="2" a="1"/>
  <c r="BC192" i="2" s="1"/>
  <c r="BC126" i="2" a="1"/>
  <c r="BC126" i="2" s="1"/>
  <c r="BC185" i="2" a="1"/>
  <c r="BC185" i="2" s="1"/>
  <c r="BC130" i="2" a="1"/>
  <c r="BC130" i="2" s="1"/>
  <c r="BC47" i="2" a="1"/>
  <c r="BC47" i="2" s="1"/>
  <c r="BC143" i="2" a="1"/>
  <c r="BC143" i="2" s="1"/>
  <c r="BC68" i="2" a="1"/>
  <c r="BC68" i="2" s="1"/>
  <c r="BC31" i="2" a="1"/>
  <c r="BC31" i="2" s="1"/>
  <c r="BC117" i="2" a="1"/>
  <c r="BC117" i="2" s="1"/>
  <c r="BC58" i="2" a="1"/>
  <c r="BC58" i="2" s="1"/>
  <c r="FS203" i="2"/>
  <c r="DN164" i="2" a="1"/>
  <c r="DN164" i="2" s="1"/>
  <c r="DN63" i="2" a="1"/>
  <c r="DN63" i="2" s="1"/>
  <c r="DN188" i="2" a="1"/>
  <c r="DN188" i="2" s="1"/>
  <c r="DN113" i="2" a="1"/>
  <c r="DN113" i="2" s="1"/>
  <c r="DN137" i="2" a="1"/>
  <c r="DN137" i="2" s="1"/>
  <c r="DN55" i="2" a="1"/>
  <c r="DN55" i="2" s="1"/>
  <c r="DN135" i="2" a="1"/>
  <c r="DN135" i="2" s="1"/>
  <c r="DN86" i="2" a="1"/>
  <c r="DN86" i="2" s="1"/>
  <c r="DN25" i="2" a="1"/>
  <c r="DN25" i="2" s="1"/>
  <c r="DN70" i="2" a="1"/>
  <c r="DN70" i="2" s="1"/>
  <c r="DN187" i="2" a="1"/>
  <c r="DN187" i="2" s="1"/>
  <c r="DN110" i="2" a="1"/>
  <c r="DN110" i="2" s="1"/>
  <c r="DN38" i="2" a="1"/>
  <c r="DN38" i="2" s="1"/>
  <c r="DN123" i="2" a="1"/>
  <c r="DN123" i="2" s="1"/>
  <c r="DN177" i="2" a="1"/>
  <c r="DN177" i="2" s="1"/>
  <c r="DN184" i="2" a="1"/>
  <c r="DN184" i="2" s="1"/>
  <c r="DN30" i="2" a="1"/>
  <c r="DN30" i="2" s="1"/>
  <c r="DN46" i="2" a="1"/>
  <c r="DN46" i="2" s="1"/>
  <c r="DN31" i="2" a="1"/>
  <c r="DN31" i="2" s="1"/>
  <c r="DN115" i="2" a="1"/>
  <c r="DN115" i="2" s="1"/>
  <c r="DN152" i="2" a="1"/>
  <c r="DN152" i="2" s="1"/>
  <c r="DN124" i="2" a="1"/>
  <c r="DN124" i="2" s="1"/>
  <c r="HH203" i="2"/>
  <c r="DN132" i="2" a="1"/>
  <c r="DN132" i="2" s="1"/>
  <c r="DN176" i="2" a="1"/>
  <c r="DN176" i="2" s="1"/>
  <c r="DN167" i="2" a="1"/>
  <c r="DN167" i="2" s="1"/>
  <c r="DN153" i="2" a="1"/>
  <c r="DN153" i="2" s="1"/>
  <c r="DN29" i="2" a="1"/>
  <c r="DN29" i="2" s="1"/>
  <c r="DN45" i="2" a="1"/>
  <c r="DN45" i="2" s="1"/>
  <c r="DN190" i="2" a="1"/>
  <c r="DN190" i="2" s="1"/>
  <c r="DN16" i="2" a="1"/>
  <c r="DN16" i="2" s="1"/>
  <c r="DN80" i="2" a="1"/>
  <c r="DN80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33" i="2" a="1"/>
  <c r="DN133" i="2" s="1"/>
  <c r="DN162" i="2" a="1"/>
  <c r="DN162" i="2" s="1"/>
  <c r="DN114" i="2" a="1"/>
  <c r="DN114" i="2" s="1"/>
  <c r="DN192" i="2" a="1"/>
  <c r="DN192" i="2" s="1"/>
  <c r="DN129" i="2" a="1"/>
  <c r="DN129" i="2" s="1"/>
  <c r="DN43" i="2" a="1"/>
  <c r="DN43" i="2" s="1"/>
  <c r="FR203" i="2"/>
  <c r="HG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<sst xmlns="http://schemas.openxmlformats.org/spreadsheetml/2006/main" count="1175" uniqueCount="324">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</sst>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1.9374736202857081</c:v>
                </c:pt>
                <c:pt idx="2">
                  <c:v>2.58294091409301</c:v>
                </c:pt>
                <c:pt idx="3">
                  <c:v>3.4443429081600083</c:v>
                </c:pt>
                <c:pt idx="4">
                  <c:v>4.5942016534201651</c:v>
                </c:pt>
                <c:pt idx="5">
                  <c:v>6.1294848255819865</c:v>
                </c:pt>
                <c:pt idx="6">
                  <c:v>8.1798736556407885</c:v>
                </c:pt>
                <c:pt idx="7">
                  <c:v>10.918835894226286</c:v>
                </c:pt>
                <c:pt idx="8">
                  <c:v>14.578458160552538</c:v>
                </c:pt>
                <c:pt idx="9">
                  <c:v>19.469317558556188</c:v>
                </c:pt>
                <c:pt idx="10">
                  <c:v>26.007109272393226</c:v>
                </c:pt>
                <c:pt idx="11">
                  <c:v>34.748333112440179</c:v>
                </c:pt>
                <c:pt idx="12">
                  <c:v>46.438128891600911</c:v>
                </c:pt>
                <c:pt idx="13">
                  <c:v>62.074406879172699</c:v>
                </c:pt>
                <c:pt idx="14">
                  <c:v>82.99383785343781</c:v>
                </c:pt>
                <c:pt idx="15">
                  <c:v>110.98717167425009</c:v>
                </c:pt>
                <c:pt idx="16">
                  <c:v>148.45391075098391</c:v>
                </c:pt>
                <c:pt idx="17">
                  <c:v>198.60979963049166</c:v>
                </c:pt>
                <c:pt idx="18">
                  <c:v>265.76520570407024</c:v>
                </c:pt>
                <c:pt idx="19">
                  <c:v>219.24762025736223</c:v>
                </c:pt>
                <c:pt idx="20">
                  <c:v>248.54511902776062</c:v>
                </c:pt>
                <c:pt idx="21">
                  <c:v>277.76422078501901</c:v>
                </c:pt>
                <c:pt idx="22">
                  <c:v>306.91432866930882</c:v>
                </c:pt>
                <c:pt idx="23">
                  <c:v>336.00291230780459</c:v>
                </c:pt>
                <c:pt idx="24">
                  <c:v>365.03604206029331</c:v>
                </c:pt>
                <c:pt idx="25">
                  <c:v>317.48065154237497</c:v>
                </c:pt>
                <c:pt idx="26">
                  <c:v>348.73627254210874</c:v>
                </c:pt>
                <c:pt idx="27">
                  <c:v>379.9304323092822</c:v>
                </c:pt>
                <c:pt idx="28">
                  <c:v>411.0688806981766</c:v>
                </c:pt>
                <c:pt idx="29">
                  <c:v>442.15642578299884</c:v>
                </c:pt>
                <c:pt idx="30">
                  <c:v>473.19714485434088</c:v>
                </c:pt>
                <c:pt idx="31">
                  <c:v>411.26704694209349</c:v>
                </c:pt>
                <c:pt idx="32">
                  <c:v>443.14568568068768</c:v>
                </c:pt>
                <c:pt idx="33">
                  <c:v>474.97520523208203</c:v>
                </c:pt>
                <c:pt idx="34">
                  <c:v>506.75935520962508</c:v>
                </c:pt>
                <c:pt idx="35">
                  <c:v>538.50137700385426</c:v>
                </c:pt>
                <c:pt idx="36">
                  <c:v>570.20409916416395</c:v>
                </c:pt>
                <c:pt idx="37">
                  <c:v>492.55071548251203</c:v>
                </c:pt>
                <c:pt idx="38">
                  <c:v>523.71977369153274</c:v>
                </c:pt>
                <c:pt idx="39">
                  <c:v>554.84975986976099</c:v>
                </c:pt>
                <c:pt idx="40">
                  <c:v>585.94317102430398</c:v>
                </c:pt>
                <c:pt idx="41">
                  <c:v>617.00221789220029</c:v>
                </c:pt>
                <c:pt idx="42">
                  <c:v>648.02887080282335</c:v>
                </c:pt>
                <c:pt idx="43">
                  <c:v>573.94294063008499</c:v>
                </c:pt>
                <c:pt idx="44">
                  <c:v>603.63911401199607</c:v>
                </c:pt>
                <c:pt idx="45">
                  <c:v>633.3049517266378</c:v>
                </c:pt>
                <c:pt idx="46">
                  <c:v>662.94207243619564</c:v>
                </c:pt>
                <c:pt idx="47">
                  <c:v>692.55193848724912</c:v>
                </c:pt>
                <c:pt idx="48">
                  <c:v>722.13587717529879</c:v>
                </c:pt>
                <c:pt idx="49">
                  <c:v>629.770164448576</c:v>
                </c:pt>
                <c:pt idx="50">
                  <c:v>657.44854745472765</c:v>
                </c:pt>
                <c:pt idx="51">
                  <c:v>685.10294040682004</c:v>
                </c:pt>
                <c:pt idx="52">
                  <c:v>712.73444645342158</c:v>
                </c:pt>
                <c:pt idx="53">
                  <c:v>740.34407636016385</c:v>
                </c:pt>
                <c:pt idx="54">
                  <c:v>767.93275947074017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725392"/>
        <c:axId val="666518480"/>
      </c:scatterChart>
      <c:valAx>
        <c:axId val="824725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6518480"/>
        <c:crosses val="autoZero"/>
        <c:crossBetween val="midCat"/>
      </c:valAx>
      <c:valAx>
        <c:axId val="66651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4725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5552"/>
        <c:axId val="1032026096"/>
      </c:scatterChart>
      <c:valAx>
        <c:axId val="1032025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6096"/>
        <c:crosses val="autoZero"/>
        <c:crossBetween val="midCat"/>
      </c:valAx>
      <c:valAx>
        <c:axId val="103202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3920"/>
        <c:axId val="1032024464"/>
      </c:scatterChart>
      <c:valAx>
        <c:axId val="1032023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4464"/>
        <c:crosses val="autoZero"/>
        <c:crossBetween val="midCat"/>
      </c:valAx>
      <c:valAx>
        <c:axId val="103202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3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1.4414793496856533</c:v>
                </c:pt>
                <c:pt idx="2">
                  <c:v>1.6957472082081553</c:v>
                </c:pt>
                <c:pt idx="3">
                  <c:v>1.9950357923280386</c:v>
                </c:pt>
                <c:pt idx="4">
                  <c:v>2.347344939891443</c:v>
                </c:pt>
                <c:pt idx="5">
                  <c:v>2.7621007590314162</c:v>
                </c:pt>
                <c:pt idx="6">
                  <c:v>3.2504107076792792</c:v>
                </c:pt>
                <c:pt idx="7">
                  <c:v>3.825364424271148</c:v>
                </c:pt>
                <c:pt idx="8">
                  <c:v>4.5023885374392192</c:v>
                </c:pt>
                <c:pt idx="9">
                  <c:v>5.2996651657492606</c:v>
                </c:pt>
                <c:pt idx="10">
                  <c:v>6.2386255698093906</c:v>
                </c:pt>
                <c:pt idx="11">
                  <c:v>7.3445324868481237</c:v>
                </c:pt>
                <c:pt idx="12">
                  <c:v>8.6471671194582758</c:v>
                </c:pt>
                <c:pt idx="13">
                  <c:v>10.181639633343407</c:v>
                </c:pt>
                <c:pt idx="14">
                  <c:v>11.989345423586537</c:v>
                </c:pt>
                <c:pt idx="15">
                  <c:v>14.119093429711674</c:v>
                </c:pt>
                <c:pt idx="16">
                  <c:v>16.628437528309927</c:v>
                </c:pt>
                <c:pt idx="17">
                  <c:v>19.585247640219709</c:v>
                </c:pt>
                <c:pt idx="18">
                  <c:v>23.06956381311781</c:v>
                </c:pt>
                <c:pt idx="19">
                  <c:v>27.175784364159011</c:v>
                </c:pt>
                <c:pt idx="20">
                  <c:v>32.01524840874319</c:v>
                </c:pt>
                <c:pt idx="21">
                  <c:v>37.719284017914553</c:v>
                </c:pt>
                <c:pt idx="22">
                  <c:v>44.442806142411648</c:v>
                </c:pt>
                <c:pt idx="23">
                  <c:v>52.36856367539125</c:v>
                </c:pt>
                <c:pt idx="24">
                  <c:v>61.712153023110119</c:v>
                </c:pt>
                <c:pt idx="25">
                  <c:v>72.727936815402572</c:v>
                </c:pt>
                <c:pt idx="26">
                  <c:v>85.716031509021889</c:v>
                </c:pt>
                <c:pt idx="27">
                  <c:v>101.03055731818506</c:v>
                </c:pt>
                <c:pt idx="28">
                  <c:v>119.08937897700982</c:v>
                </c:pt>
                <c:pt idx="29">
                  <c:v>140.38560727791869</c:v>
                </c:pt>
                <c:pt idx="30">
                  <c:v>165.50118029691697</c:v>
                </c:pt>
                <c:pt idx="31">
                  <c:v>180.41301367579672</c:v>
                </c:pt>
                <c:pt idx="32">
                  <c:v>195.29598805327001</c:v>
                </c:pt>
                <c:pt idx="33">
                  <c:v>210.1526132781556</c:v>
                </c:pt>
                <c:pt idx="34">
                  <c:v>224.98501498915437</c:v>
                </c:pt>
                <c:pt idx="35">
                  <c:v>239.79501543626409</c:v>
                </c:pt>
                <c:pt idx="36">
                  <c:v>254.5841932521862</c:v>
                </c:pt>
                <c:pt idx="37">
                  <c:v>269.35392858613005</c:v>
                </c:pt>
                <c:pt idx="38">
                  <c:v>284.10543780737447</c:v>
                </c:pt>
                <c:pt idx="39">
                  <c:v>298.83980061653057</c:v>
                </c:pt>
                <c:pt idx="40">
                  <c:v>313.55798152562414</c:v>
                </c:pt>
                <c:pt idx="41">
                  <c:v>328.26084709143441</c:v>
                </c:pt>
                <c:pt idx="42">
                  <c:v>342.94917989816844</c:v>
                </c:pt>
                <c:pt idx="43">
                  <c:v>252.71994626026705</c:v>
                </c:pt>
                <c:pt idx="44">
                  <c:v>267.79257121881386</c:v>
                </c:pt>
                <c:pt idx="45">
                  <c:v>282.84609321014739</c:v>
                </c:pt>
                <c:pt idx="46">
                  <c:v>297.8816721514774</c:v>
                </c:pt>
                <c:pt idx="47">
                  <c:v>312.90034127889948</c:v>
                </c:pt>
                <c:pt idx="48">
                  <c:v>327.90302652784453</c:v>
                </c:pt>
                <c:pt idx="49">
                  <c:v>342.8905621791684</c:v>
                </c:pt>
                <c:pt idx="50">
                  <c:v>357.86370362552151</c:v>
                </c:pt>
                <c:pt idx="51">
                  <c:v>271.331419939694</c:v>
                </c:pt>
                <c:pt idx="52">
                  <c:v>285.64350217632511</c:v>
                </c:pt>
                <c:pt idx="53">
                  <c:v>299.9395397533815</c:v>
                </c:pt>
                <c:pt idx="54">
                  <c:v>314.22040519191506</c:v>
                </c:pt>
                <c:pt idx="55">
                  <c:v>328.48688521232657</c:v>
                </c:pt>
                <c:pt idx="56">
                  <c:v>342.73969261037996</c:v>
                </c:pt>
                <c:pt idx="57">
                  <c:v>356.9794760536858</c:v>
                </c:pt>
                <c:pt idx="58">
                  <c:v>371.20682823289286</c:v>
                </c:pt>
                <c:pt idx="59">
                  <c:v>304.63146188182719</c:v>
                </c:pt>
                <c:pt idx="60">
                  <c:v>318.37525477311129</c:v>
                </c:pt>
                <c:pt idx="61">
                  <c:v>332.10591479235921</c:v>
                </c:pt>
                <c:pt idx="62">
                  <c:v>345.82406144357361</c:v>
                </c:pt>
                <c:pt idx="63">
                  <c:v>359.53026106340167</c:v>
                </c:pt>
                <c:pt idx="64">
                  <c:v>373.22503327978126</c:v>
                </c:pt>
                <c:pt idx="65">
                  <c:v>386.90885647290821</c:v>
                </c:pt>
                <c:pt idx="66">
                  <c:v>400.58217242318614</c:v>
                </c:pt>
                <c:pt idx="67">
                  <c:v>334.57943775385917</c:v>
                </c:pt>
                <c:pt idx="68">
                  <c:v>347.60031495364615</c:v>
                </c:pt>
                <c:pt idx="69">
                  <c:v>360.61048905039706</c:v>
                </c:pt>
                <c:pt idx="70">
                  <c:v>373.61040064115826</c:v>
                </c:pt>
                <c:pt idx="71">
                  <c:v>386.60045715553889</c:v>
                </c:pt>
                <c:pt idx="72">
                  <c:v>399.58103640661653</c:v>
                </c:pt>
                <c:pt idx="73">
                  <c:v>412.55248965628857</c:v>
                </c:pt>
                <c:pt idx="74">
                  <c:v>425.51514427495448</c:v>
                </c:pt>
                <c:pt idx="75">
                  <c:v>438.46930606018987</c:v>
                </c:pt>
                <c:pt idx="76">
                  <c:v>372.70132047572798</c:v>
                </c:pt>
                <c:pt idx="77">
                  <c:v>384.926743775896</c:v>
                </c:pt>
                <c:pt idx="78">
                  <c:v>397.143732411987</c:v>
                </c:pt>
                <c:pt idx="79">
                  <c:v>409.35258244760752</c:v>
                </c:pt>
                <c:pt idx="80">
                  <c:v>421.55357084347253</c:v>
                </c:pt>
                <c:pt idx="81">
                  <c:v>433.74695721891857</c:v>
                </c:pt>
                <c:pt idx="82">
                  <c:v>445.93298540499995</c:v>
                </c:pt>
                <c:pt idx="83">
                  <c:v>458.11188481896869</c:v>
                </c:pt>
                <c:pt idx="84">
                  <c:v>390.08859442874797</c:v>
                </c:pt>
                <c:pt idx="85">
                  <c:v>401.37512564200097</c:v>
                </c:pt>
                <c:pt idx="86">
                  <c:v>412.65479104239353</c:v>
                </c:pt>
                <c:pt idx="87">
                  <c:v>423.92780479021593</c:v>
                </c:pt>
                <c:pt idx="88">
                  <c:v>435.19436872474472</c:v>
                </c:pt>
                <c:pt idx="89">
                  <c:v>446.45467338051299</c:v>
                </c:pt>
                <c:pt idx="90">
                  <c:v>457.70889889570049</c:v>
                </c:pt>
                <c:pt idx="91">
                  <c:v>468.9572158265226</c:v>
                </c:pt>
                <c:pt idx="92">
                  <c:v>247.05717652444977</c:v>
                </c:pt>
                <c:pt idx="93">
                  <c:v>254.68402378773976</c:v>
                </c:pt>
                <c:pt idx="94">
                  <c:v>262.3057017711302</c:v>
                </c:pt>
                <c:pt idx="95">
                  <c:v>269.9223820366671</c:v>
                </c:pt>
                <c:pt idx="96">
                  <c:v>277.53422566245848</c:v>
                </c:pt>
                <c:pt idx="97">
                  <c:v>285.14138415968512</c:v>
                </c:pt>
                <c:pt idx="98">
                  <c:v>292.74400028654605</c:v>
                </c:pt>
                <c:pt idx="99">
                  <c:v>300.34220877315209</c:v>
                </c:pt>
                <c:pt idx="100">
                  <c:v>307.93613696916913</c:v>
                </c:pt>
                <c:pt idx="101">
                  <c:v>315.52590542418278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7728"/>
        <c:axId val="1032023376"/>
      </c:scatterChart>
      <c:valAx>
        <c:axId val="103202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3376"/>
        <c:crosses val="autoZero"/>
        <c:crossBetween val="midCat"/>
      </c:valAx>
      <c:valAx>
        <c:axId val="103202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1.8038883390683471</c:v>
                </c:pt>
                <c:pt idx="2">
                  <c:v>2.1897729047023593</c:v>
                </c:pt>
                <c:pt idx="3">
                  <c:v>2.6585227899015504</c:v>
                </c:pt>
                <c:pt idx="4">
                  <c:v>3.2279971105254481</c:v>
                </c:pt>
                <c:pt idx="5">
                  <c:v>3.919917031470415</c:v>
                </c:pt>
                <c:pt idx="6">
                  <c:v>4.7607035707095422</c:v>
                </c:pt>
                <c:pt idx="7">
                  <c:v>5.7824976793244902</c:v>
                </c:pt>
                <c:pt idx="8">
                  <c:v>7.0244023602037151</c:v>
                </c:pt>
                <c:pt idx="9">
                  <c:v>8.5339952832965214</c:v>
                </c:pt>
                <c:pt idx="10">
                  <c:v>10.369170956195171</c:v>
                </c:pt>
                <c:pt idx="11">
                  <c:v>12.600384433857405</c:v>
                </c:pt>
                <c:pt idx="12">
                  <c:v>15.313384311036627</c:v>
                </c:pt>
                <c:pt idx="13">
                  <c:v>18.612541958368652</c:v>
                </c:pt>
                <c:pt idx="14">
                  <c:v>22.624907398105716</c:v>
                </c:pt>
                <c:pt idx="15">
                  <c:v>27.505150795572561</c:v>
                </c:pt>
                <c:pt idx="16">
                  <c:v>33.441583399188175</c:v>
                </c:pt>
                <c:pt idx="17">
                  <c:v>40.663494276299794</c:v>
                </c:pt>
                <c:pt idx="18">
                  <c:v>49.450091049385911</c:v>
                </c:pt>
                <c:pt idx="19">
                  <c:v>60.141396094149911</c:v>
                </c:pt>
                <c:pt idx="20">
                  <c:v>73.151526827873639</c:v>
                </c:pt>
                <c:pt idx="21">
                  <c:v>88.98488285695737</c:v>
                </c:pt>
                <c:pt idx="22">
                  <c:v>108.25587760652974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2288"/>
        <c:axId val="1032020112"/>
      </c:scatterChart>
      <c:valAx>
        <c:axId val="1032022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0112"/>
        <c:crosses val="autoZero"/>
        <c:crossBetween val="midCat"/>
      </c:valAx>
      <c:valAx>
        <c:axId val="103202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61.195253174133917</c:v>
                </c:pt>
                <c:pt idx="12">
                  <c:v>86.922427376470623</c:v>
                </c:pt>
                <c:pt idx="13">
                  <c:v>112.45603690749546</c:v>
                </c:pt>
                <c:pt idx="14">
                  <c:v>137.8467078186861</c:v>
                </c:pt>
                <c:pt idx="15">
                  <c:v>163.12461384238844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245.30376954734746</c:v>
                </c:pt>
                <c:pt idx="22">
                  <c:v>274.02403543134278</c:v>
                </c:pt>
                <c:pt idx="23">
                  <c:v>302.67664308599802</c:v>
                </c:pt>
                <c:pt idx="24">
                  <c:v>331.26889354954568</c:v>
                </c:pt>
                <c:pt idx="25">
                  <c:v>359.80672426785873</c:v>
                </c:pt>
                <c:pt idx="26">
                  <c:v>244.61905816157218</c:v>
                </c:pt>
                <c:pt idx="27">
                  <c:v>272.65800236133902</c:v>
                </c:pt>
                <c:pt idx="28">
                  <c:v>300.63210759978892</c:v>
                </c:pt>
                <c:pt idx="29">
                  <c:v>328.5482515646346</c:v>
                </c:pt>
                <c:pt idx="30">
                  <c:v>356.41204743833879</c:v>
                </c:pt>
                <c:pt idx="31">
                  <c:v>382.1943614849327</c:v>
                </c:pt>
                <c:pt idx="32">
                  <c:v>407.93887014257706</c:v>
                </c:pt>
                <c:pt idx="33">
                  <c:v>433.64829237195022</c:v>
                </c:pt>
                <c:pt idx="34">
                  <c:v>459.32499866302379</c:v>
                </c:pt>
                <c:pt idx="35">
                  <c:v>484.97107307524294</c:v>
                </c:pt>
                <c:pt idx="36">
                  <c:v>365.23675297080786</c:v>
                </c:pt>
                <c:pt idx="37">
                  <c:v>387.61730275601644</c:v>
                </c:pt>
                <c:pt idx="38">
                  <c:v>409.96980401857439</c:v>
                </c:pt>
                <c:pt idx="39">
                  <c:v>432.29599994035465</c:v>
                </c:pt>
                <c:pt idx="40">
                  <c:v>454.59743907080428</c:v>
                </c:pt>
                <c:pt idx="41">
                  <c:v>473.83891697393301</c:v>
                </c:pt>
                <c:pt idx="42">
                  <c:v>493.06377127797441</c:v>
                </c:pt>
                <c:pt idx="43">
                  <c:v>512.27274093187054</c:v>
                </c:pt>
                <c:pt idx="44">
                  <c:v>531.46650498484996</c:v>
                </c:pt>
                <c:pt idx="45">
                  <c:v>550.6456894738991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536.17850956190932</c:v>
                </c:pt>
                <c:pt idx="52">
                  <c:v>550.30933483971376</c:v>
                </c:pt>
                <c:pt idx="53">
                  <c:v>564.43255421132869</c:v>
                </c:pt>
                <c:pt idx="54">
                  <c:v>578.54838472721156</c:v>
                </c:pt>
                <c:pt idx="55">
                  <c:v>592.65703198720132</c:v>
                </c:pt>
                <c:pt idx="56">
                  <c:v>539.20719514390601</c:v>
                </c:pt>
                <c:pt idx="57">
                  <c:v>551.31838582083947</c:v>
                </c:pt>
                <c:pt idx="58">
                  <c:v>563.42400036942274</c:v>
                </c:pt>
                <c:pt idx="59">
                  <c:v>575.52417545438072</c:v>
                </c:pt>
                <c:pt idx="60">
                  <c:v>587.61904152662294</c:v>
                </c:pt>
                <c:pt idx="61">
                  <c:v>598.02990631597743</c:v>
                </c:pt>
                <c:pt idx="62">
                  <c:v>608.43700326446037</c:v>
                </c:pt>
                <c:pt idx="63">
                  <c:v>618.84040589332574</c:v>
                </c:pt>
                <c:pt idx="64">
                  <c:v>629.24018505078334</c:v>
                </c:pt>
                <c:pt idx="65">
                  <c:v>639.63640905269347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626.55671412219192</c:v>
                </c:pt>
                <c:pt idx="77">
                  <c:v>633.60032087397201</c:v>
                </c:pt>
                <c:pt idx="78">
                  <c:v>640.6423090396712</c:v>
                </c:pt>
                <c:pt idx="79">
                  <c:v>647.68269892098544</c:v>
                </c:pt>
                <c:pt idx="80">
                  <c:v>654.72151034223214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2832"/>
        <c:axId val="1032034256"/>
      </c:scatterChart>
      <c:valAx>
        <c:axId val="1032022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34256"/>
        <c:crosses val="autoZero"/>
        <c:crossBetween val="midCat"/>
      </c:valAx>
      <c:valAx>
        <c:axId val="103203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2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129.54680830169983</c:v>
                </c:pt>
                <c:pt idx="17">
                  <c:v>151.60152381964372</c:v>
                </c:pt>
                <c:pt idx="18">
                  <c:v>173.57971788519089</c:v>
                </c:pt>
                <c:pt idx="19">
                  <c:v>195.49245385292795</c:v>
                </c:pt>
                <c:pt idx="20">
                  <c:v>217.34810492356107</c:v>
                </c:pt>
                <c:pt idx="21">
                  <c:v>134.34850957742927</c:v>
                </c:pt>
                <c:pt idx="22">
                  <c:v>157.97933796889393</c:v>
                </c:pt>
                <c:pt idx="23">
                  <c:v>181.52619054784418</c:v>
                </c:pt>
                <c:pt idx="24">
                  <c:v>205.00150537285901</c:v>
                </c:pt>
                <c:pt idx="25">
                  <c:v>228.41463048777476</c:v>
                </c:pt>
                <c:pt idx="26">
                  <c:v>250.82687328804494</c:v>
                </c:pt>
                <c:pt idx="27">
                  <c:v>273.19371990423588</c:v>
                </c:pt>
                <c:pt idx="28">
                  <c:v>295.51940832091657</c:v>
                </c:pt>
                <c:pt idx="29">
                  <c:v>317.80748372626402</c:v>
                </c:pt>
                <c:pt idx="30">
                  <c:v>340.06095344521378</c:v>
                </c:pt>
                <c:pt idx="31">
                  <c:v>250.19618568369205</c:v>
                </c:pt>
                <c:pt idx="32">
                  <c:v>270.36084436950495</c:v>
                </c:pt>
                <c:pt idx="33">
                  <c:v>290.49166725088827</c:v>
                </c:pt>
                <c:pt idx="34">
                  <c:v>310.59132815273171</c:v>
                </c:pt>
                <c:pt idx="35">
                  <c:v>330.66212656242288</c:v>
                </c:pt>
                <c:pt idx="36">
                  <c:v>348.51500770260941</c:v>
                </c:pt>
                <c:pt idx="37">
                  <c:v>366.34782727581296</c:v>
                </c:pt>
                <c:pt idx="38">
                  <c:v>384.16169891713145</c:v>
                </c:pt>
                <c:pt idx="39">
                  <c:v>401.95762458122357</c:v>
                </c:pt>
                <c:pt idx="40">
                  <c:v>419.73651029301635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400.39727281265874</c:v>
                </c:pt>
                <c:pt idx="47">
                  <c:v>413.81205599750405</c:v>
                </c:pt>
                <c:pt idx="48">
                  <c:v>427.21746042467572</c:v>
                </c:pt>
                <c:pt idx="49">
                  <c:v>440.61382182647702</c:v>
                </c:pt>
                <c:pt idx="50">
                  <c:v>454.00145385629588</c:v>
                </c:pt>
                <c:pt idx="51">
                  <c:v>398.52467686288418</c:v>
                </c:pt>
                <c:pt idx="52">
                  <c:v>410.06935400448907</c:v>
                </c:pt>
                <c:pt idx="53">
                  <c:v>421.60701499489011</c:v>
                </c:pt>
                <c:pt idx="54">
                  <c:v>433.1378789253036</c:v>
                </c:pt>
                <c:pt idx="55">
                  <c:v>444.66215226871265</c:v>
                </c:pt>
                <c:pt idx="56">
                  <c:v>454.3126926644839</c:v>
                </c:pt>
                <c:pt idx="57">
                  <c:v>463.95885248418728</c:v>
                </c:pt>
                <c:pt idx="58">
                  <c:v>473.6007356675803</c:v>
                </c:pt>
                <c:pt idx="59">
                  <c:v>483.23844157610074</c:v>
                </c:pt>
                <c:pt idx="60">
                  <c:v>492.87206528378402</c:v>
                </c:pt>
                <c:pt idx="61">
                  <c:v>454.31269266448368</c:v>
                </c:pt>
                <c:pt idx="62">
                  <c:v>462.4033121825118</c:v>
                </c:pt>
                <c:pt idx="63">
                  <c:v>470.49091188062226</c:v>
                </c:pt>
                <c:pt idx="64">
                  <c:v>478.57555101045642</c:v>
                </c:pt>
                <c:pt idx="65">
                  <c:v>486.65728665769001</c:v>
                </c:pt>
                <c:pt idx="66">
                  <c:v>493.49345138740472</c:v>
                </c:pt>
                <c:pt idx="67">
                  <c:v>500.32760897792667</c:v>
                </c:pt>
                <c:pt idx="68">
                  <c:v>507.15979072537567</c:v>
                </c:pt>
                <c:pt idx="69">
                  <c:v>513.99002701350196</c:v>
                </c:pt>
                <c:pt idx="70">
                  <c:v>520.81834735232155</c:v>
                </c:pt>
                <c:pt idx="71">
                  <c:v>487.27883995922622</c:v>
                </c:pt>
                <c:pt idx="72">
                  <c:v>494.11482090374903</c:v>
                </c:pt>
                <c:pt idx="73">
                  <c:v>500.94879759294128</c:v>
                </c:pt>
                <c:pt idx="74">
                  <c:v>507.78080123832439</c:v>
                </c:pt>
                <c:pt idx="75">
                  <c:v>514.61086214265504</c:v>
                </c:pt>
                <c:pt idx="76">
                  <c:v>501.56996990242959</c:v>
                </c:pt>
                <c:pt idx="77">
                  <c:v>507.15979072537544</c:v>
                </c:pt>
                <c:pt idx="78">
                  <c:v>512.74830923215598</c:v>
                </c:pt>
                <c:pt idx="79">
                  <c:v>518.33554162748908</c:v>
                </c:pt>
                <c:pt idx="80">
                  <c:v>523.92150373805134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8272"/>
        <c:axId val="1032026640"/>
      </c:scatterChart>
      <c:valAx>
        <c:axId val="103202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6640"/>
        <c:crosses val="autoZero"/>
        <c:crossBetween val="midCat"/>
      </c:valAx>
      <c:valAx>
        <c:axId val="103202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7184"/>
        <c:axId val="1032019568"/>
      </c:scatterChart>
      <c:valAx>
        <c:axId val="1032027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19568"/>
        <c:crosses val="autoZero"/>
        <c:crossBetween val="midCat"/>
      </c:valAx>
      <c:valAx>
        <c:axId val="103201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7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8816"/>
        <c:axId val="1032029360"/>
      </c:scatterChart>
      <c:valAx>
        <c:axId val="103202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9360"/>
        <c:crosses val="autoZero"/>
        <c:crossBetween val="midCat"/>
      </c:valAx>
      <c:valAx>
        <c:axId val="103202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025008"/>
        <c:axId val="1032021744"/>
      </c:scatterChart>
      <c:valAx>
        <c:axId val="1032025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1744"/>
        <c:crosses val="autoZero"/>
        <c:crossBetween val="midCat"/>
      </c:valAx>
      <c:valAx>
        <c:axId val="103202174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02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39" zoomScaleNormal="100" workbookViewId="0">
      <selection activeCell="B145" sqref="B14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7.9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0.42</v>
      </c>
      <c r="D9" s="36">
        <f t="shared" ref="D9:D18" si="0">C9*$C$5</f>
        <v>3.3180000000000001</v>
      </c>
      <c r="E9" s="37">
        <v>54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27</v>
      </c>
      <c r="C10" s="35">
        <v>0.19</v>
      </c>
      <c r="D10" s="36">
        <f t="shared" si="0"/>
        <v>1.5010000000000001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0.13</v>
      </c>
      <c r="D11" s="36">
        <f t="shared" si="0"/>
        <v>1.0270000000000001</v>
      </c>
      <c r="E11" s="37">
        <v>101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41</v>
      </c>
      <c r="C12" s="35">
        <v>0.13</v>
      </c>
      <c r="D12" s="36">
        <f t="shared" si="0"/>
        <v>1.0270000000000001</v>
      </c>
      <c r="E12" s="37">
        <v>82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23</v>
      </c>
      <c r="C13" s="35">
        <v>7.0000000000000007E-2</v>
      </c>
      <c r="D13" s="36">
        <f t="shared" si="0"/>
        <v>0.55300000000000005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8</v>
      </c>
      <c r="C14" s="35">
        <v>0.06</v>
      </c>
      <c r="D14" s="36">
        <f t="shared" si="0"/>
        <v>0.47399999999999998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7.9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63">
        <v>18</v>
      </c>
      <c r="B36" s="63">
        <f>A36*12</f>
        <v>216</v>
      </c>
      <c r="C36" s="63">
        <v>1</v>
      </c>
      <c r="D36" s="63">
        <v>63</v>
      </c>
      <c r="E36" s="54"/>
      <c r="F36" s="54">
        <v>0.5</v>
      </c>
      <c r="G36" s="54">
        <v>0.5</v>
      </c>
      <c r="H36" s="93"/>
      <c r="I36" s="52">
        <f>IFERROR(B36/A36,"")</f>
        <v>12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63">
        <v>24</v>
      </c>
      <c r="B37" s="63">
        <v>299</v>
      </c>
      <c r="C37" s="63">
        <v>2</v>
      </c>
      <c r="D37" s="63">
        <v>66</v>
      </c>
      <c r="E37" s="54"/>
      <c r="F37" s="54">
        <v>0.5</v>
      </c>
      <c r="G37" s="54">
        <v>0.5</v>
      </c>
      <c r="H37" s="93"/>
      <c r="I37" s="56">
        <f t="shared" ref="I37:I55" si="1">IF(A37&lt;&gt;0,(B37-(B36-D36))/(A37-A36),"")</f>
        <v>24.333333333333332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63">
        <v>30</v>
      </c>
      <c r="B38" s="63">
        <v>390</v>
      </c>
      <c r="C38" s="63">
        <v>3</v>
      </c>
      <c r="D38" s="63">
        <v>79</v>
      </c>
      <c r="E38" s="93"/>
      <c r="F38" s="93"/>
      <c r="G38" s="93"/>
      <c r="H38" s="93"/>
      <c r="I38" s="56">
        <f t="shared" si="1"/>
        <v>26.166666666666668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63">
        <v>36</v>
      </c>
      <c r="B39" s="63">
        <v>472</v>
      </c>
      <c r="C39" s="63">
        <v>4</v>
      </c>
      <c r="D39" s="63">
        <v>92</v>
      </c>
      <c r="E39" s="93"/>
      <c r="F39" s="93"/>
      <c r="G39" s="93"/>
      <c r="H39" s="93"/>
      <c r="I39" s="52">
        <f t="shared" si="1"/>
        <v>26.833333333333332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63">
        <v>42</v>
      </c>
      <c r="B40" s="63">
        <v>538</v>
      </c>
      <c r="C40" s="63">
        <v>5</v>
      </c>
      <c r="D40" s="63">
        <v>88</v>
      </c>
      <c r="E40" s="93"/>
      <c r="F40" s="93"/>
      <c r="G40" s="93"/>
      <c r="H40" s="93"/>
      <c r="I40" s="52">
        <f t="shared" si="1"/>
        <v>26.333333333333332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63">
        <v>48</v>
      </c>
      <c r="B41" s="63">
        <v>601</v>
      </c>
      <c r="C41" s="63">
        <v>6</v>
      </c>
      <c r="D41" s="63">
        <v>102</v>
      </c>
      <c r="E41" s="93"/>
      <c r="F41" s="93"/>
      <c r="G41" s="93"/>
      <c r="H41" s="93"/>
      <c r="I41" s="56">
        <f t="shared" si="1"/>
        <v>25.166666666666668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63">
        <v>54</v>
      </c>
      <c r="B42" s="63">
        <v>640</v>
      </c>
      <c r="C42" s="63">
        <v>7</v>
      </c>
      <c r="D42" s="63">
        <v>640</v>
      </c>
      <c r="E42" s="93"/>
      <c r="F42" s="93"/>
      <c r="G42" s="93"/>
      <c r="H42" s="93"/>
      <c r="I42" s="56">
        <f t="shared" si="1"/>
        <v>23.5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/>
      <c r="B43" s="63"/>
      <c r="C43" s="63"/>
      <c r="D43" s="63"/>
      <c r="E43" s="93"/>
      <c r="F43" s="93"/>
      <c r="G43" s="93"/>
      <c r="H43" s="93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Mélèze d'Europe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18</v>
      </c>
      <c r="B62" s="63">
        <v>112</v>
      </c>
      <c r="C62" s="63">
        <v>1</v>
      </c>
      <c r="D62" s="63">
        <v>20</v>
      </c>
      <c r="E62" s="54"/>
      <c r="F62" s="54"/>
      <c r="G62" s="54">
        <v>0.3</v>
      </c>
      <c r="H62" s="54">
        <v>0.7</v>
      </c>
      <c r="I62" s="56">
        <f>IFERROR(B62/A62,"")</f>
        <v>6.2222222222222223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21</v>
      </c>
      <c r="B63" s="63">
        <v>146</v>
      </c>
      <c r="C63" s="63">
        <v>2</v>
      </c>
      <c r="D63" s="63">
        <v>26</v>
      </c>
      <c r="E63" s="54"/>
      <c r="F63" s="54"/>
      <c r="G63" s="54">
        <v>0.4</v>
      </c>
      <c r="H63" s="54">
        <v>0.6</v>
      </c>
      <c r="I63" s="52">
        <f>IF(A63&lt;&gt;0,(B63-(B62-D62))/(A63-A62),"")</f>
        <v>18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24</v>
      </c>
      <c r="B64" s="63">
        <v>168</v>
      </c>
      <c r="C64" s="63">
        <v>3</v>
      </c>
      <c r="D64" s="63">
        <v>29</v>
      </c>
      <c r="E64" s="54"/>
      <c r="F64" s="54">
        <v>0.1</v>
      </c>
      <c r="G64" s="54">
        <v>0.4</v>
      </c>
      <c r="H64" s="54">
        <v>0.5</v>
      </c>
      <c r="I64" s="52">
        <f>IF(A64&lt;&gt;0,(B64-(B63-D63))/(A64-A63),"")</f>
        <v>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224</v>
      </c>
      <c r="C65" s="63">
        <v>4</v>
      </c>
      <c r="D65" s="63">
        <v>53</v>
      </c>
      <c r="E65" s="54"/>
      <c r="F65" s="54">
        <v>0.3</v>
      </c>
      <c r="G65" s="54">
        <v>0.3</v>
      </c>
      <c r="H65" s="54">
        <v>0.4</v>
      </c>
      <c r="I65" s="52">
        <f>IF(A65&lt;&gt;0,(B65-(B64-D64))/(A65-A64),"")</f>
        <v>14.166666666666666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36</v>
      </c>
      <c r="B66" s="63">
        <v>248</v>
      </c>
      <c r="C66" s="63">
        <v>5</v>
      </c>
      <c r="D66" s="63">
        <v>62</v>
      </c>
      <c r="E66" s="54"/>
      <c r="F66" s="54"/>
      <c r="G66" s="54"/>
      <c r="H66" s="54"/>
      <c r="I66" s="52">
        <f t="shared" ref="I66:I81" si="2">IF(A66&lt;&gt;0,(B66-(B65-D65))/(A66-A65),"")</f>
        <v>12.833333333333334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42</v>
      </c>
      <c r="B67" s="63">
        <v>255</v>
      </c>
      <c r="C67" s="63">
        <v>6</v>
      </c>
      <c r="D67" s="63">
        <v>67</v>
      </c>
      <c r="E67" s="54"/>
      <c r="F67" s="54"/>
      <c r="G67" s="54"/>
      <c r="H67" s="54"/>
      <c r="I67" s="52">
        <f t="shared" si="2"/>
        <v>11.5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48</v>
      </c>
      <c r="B68" s="63">
        <v>252</v>
      </c>
      <c r="C68" s="63">
        <v>7</v>
      </c>
      <c r="D68" s="63">
        <v>65</v>
      </c>
      <c r="E68" s="54"/>
      <c r="F68" s="54"/>
      <c r="G68" s="54"/>
      <c r="H68" s="54"/>
      <c r="I68" s="52">
        <f t="shared" si="2"/>
        <v>10.666666666666666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3">
        <v>60</v>
      </c>
      <c r="B69" s="63">
        <v>304</v>
      </c>
      <c r="C69" s="63">
        <v>8</v>
      </c>
      <c r="D69" s="63">
        <f>B69</f>
        <v>304</v>
      </c>
      <c r="E69" s="54"/>
      <c r="F69" s="54"/>
      <c r="G69" s="54"/>
      <c r="H69" s="54"/>
      <c r="I69" s="52">
        <f t="shared" si="2"/>
        <v>9.75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f>206.36/1.3</f>
        <v>158.73846153846154</v>
      </c>
      <c r="C88" s="53"/>
      <c r="D88" s="63"/>
      <c r="E88" s="54"/>
      <c r="F88" s="54"/>
      <c r="G88" s="54"/>
      <c r="H88" s="54"/>
      <c r="I88" s="56">
        <f>IFERROR(B88/A88,"")</f>
        <v>5.2912820512820513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42</v>
      </c>
      <c r="B89" s="63">
        <f>435.53/1.3</f>
        <v>335.02307692307687</v>
      </c>
      <c r="C89" s="53">
        <v>1</v>
      </c>
      <c r="D89" s="63">
        <f>(435.53-299.05)/1.3</f>
        <v>104.98461538461535</v>
      </c>
      <c r="E89" s="54"/>
      <c r="F89" s="54"/>
      <c r="G89" s="54"/>
      <c r="H89" s="54"/>
      <c r="I89" s="56">
        <f t="shared" ref="I89:I98" si="3">IF(A89&lt;&gt;0,(B89-(B88-D88))/(A89-A88),"")</f>
        <v>14.690384615384611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50</v>
      </c>
      <c r="B90" s="63">
        <f>454.94/1.3</f>
        <v>349.95384615384614</v>
      </c>
      <c r="C90" s="53">
        <v>2</v>
      </c>
      <c r="D90" s="63">
        <f>(454.94-324.07)/1.3</f>
        <v>100.66923076923077</v>
      </c>
      <c r="E90" s="54"/>
      <c r="F90" s="54"/>
      <c r="G90" s="54"/>
      <c r="H90" s="54"/>
      <c r="I90" s="56">
        <f t="shared" si="3"/>
        <v>14.989423076923078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58</v>
      </c>
      <c r="B91" s="63">
        <f>472.32/1.3</f>
        <v>363.32307692307688</v>
      </c>
      <c r="C91" s="53">
        <v>3</v>
      </c>
      <c r="D91" s="63">
        <f>(472.32-367.91)/1.3</f>
        <v>80.315384615384588</v>
      </c>
      <c r="E91" s="54"/>
      <c r="F91" s="54"/>
      <c r="G91" s="54"/>
      <c r="H91" s="54"/>
      <c r="I91" s="56">
        <f t="shared" si="3"/>
        <v>14.254807692307686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66</v>
      </c>
      <c r="B92" s="63">
        <f>510.63/1.3</f>
        <v>392.7923076923077</v>
      </c>
      <c r="C92" s="53">
        <v>4</v>
      </c>
      <c r="D92" s="63">
        <f>(510.63-407.71)/1.3</f>
        <v>79.169230769230779</v>
      </c>
      <c r="E92" s="54"/>
      <c r="F92" s="54"/>
      <c r="G92" s="54"/>
      <c r="H92" s="54"/>
      <c r="I92" s="56">
        <f t="shared" si="3"/>
        <v>13.723076923076924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75</v>
      </c>
      <c r="B93" s="63">
        <f>560.13/1.3</f>
        <v>430.86923076923074</v>
      </c>
      <c r="C93" s="53">
        <v>5</v>
      </c>
      <c r="D93" s="63">
        <f>(560.13-458.33)/1.3</f>
        <v>78.307692307692321</v>
      </c>
      <c r="E93" s="54"/>
      <c r="F93" s="54"/>
      <c r="G93" s="54"/>
      <c r="H93" s="54"/>
      <c r="I93" s="56">
        <f t="shared" si="3"/>
        <v>13.02735042735042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83</v>
      </c>
      <c r="B94" s="63">
        <f>585.83/1.3</f>
        <v>450.63846153846157</v>
      </c>
      <c r="C94" s="63">
        <v>6</v>
      </c>
      <c r="D94" s="63">
        <f>(585.83-482.21)/1.3</f>
        <v>79.707692307692355</v>
      </c>
      <c r="E94" s="54"/>
      <c r="F94" s="54"/>
      <c r="G94" s="54"/>
      <c r="H94" s="54"/>
      <c r="I94" s="56">
        <f t="shared" si="3"/>
        <v>12.259615384615394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91</v>
      </c>
      <c r="B95" s="63">
        <f>600.03/1.3</f>
        <v>461.56153846153842</v>
      </c>
      <c r="C95" s="63">
        <v>7</v>
      </c>
      <c r="D95" s="63">
        <f>(600.03-301.37)/1.3</f>
        <v>229.73846153846151</v>
      </c>
      <c r="E95" s="54"/>
      <c r="F95" s="54"/>
      <c r="G95" s="54"/>
      <c r="H95" s="54"/>
      <c r="I95" s="56">
        <f t="shared" si="3"/>
        <v>11.32884615384615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101</v>
      </c>
      <c r="B96" s="63">
        <f>399.89/1.3</f>
        <v>307.60769230769228</v>
      </c>
      <c r="C96" s="63">
        <v>8</v>
      </c>
      <c r="D96" s="63">
        <f>B96</f>
        <v>307.60769230769228</v>
      </c>
      <c r="E96" s="93"/>
      <c r="F96" s="93"/>
      <c r="G96" s="93"/>
      <c r="H96" s="93"/>
      <c r="I96" s="56">
        <f t="shared" si="3"/>
        <v>7.5784615384615366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3"/>
      <c r="B97" s="63"/>
      <c r="C97" s="63"/>
      <c r="D97" s="63"/>
      <c r="E97" s="93"/>
      <c r="F97" s="54"/>
      <c r="G97" s="54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3"/>
      <c r="B99" s="63"/>
      <c r="C99" s="63"/>
      <c r="D99" s="63"/>
      <c r="E99" s="93"/>
      <c r="F99" s="93"/>
      <c r="G99" s="93"/>
      <c r="H99" s="93"/>
      <c r="I99" s="56" t="str">
        <f t="shared" ref="I99:I102" si="4">IF(A99&lt;&gt;0,(B99-(B98-D98))/(A99-A98),"")</f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3"/>
      <c r="B103" s="53"/>
      <c r="C103" s="63"/>
      <c r="D103" s="53"/>
      <c r="E103" s="57"/>
      <c r="F103" s="57"/>
      <c r="G103" s="57"/>
      <c r="H103" s="57"/>
      <c r="I103" s="56" t="str">
        <f t="shared" ref="I103:I107" si="5"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3"/>
      <c r="B104" s="53"/>
      <c r="C104" s="63"/>
      <c r="D104" s="53"/>
      <c r="E104" s="57"/>
      <c r="F104" s="57"/>
      <c r="G104" s="57"/>
      <c r="H104" s="57"/>
      <c r="I104" s="56" t="str">
        <f t="shared" si="5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3"/>
      <c r="B105" s="53"/>
      <c r="C105" s="53"/>
      <c r="D105" s="53"/>
      <c r="E105" s="57"/>
      <c r="F105" s="57"/>
      <c r="G105" s="57"/>
      <c r="H105" s="57"/>
      <c r="I105" s="56" t="str">
        <f t="shared" si="5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3"/>
      <c r="B106" s="53"/>
      <c r="C106" s="53"/>
      <c r="D106" s="53"/>
      <c r="E106" s="57"/>
      <c r="F106" s="57"/>
      <c r="G106" s="57"/>
      <c r="H106" s="57"/>
      <c r="I106" s="56" t="str">
        <f t="shared" si="5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3"/>
      <c r="B107" s="53"/>
      <c r="C107" s="53"/>
      <c r="D107" s="53"/>
      <c r="E107" s="57"/>
      <c r="F107" s="57"/>
      <c r="G107" s="57"/>
      <c r="H107" s="57"/>
      <c r="I107" s="56" t="str">
        <f t="shared" si="5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sylvestre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22</v>
      </c>
      <c r="B114" s="63">
        <f>84</f>
        <v>84</v>
      </c>
      <c r="C114" s="63"/>
      <c r="D114" s="63"/>
      <c r="E114" s="54"/>
      <c r="F114" s="54">
        <v>0.5</v>
      </c>
      <c r="G114" s="54">
        <v>0.5</v>
      </c>
      <c r="H114" s="54"/>
      <c r="I114" s="56">
        <f>IFERROR(B114/A114,"")</f>
        <v>3.8181818181818183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110+D115</f>
        <v>131</v>
      </c>
      <c r="C115" s="63">
        <v>1</v>
      </c>
      <c r="D115" s="63">
        <v>21</v>
      </c>
      <c r="E115" s="54"/>
      <c r="F115" s="54">
        <v>0.5</v>
      </c>
      <c r="G115" s="54">
        <v>0.5</v>
      </c>
      <c r="H115" s="54"/>
      <c r="I115" s="56">
        <f t="shared" ref="I115:I133" si="6">IF(A115&lt;&gt;0,(B115-(B114-D114))/(A115-A114),"")</f>
        <v>15.666666666666666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146+D116</f>
        <v>182</v>
      </c>
      <c r="C116" s="63">
        <v>2</v>
      </c>
      <c r="D116" s="63">
        <v>36</v>
      </c>
      <c r="E116" s="54"/>
      <c r="F116" s="54">
        <v>0.5</v>
      </c>
      <c r="G116" s="54">
        <v>0.5</v>
      </c>
      <c r="H116" s="54"/>
      <c r="I116" s="56">
        <f t="shared" si="6"/>
        <v>14.4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f>180+D117</f>
        <v>229</v>
      </c>
      <c r="C117" s="63">
        <v>3</v>
      </c>
      <c r="D117" s="63">
        <v>49</v>
      </c>
      <c r="E117" s="54"/>
      <c r="F117" s="54"/>
      <c r="G117" s="54"/>
      <c r="H117" s="54"/>
      <c r="I117" s="56">
        <f t="shared" si="6"/>
        <v>16.600000000000001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214+D118</f>
        <v>256</v>
      </c>
      <c r="C118" s="63">
        <v>4</v>
      </c>
      <c r="D118" s="63">
        <v>42</v>
      </c>
      <c r="E118" s="54"/>
      <c r="F118" s="54"/>
      <c r="G118" s="54"/>
      <c r="H118" s="54"/>
      <c r="I118" s="56">
        <f t="shared" si="6"/>
        <v>15.2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f>245+D119</f>
        <v>283</v>
      </c>
      <c r="C119" s="63">
        <v>5</v>
      </c>
      <c r="D119" s="63">
        <v>38</v>
      </c>
      <c r="E119" s="54"/>
      <c r="F119" s="54"/>
      <c r="G119" s="54"/>
      <c r="H119" s="54"/>
      <c r="I119" s="56">
        <f t="shared" si="6"/>
        <v>13.8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f>274+D120</f>
        <v>311</v>
      </c>
      <c r="C120" s="63">
        <v>6</v>
      </c>
      <c r="D120" s="63">
        <v>37</v>
      </c>
      <c r="E120" s="54"/>
      <c r="F120" s="54"/>
      <c r="G120" s="54"/>
      <c r="H120" s="54"/>
      <c r="I120" s="56">
        <f t="shared" si="6"/>
        <v>13.2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283">
        <v>58</v>
      </c>
      <c r="B121" s="63">
        <f>324+D121</f>
        <v>372</v>
      </c>
      <c r="C121" s="63">
        <v>7</v>
      </c>
      <c r="D121" s="63">
        <v>48</v>
      </c>
      <c r="E121" s="54"/>
      <c r="F121" s="54"/>
      <c r="G121" s="54"/>
      <c r="H121" s="54"/>
      <c r="I121" s="56">
        <f t="shared" si="6"/>
        <v>12.25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66</v>
      </c>
      <c r="B122" s="53">
        <v>415</v>
      </c>
      <c r="C122" s="53">
        <v>8</v>
      </c>
      <c r="D122" s="53">
        <v>50</v>
      </c>
      <c r="E122" s="54"/>
      <c r="F122" s="54"/>
      <c r="G122" s="54"/>
      <c r="H122" s="54"/>
      <c r="I122" s="56">
        <f t="shared" si="6"/>
        <v>11.375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74</v>
      </c>
      <c r="B123" s="53">
        <v>419</v>
      </c>
      <c r="C123" s="53">
        <v>9</v>
      </c>
      <c r="D123" s="53">
        <v>20</v>
      </c>
      <c r="E123" s="54"/>
      <c r="F123" s="54"/>
      <c r="G123" s="54"/>
      <c r="H123" s="54"/>
      <c r="I123" s="56">
        <f t="shared" si="6"/>
        <v>6.75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82</v>
      </c>
      <c r="B124" s="53">
        <v>444</v>
      </c>
      <c r="C124" s="53">
        <v>10</v>
      </c>
      <c r="D124" s="53">
        <v>444</v>
      </c>
      <c r="E124" s="54"/>
      <c r="F124" s="54"/>
      <c r="G124" s="54"/>
      <c r="H124" s="54"/>
      <c r="I124" s="56">
        <f t="shared" si="6"/>
        <v>5.625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6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6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6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6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6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6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Erable sycomore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v>19</v>
      </c>
      <c r="C140" s="63"/>
      <c r="D140" s="63"/>
      <c r="E140" s="54"/>
      <c r="F140" s="54"/>
      <c r="G140" s="54"/>
      <c r="H140" s="54"/>
      <c r="I140" s="60">
        <f>IFERROR(B140/A140,"")</f>
        <v>1.9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f>85+7</f>
        <v>92</v>
      </c>
      <c r="C141" s="63">
        <v>1</v>
      </c>
      <c r="D141" s="63">
        <f>7+42</f>
        <v>49</v>
      </c>
      <c r="E141" s="54"/>
      <c r="F141" s="54"/>
      <c r="G141" s="54"/>
      <c r="H141" s="54">
        <v>1</v>
      </c>
      <c r="I141" s="60">
        <f t="shared" ref="I141:I159" si="7">IF(A141&lt;&gt;0,(B141-(B140-D140))/(A141-A140),"")</f>
        <v>14.6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f>123</f>
        <v>123</v>
      </c>
      <c r="C142" s="63"/>
      <c r="D142" s="63"/>
      <c r="E142" s="54"/>
      <c r="F142" s="54"/>
      <c r="G142" s="54"/>
      <c r="H142" s="54"/>
      <c r="I142" s="60">
        <f t="shared" si="7"/>
        <v>16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f>165+42</f>
        <v>207</v>
      </c>
      <c r="C143" s="63">
        <v>2</v>
      </c>
      <c r="D143" s="63">
        <f>42+42</f>
        <v>84</v>
      </c>
      <c r="E143" s="54"/>
      <c r="F143" s="54"/>
      <c r="G143" s="54"/>
      <c r="H143" s="54">
        <v>1</v>
      </c>
      <c r="I143" s="60">
        <f t="shared" si="7"/>
        <v>16.8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f>205</f>
        <v>205</v>
      </c>
      <c r="C144" s="63"/>
      <c r="D144" s="63"/>
      <c r="E144" s="54"/>
      <c r="F144" s="54"/>
      <c r="G144" s="54"/>
      <c r="H144" s="54"/>
      <c r="I144" s="60">
        <f t="shared" si="7"/>
        <v>16.399999999999999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3">
        <f>239+42</f>
        <v>281</v>
      </c>
      <c r="C145" s="63">
        <v>3</v>
      </c>
      <c r="D145" s="63">
        <f>42+42</f>
        <v>84</v>
      </c>
      <c r="E145" s="54"/>
      <c r="F145" s="54"/>
      <c r="G145" s="54"/>
      <c r="H145" s="54"/>
      <c r="I145" s="60">
        <f t="shared" si="7"/>
        <v>15.2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3">
        <f>263</f>
        <v>263</v>
      </c>
      <c r="C146" s="53"/>
      <c r="D146" s="63"/>
      <c r="E146" s="54"/>
      <c r="F146" s="54"/>
      <c r="G146" s="54"/>
      <c r="H146" s="54"/>
      <c r="I146" s="60">
        <f t="shared" si="7"/>
        <v>13.2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45</v>
      </c>
      <c r="B147" s="63">
        <f>280+40</f>
        <v>320</v>
      </c>
      <c r="C147" s="53">
        <v>4</v>
      </c>
      <c r="D147" s="63">
        <f>40+26</f>
        <v>66</v>
      </c>
      <c r="E147" s="54"/>
      <c r="F147" s="54"/>
      <c r="G147" s="54"/>
      <c r="H147" s="54"/>
      <c r="I147" s="60">
        <f>IF(A147&lt;&gt;0,(B147-(B146-D146))/(A147-A146),"")</f>
        <v>11.4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50</v>
      </c>
      <c r="B148" s="63">
        <f>303</f>
        <v>303</v>
      </c>
      <c r="C148" s="53"/>
      <c r="D148" s="63"/>
      <c r="E148" s="54"/>
      <c r="F148" s="54"/>
      <c r="G148" s="54"/>
      <c r="H148" s="54"/>
      <c r="I148" s="60">
        <f t="shared" si="7"/>
        <v>9.8000000000000007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55</v>
      </c>
      <c r="B149" s="63">
        <f>324+21</f>
        <v>345</v>
      </c>
      <c r="C149" s="53">
        <v>5</v>
      </c>
      <c r="D149" s="63">
        <f>18+21</f>
        <v>39</v>
      </c>
      <c r="E149" s="54"/>
      <c r="F149" s="54"/>
      <c r="G149" s="54"/>
      <c r="H149" s="54"/>
      <c r="I149" s="60">
        <f t="shared" si="7"/>
        <v>8.4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60</v>
      </c>
      <c r="B150" s="63">
        <f>342</f>
        <v>342</v>
      </c>
      <c r="C150" s="53"/>
      <c r="D150" s="63"/>
      <c r="E150" s="54"/>
      <c r="F150" s="54"/>
      <c r="G150" s="54"/>
      <c r="H150" s="54"/>
      <c r="I150" s="60">
        <f t="shared" si="7"/>
        <v>7.2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65</v>
      </c>
      <c r="B151" s="63">
        <f>356+17</f>
        <v>373</v>
      </c>
      <c r="C151" s="53">
        <v>6</v>
      </c>
      <c r="D151" s="63">
        <f>17+16</f>
        <v>33</v>
      </c>
      <c r="E151" s="54"/>
      <c r="F151" s="54"/>
      <c r="G151" s="54"/>
      <c r="H151" s="54"/>
      <c r="I151" s="60">
        <f t="shared" si="7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70</v>
      </c>
      <c r="B152" s="63">
        <f>366</f>
        <v>366</v>
      </c>
      <c r="C152" s="53">
        <v>7</v>
      </c>
      <c r="D152" s="63">
        <v>15</v>
      </c>
      <c r="E152" s="54"/>
      <c r="F152" s="54"/>
      <c r="G152" s="54"/>
      <c r="H152" s="54"/>
      <c r="I152" s="60">
        <f t="shared" si="7"/>
        <v>5.2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75</v>
      </c>
      <c r="B153" s="63">
        <v>375</v>
      </c>
      <c r="C153" s="53">
        <v>8</v>
      </c>
      <c r="D153" s="63">
        <v>14</v>
      </c>
      <c r="E153" s="54"/>
      <c r="F153" s="54"/>
      <c r="G153" s="54"/>
      <c r="H153" s="54"/>
      <c r="I153" s="60">
        <f t="shared" si="7"/>
        <v>4.8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80</v>
      </c>
      <c r="B154" s="53">
        <v>382</v>
      </c>
      <c r="C154" s="53">
        <v>9</v>
      </c>
      <c r="D154" s="53">
        <v>382</v>
      </c>
      <c r="E154" s="54"/>
      <c r="F154" s="54"/>
      <c r="G154" s="54"/>
      <c r="H154" s="54"/>
      <c r="I154" s="60">
        <f t="shared" si="7"/>
        <v>4.2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Châtaignier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63">
        <f>11</f>
        <v>11</v>
      </c>
      <c r="C166" s="63"/>
      <c r="D166" s="63"/>
      <c r="E166" s="54"/>
      <c r="F166" s="54"/>
      <c r="G166" s="54"/>
      <c r="H166" s="54"/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63">
        <f>65</f>
        <v>65</v>
      </c>
      <c r="C167" s="63"/>
      <c r="D167" s="63"/>
      <c r="E167" s="54"/>
      <c r="F167" s="54"/>
      <c r="G167" s="54"/>
      <c r="H167" s="54"/>
      <c r="I167" s="52">
        <f t="shared" ref="I167:I185" si="8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20</v>
      </c>
      <c r="B168" s="63">
        <f>102+32</f>
        <v>134</v>
      </c>
      <c r="C168" s="63">
        <v>1</v>
      </c>
      <c r="D168" s="63">
        <f>32+35</f>
        <v>67</v>
      </c>
      <c r="E168" s="54"/>
      <c r="F168" s="54"/>
      <c r="G168" s="54"/>
      <c r="H168" s="54">
        <v>1</v>
      </c>
      <c r="I168" s="52">
        <f t="shared" si="8"/>
        <v>13.8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25</v>
      </c>
      <c r="B169" s="63">
        <f>141</f>
        <v>141</v>
      </c>
      <c r="C169" s="63"/>
      <c r="D169" s="63"/>
      <c r="E169" s="54"/>
      <c r="F169" s="54"/>
      <c r="G169" s="54"/>
      <c r="H169" s="54"/>
      <c r="I169" s="52">
        <f t="shared" si="8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30</v>
      </c>
      <c r="B170" s="63">
        <f>177+35</f>
        <v>212</v>
      </c>
      <c r="C170" s="63">
        <v>2</v>
      </c>
      <c r="D170" s="63">
        <f>35+35</f>
        <v>70</v>
      </c>
      <c r="E170" s="54"/>
      <c r="F170" s="54"/>
      <c r="G170" s="54"/>
      <c r="H170" s="54">
        <v>1</v>
      </c>
      <c r="I170" s="52">
        <f t="shared" si="8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35</v>
      </c>
      <c r="B171" s="63">
        <f>206</f>
        <v>206</v>
      </c>
      <c r="C171" s="63"/>
      <c r="D171" s="63"/>
      <c r="E171" s="54"/>
      <c r="F171" s="54"/>
      <c r="G171" s="54"/>
      <c r="H171" s="54"/>
      <c r="I171" s="52">
        <f t="shared" si="8"/>
        <v>12.8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40</v>
      </c>
      <c r="B172" s="63">
        <f>228+35</f>
        <v>263</v>
      </c>
      <c r="C172" s="53">
        <v>3</v>
      </c>
      <c r="D172" s="63">
        <f>35+35</f>
        <v>70</v>
      </c>
      <c r="E172" s="54"/>
      <c r="F172" s="54"/>
      <c r="G172" s="54"/>
      <c r="H172" s="54"/>
      <c r="I172" s="52">
        <f t="shared" si="8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45</v>
      </c>
      <c r="B173" s="63">
        <f>242</f>
        <v>242</v>
      </c>
      <c r="C173" s="53"/>
      <c r="D173" s="63"/>
      <c r="E173" s="54"/>
      <c r="F173" s="54"/>
      <c r="G173" s="54"/>
      <c r="H173" s="54"/>
      <c r="I173" s="52">
        <f t="shared" si="8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50</v>
      </c>
      <c r="B174" s="63">
        <f>261+24</f>
        <v>285</v>
      </c>
      <c r="C174" s="53">
        <v>4</v>
      </c>
      <c r="D174" s="63">
        <f>19+24</f>
        <v>43</v>
      </c>
      <c r="E174" s="54"/>
      <c r="F174" s="54"/>
      <c r="G174" s="54"/>
      <c r="H174" s="54"/>
      <c r="I174" s="52">
        <f t="shared" si="8"/>
        <v>8.6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55</v>
      </c>
      <c r="B175" s="63">
        <f>279</f>
        <v>279</v>
      </c>
      <c r="C175" s="53"/>
      <c r="D175" s="63"/>
      <c r="E175" s="54"/>
      <c r="F175" s="54"/>
      <c r="G175" s="54"/>
      <c r="H175" s="54"/>
      <c r="I175" s="52">
        <f t="shared" si="8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60</v>
      </c>
      <c r="B176" s="63">
        <f>294+16</f>
        <v>310</v>
      </c>
      <c r="C176" s="53">
        <v>5</v>
      </c>
      <c r="D176" s="63">
        <f>16+14</f>
        <v>30</v>
      </c>
      <c r="E176" s="54"/>
      <c r="F176" s="54"/>
      <c r="G176" s="54"/>
      <c r="H176" s="54"/>
      <c r="I176" s="52">
        <f t="shared" si="8"/>
        <v>6.2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65</v>
      </c>
      <c r="B177" s="63">
        <f>306</f>
        <v>306</v>
      </c>
      <c r="C177" s="53"/>
      <c r="D177" s="63"/>
      <c r="E177" s="54"/>
      <c r="F177" s="54"/>
      <c r="G177" s="54"/>
      <c r="H177" s="54"/>
      <c r="I177" s="52">
        <f t="shared" si="8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70</v>
      </c>
      <c r="B178" s="63">
        <f>315+13</f>
        <v>328</v>
      </c>
      <c r="C178" s="53">
        <v>6</v>
      </c>
      <c r="D178" s="63">
        <f>13+13</f>
        <v>26</v>
      </c>
      <c r="E178" s="54"/>
      <c r="F178" s="54"/>
      <c r="G178" s="54"/>
      <c r="H178" s="54"/>
      <c r="I178" s="52">
        <f t="shared" si="8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75</v>
      </c>
      <c r="B179" s="63">
        <f>324</f>
        <v>324</v>
      </c>
      <c r="C179" s="53">
        <v>7</v>
      </c>
      <c r="D179" s="63">
        <v>12</v>
      </c>
      <c r="E179" s="54"/>
      <c r="F179" s="54"/>
      <c r="G179" s="54"/>
      <c r="H179" s="54"/>
      <c r="I179" s="52">
        <f t="shared" si="8"/>
        <v>4.4000000000000004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80</v>
      </c>
      <c r="B180" s="53">
        <f>330</f>
        <v>330</v>
      </c>
      <c r="C180" s="53">
        <v>8</v>
      </c>
      <c r="D180" s="53">
        <v>330</v>
      </c>
      <c r="E180" s="54"/>
      <c r="F180" s="54"/>
      <c r="G180" s="54"/>
      <c r="H180" s="54"/>
      <c r="I180" s="52">
        <f t="shared" si="8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16" sqref="C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d'Europe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sylvestre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Erable sycomore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Châtaignier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322.63846641467165</v>
      </c>
      <c r="T3" s="62">
        <f>IF('Données projet'!E9&gt;30,$R$33-$H$33,LOOKUP('Données projet'!$E$9,$A$3:$A$203,R3:R203)-LOOKUP('Données projet'!$E$9,$A$3:$A$203,$H$3:$H$203))</f>
        <v>435.17386576419966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175.05987582828078</v>
      </c>
      <c r="AO3" s="62">
        <f>IF('Données projet'!E10&gt;30,$AM$33-$H$33,LOOKUP('Données projet'!$E$10,$A$3:$A$203,AM3:AM203)-LOOKUP('Données projet'!$E$10,$A$3:$A$203,$H$3:$H$203))</f>
        <v>268.54782308462387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183.46485104601493</v>
      </c>
      <c r="BJ3" s="62">
        <f>IF('Données projet'!E11&gt;30,$BH$33-$H$33,LOOKUP('Données projet'!$E$11,$A$3:$A$203,BH3:BH203)-LOOKUP('Données projet'!$E$11,$A$3:$A$203,$H$3:$H$203))</f>
        <v>127.47790120677581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228.06050741667258</v>
      </c>
      <c r="CE3" s="62">
        <f>IF('Données projet'!E12&gt;30,$CC$33-$H$33,LOOKUP('Données projet'!$E$12,$A$3:$A$203,CC3:CC203)-LOOKUP('Données projet'!$E$12,$A$3:$A$203,$H$3:$H$203))</f>
        <v>191.94885821983536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343.37244130003143</v>
      </c>
      <c r="CZ3" s="62">
        <f>IF('Données projet'!E13&gt;30,$CX$33-$H$33,LOOKUP('Données projet'!$E$13,$A$3:$A$203,CX3:CX203)-LOOKUP('Données projet'!$E$13,$A$3:$A$203,$H$3:$H$203))</f>
        <v>318.38876834819763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263.81634201637729</v>
      </c>
      <c r="DU3" s="62">
        <f>IF('Données projet'!E14&gt;30,$DS$33-$H$33,LOOKUP('Données projet'!$E$14,$A$3:$A$203,DS3:DS203)-LOOKUP('Données projet'!$E$14,$A$3:$A$203,$H$3:$H$203))</f>
        <v>302.03767435507262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12</v>
      </c>
      <c r="N4" s="14">
        <f>IF('Données projet'!$A$36&gt;35,N3+M4-V3,IF(A4&lt;'Données projet'!$A$36,$K$205^A4,IF(A4='Données projet'!$A$36,'Données projet'!$B$36,N3+M4-V3)))</f>
        <v>1.3480061545972777</v>
      </c>
      <c r="O4" s="14">
        <f>N4*VLOOKUP('Données projet'!$B$9,Paramètres!$A$1:$I$89,3,0)*VLOOKUP('Données projet'!$B$9,Paramètres!$A$1:$I$89,5,0)</f>
        <v>0.75353544041987819</v>
      </c>
      <c r="P4" s="14">
        <f>EXP(-1.0587+0.8836*LN(O4)+0.284)</f>
        <v>0.35888960472024145</v>
      </c>
      <c r="Q4" s="22">
        <f t="shared" ref="Q4:Q34" si="2">(O4+P4)*0.475*44/12</f>
        <v>1.9374736202857081</v>
      </c>
      <c r="R4" s="62">
        <f t="shared" si="0"/>
        <v>295.270806953619</v>
      </c>
      <c r="S4" s="62">
        <f ca="1">AVERAGE(OFFSET($R$3,0,0,'Données projet'!$E$9+1,1))-AVERAGE(OFFSET($H$3,0,0,'Données projet'!$E$9+1,1))</f>
        <v>322.63846641467165</v>
      </c>
      <c r="T4" s="62">
        <f>$T$3</f>
        <v>435.17386576419966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6.2222222222222223</v>
      </c>
      <c r="AI4" s="14">
        <f>IF('Données projet'!$A$62&gt;35,AI3+AH4-AQ3,IF(A4&lt;'Données projet'!$A$62,$AF$205^A4,IF(A4='Données projet'!$A$62,'Données projet'!$B$62,AI3+AH4-AQ3)))</f>
        <v>1.2997069632623315</v>
      </c>
      <c r="AJ4" s="14">
        <f>AI4*VLOOKUP('Données projet'!$B$10,Paramètres!$A$1:$I$89,3,0)*VLOOKUP('Données projet'!$B$10,Paramètres!$A$1:$I$89,5,0)</f>
        <v>0.81101714507569489</v>
      </c>
      <c r="AK4" s="14">
        <f>EXP(-1.0587+0.8836*LN(AJ4)+0.284)</f>
        <v>0.38297551084354686</v>
      </c>
      <c r="AL4" s="22">
        <f t="shared" ref="AL4:AL67" si="4">(AJ4+AK4)*0.475*44/12</f>
        <v>2.0795372090593456</v>
      </c>
      <c r="AM4" s="62">
        <f t="shared" ref="AM4:AM67" si="5">AL4+(AD4+AE4)*44/12</f>
        <v>295.41287054239268</v>
      </c>
      <c r="AN4" s="62">
        <f ca="1">AVERAGE(OFFSET($AM$3,0,0,'Données projet'!$E$10+1,1))-AVERAGE(OFFSET($H$3,0,0,'Données projet'!$E$10+1,1))</f>
        <v>175.05987582828078</v>
      </c>
      <c r="AO4" s="62">
        <f>$AO$3</f>
        <v>268.54782308462387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5.2912820512820513</v>
      </c>
      <c r="BD4" s="13">
        <f>IF('Données projet'!$A$88&gt;35,BD3+BC4-BL3,IF(A4&lt;'Données projet'!$A$88,$BA$205^A4,IF(A4='Données projet'!$A$88,'Données projet'!$B$88,BD3+BC4-BL3)))</f>
        <v>1.1840119133911551</v>
      </c>
      <c r="BE4" s="14">
        <f>BD4*VLOOKUP('Données projet'!$B$11,Paramètres!$A$1:$I$89,3,0)*VLOOKUP('Données projet'!$B$11,Paramètres!$A$1:$I$89,5,0)</f>
        <v>0.55411757546706064</v>
      </c>
      <c r="BF4" s="14">
        <f>EXP(-1.0587+0.8836*LN(BE4)+0.284)</f>
        <v>0.27352607028546766</v>
      </c>
      <c r="BG4" s="22">
        <f t="shared" ref="BG4:BG67" si="7">(BE4+BF4)*0.475*44/12</f>
        <v>1.4414793496856533</v>
      </c>
      <c r="BH4" s="62">
        <f t="shared" ref="BH4:BH67" si="8">BG4+(AY4+AZ4)*44/12</f>
        <v>294.77481268301898</v>
      </c>
      <c r="BI4" s="62">
        <f ca="1">AVERAGE(OFFSET($BH$3,0,0,'Données projet'!$E$11+1,1))-AVERAGE(OFFSET($H$3,0,0,'Données projet'!$E$11+1,1))</f>
        <v>183.46485104601493</v>
      </c>
      <c r="BJ4" s="62">
        <f>$BJ$3</f>
        <v>127.47790120677581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3.8181818181818183</v>
      </c>
      <c r="BY4" s="13">
        <f>IF('Données projet'!$A$114&gt;35,BY3+BX4-CG3,IF(A4&lt;'Données projet'!$A$114,$BV$205^A4,IF(A4='Données projet'!$A$114,'Données projet'!$B$114,BY3+BX4-CG3)))</f>
        <v>1.2231148535053959</v>
      </c>
      <c r="BZ4" s="14">
        <f>BY4*VLOOKUP('Données projet'!$B$12,Paramètres!$A$1:$I$89,3,0)*VLOOKUP('Données projet'!$B$12,Paramètres!$A$1:$I$89,5,0)</f>
        <v>0.69962169620508652</v>
      </c>
      <c r="CA4" s="14">
        <f>EXP(-1.0587+0.8836*LN(BZ4)+0.284)</f>
        <v>0.33610366593941898</v>
      </c>
      <c r="CB4" s="22">
        <f t="shared" ref="CB4:CB67" si="10">(BZ4+CA4)*0.475*44/12</f>
        <v>1.8038883390683471</v>
      </c>
      <c r="CC4" s="62">
        <f t="shared" ref="CC4:CC67" si="11">CB4+(BT4+BU4)*44/12</f>
        <v>295.13722167240167</v>
      </c>
      <c r="CD4" s="62">
        <f ca="1">AVERAGE(OFFSET($CC$3,0,0,'Données projet'!$E$12+1,1))-AVERAGE(OFFSET($H$3,0,0,'Données projet'!$E$12+1,1))</f>
        <v>228.06050741667258</v>
      </c>
      <c r="CE4" s="62">
        <f>$CE$3</f>
        <v>191.94885821983536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1.9</v>
      </c>
      <c r="CT4" s="13">
        <f>IF('Données projet'!$A$140&gt;35,CT3+CS4-DB3,IF(A4&lt;'Données projet'!$A$140,$CQ$205^A4,IF(A4='Données projet'!$A$140,'Données projet'!$B$140,CT3+CS4-DB3)))</f>
        <v>1.3423796509621049</v>
      </c>
      <c r="CU4" s="18">
        <f>CT4*VLOOKUP('Données projet'!$B$13,Paramètres!$A$1:$I$89,3,0)*VLOOKUP('Données projet'!$B$13,Paramètres!$A$1:$I$89,5,0)</f>
        <v>1.0679972503054507</v>
      </c>
      <c r="CV4" s="14">
        <f>EXP(-1.0587+0.8836*LN(CU4)+0.284)</f>
        <v>0.48842359485523285</v>
      </c>
      <c r="CW4" s="22">
        <f t="shared" ref="CW4:CW67" si="13">(CU4+CV4)*0.475*44/12</f>
        <v>2.7107663053215236</v>
      </c>
      <c r="CX4" s="62">
        <f t="shared" ref="CX4:CX67" si="14">CW4+(CO4+CP4)*44/12</f>
        <v>296.04409963865481</v>
      </c>
      <c r="CY4" s="62">
        <f ca="1">AVERAGE(OFFSET($CX$3,0,0,'Données projet'!$E$13+1,1))-AVERAGE(OFFSET($H$3,0,0,'Données projet'!$E$13+1,1))</f>
        <v>343.37244130003143</v>
      </c>
      <c r="CZ4" s="62">
        <f>$CZ$3</f>
        <v>318.38876834819763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0.93188372027207511</v>
      </c>
      <c r="DQ4" s="14">
        <f>EXP(-1.0587+0.8836*LN(DP4)+0.284)</f>
        <v>0.43299221190803017</v>
      </c>
      <c r="DR4" s="22">
        <f t="shared" ref="DR4:DR67" si="16">(DP4+DQ4)*0.475*44/12</f>
        <v>2.3771589152136832</v>
      </c>
      <c r="DS4" s="62">
        <f t="shared" ref="DS4:DS67" si="17">DR4+(DJ4+DK4)*44/12</f>
        <v>295.71049224854698</v>
      </c>
      <c r="DT4" s="62">
        <f ca="1">AVERAGE(OFFSET($DS$3,0,0,'Données projet'!$E$14+1,1))-AVERAGE(OFFSET($H$3,0,0,'Données projet'!$E$14+1,1))</f>
        <v>263.81634201637729</v>
      </c>
      <c r="DU4" s="62">
        <f>$DU$3</f>
        <v>302.03767435507262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12</v>
      </c>
      <c r="N5" s="14">
        <f>IF('Données projet'!$A$36&gt;35,N4+M5-V4,IF(A5&lt;'Données projet'!$A$36,$K$205^A5,IF(A5='Données projet'!$A$36,'Données projet'!$B$36,N4+M5-V4)))</f>
        <v>1.8171205928321397</v>
      </c>
      <c r="O5" s="14">
        <f>N5*VLOOKUP('Données projet'!$B$9,Paramètres!$A$1:$I$89,3,0)*VLOOKUP('Données projet'!$B$9,Paramètres!$A$1:$I$89,5,0)</f>
        <v>1.015770411393166</v>
      </c>
      <c r="P5" s="14">
        <f t="shared" ref="P5:P68" si="33">EXP(-1.0587+0.8836*LN(O5)+0.284)</f>
        <v>0.46725786464109814</v>
      </c>
      <c r="Q5" s="22">
        <f t="shared" si="2"/>
        <v>2.58294091409301</v>
      </c>
      <c r="R5" s="62">
        <f t="shared" si="0"/>
        <v>295.91627424742632</v>
      </c>
      <c r="S5" s="62">
        <f ca="1">AVERAGE(OFFSET($R$3,0,0,'Données projet'!$E$9+1,1))-AVERAGE(OFFSET($H$3,0,0,'Données projet'!$E$9+1,1))</f>
        <v>322.63846641467165</v>
      </c>
      <c r="T5" s="62">
        <f t="shared" ref="T5:T68" si="34">$T$3</f>
        <v>435.17386576419966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6.2222222222222223</v>
      </c>
      <c r="AI5" s="14">
        <f>IF('Données projet'!$A$62&gt;35,AI4+AH5-AQ4,IF(A5&lt;'Données projet'!$A$62,$AF$205^A5,IF(A5='Données projet'!$A$62,'Données projet'!$B$62,AI4+AH5-AQ4)))</f>
        <v>1.6892381903525915</v>
      </c>
      <c r="AJ5" s="14">
        <f>AI5*VLOOKUP('Données projet'!$B$10,Paramètres!$A$1:$I$89,3,0)*VLOOKUP('Données projet'!$B$10,Paramètres!$A$1:$I$89,5,0)</f>
        <v>1.0540846307800171</v>
      </c>
      <c r="AK5" s="14">
        <f t="shared" ref="AK5:AK68" si="35">EXP(-1.0587+0.8836*LN(AJ5)+0.284)</f>
        <v>0.48279730809434274</v>
      </c>
      <c r="AL5" s="22">
        <f t="shared" si="4"/>
        <v>2.6767360435395098</v>
      </c>
      <c r="AM5" s="62">
        <f t="shared" si="5"/>
        <v>296.01006937687282</v>
      </c>
      <c r="AN5" s="62">
        <f ca="1">AVERAGE(OFFSET($AM$3,0,0,'Données projet'!$E$10+1,1))-AVERAGE(OFFSET($H$3,0,0,'Données projet'!$E$10+1,1))</f>
        <v>175.05987582828078</v>
      </c>
      <c r="AO5" s="62">
        <f t="shared" ref="AO5:AO68" si="36">$AO$3</f>
        <v>268.54782308462387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5.2912820512820513</v>
      </c>
      <c r="BD5" s="13">
        <f>IF('Données projet'!$A$88&gt;35,BD4+BC5-BL4,IF(A5&lt;'Données projet'!$A$88,$BA$205^A5,IF(A5='Données projet'!$A$88,'Données projet'!$B$88,BD4+BC5-BL4)))</f>
        <v>1.4018842110521841</v>
      </c>
      <c r="BE5" s="14">
        <f>BD5*VLOOKUP('Données projet'!$B$11,Paramètres!$A$1:$I$89,3,0)*VLOOKUP('Données projet'!$B$11,Paramètres!$A$1:$I$89,5,0)</f>
        <v>0.65608181077242211</v>
      </c>
      <c r="BF5" s="14">
        <f t="shared" ref="BF5:BF68" si="37">EXP(-1.0587+0.8836*LN(BE5)+0.284)</f>
        <v>0.31755294992125549</v>
      </c>
      <c r="BG5" s="22">
        <f t="shared" si="7"/>
        <v>1.6957472082081553</v>
      </c>
      <c r="BH5" s="62">
        <f t="shared" si="8"/>
        <v>295.02908054154148</v>
      </c>
      <c r="BI5" s="62">
        <f ca="1">AVERAGE(OFFSET($BH$3,0,0,'Données projet'!$E$11+1,1))-AVERAGE(OFFSET($H$3,0,0,'Données projet'!$E$11+1,1))</f>
        <v>183.46485104601493</v>
      </c>
      <c r="BJ5" s="62">
        <f t="shared" ref="BJ5:BJ68" si="38">$BJ$3</f>
        <v>127.47790120677581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3.8181818181818183</v>
      </c>
      <c r="BY5" s="13">
        <f>IF('Données projet'!$A$114&gt;35,BY4+BX5-CG4,IF(A5&lt;'Données projet'!$A$114,$BV$205^A5,IF(A5='Données projet'!$A$114,'Données projet'!$B$114,BY4+BX5-CG4)))</f>
        <v>1.4960099448655262</v>
      </c>
      <c r="BZ5" s="14">
        <f>BY5*VLOOKUP('Données projet'!$B$12,Paramètres!$A$1:$I$89,3,0)*VLOOKUP('Données projet'!$B$12,Paramètres!$A$1:$I$89,5,0)</f>
        <v>0.85571768846308094</v>
      </c>
      <c r="CA5" s="14">
        <f t="shared" ref="CA5:CA68" si="39">EXP(-1.0587+0.8836*LN(BZ5)+0.284)</f>
        <v>0.40156818983492421</v>
      </c>
      <c r="CB5" s="22">
        <f t="shared" si="10"/>
        <v>2.1897729047023593</v>
      </c>
      <c r="CC5" s="62">
        <f t="shared" si="11"/>
        <v>295.52310623803567</v>
      </c>
      <c r="CD5" s="62">
        <f ca="1">AVERAGE(OFFSET($CC$3,0,0,'Données projet'!$E$12+1,1))-AVERAGE(OFFSET($H$3,0,0,'Données projet'!$E$12+1,1))</f>
        <v>228.06050741667258</v>
      </c>
      <c r="CE5" s="62">
        <f t="shared" ref="CE5:CE68" si="40">$CE$3</f>
        <v>191.94885821983536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1.9</v>
      </c>
      <c r="CT5" s="13">
        <f>IF('Données projet'!$A$140&gt;35,CT4+CS5-DB4,IF(A5&lt;'Données projet'!$A$140,$CQ$205^A5,IF(A5='Données projet'!$A$140,'Données projet'!$B$140,CT4+CS5-DB4)))</f>
        <v>1.8019831273171425</v>
      </c>
      <c r="CU5" s="18">
        <f>CT5*VLOOKUP('Données projet'!$B$13,Paramètres!$A$1:$I$89,3,0)*VLOOKUP('Données projet'!$B$13,Paramètres!$A$1:$I$89,5,0)</f>
        <v>1.4336577760935185</v>
      </c>
      <c r="CV5" s="14">
        <f t="shared" ref="CV5:CV68" si="41">EXP(-1.0587+0.8836*LN(CU5)+0.284)</f>
        <v>0.63355934907379652</v>
      </c>
      <c r="CW5" s="22">
        <f t="shared" si="13"/>
        <v>3.6004031596664068</v>
      </c>
      <c r="CX5" s="62">
        <f t="shared" si="14"/>
        <v>296.93373649299974</v>
      </c>
      <c r="CY5" s="62">
        <f ca="1">AVERAGE(OFFSET($CX$3,0,0,'Données projet'!$E$13+1,1))-AVERAGE(OFFSET($H$3,0,0,'Données projet'!$E$13+1,1))</f>
        <v>343.37244130003143</v>
      </c>
      <c r="CZ5" s="62">
        <f t="shared" ref="CZ5:CZ68" si="42">$CZ$3</f>
        <v>318.38876834819763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1.1844070759794372</v>
      </c>
      <c r="DQ5" s="14">
        <f t="shared" ref="DQ5:DQ68" si="43">EXP(-1.0587+0.8836*LN(DP5)+0.284)</f>
        <v>0.53517712549257934</v>
      </c>
      <c r="DR5" s="22">
        <f t="shared" si="16"/>
        <v>2.9949424842304286</v>
      </c>
      <c r="DS5" s="62">
        <f t="shared" si="17"/>
        <v>296.32827581756374</v>
      </c>
      <c r="DT5" s="62">
        <f ca="1">AVERAGE(OFFSET($DS$3,0,0,'Données projet'!$E$14+1,1))-AVERAGE(OFFSET($H$3,0,0,'Données projet'!$E$14+1,1))</f>
        <v>263.81634201637729</v>
      </c>
      <c r="DU5" s="62">
        <f t="shared" ref="DU5:DU68" si="44">$DU$3</f>
        <v>302.03767435507262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12</v>
      </c>
      <c r="N6" s="14">
        <f>IF('Données projet'!$A$36&gt;35,N5+M6-V5,IF(A6&lt;'Données projet'!$A$36,$K$205^A6,IF(A6='Données projet'!$A$36,'Données projet'!$B$36,N5+M6-V5)))</f>
        <v>2.4494897427831783</v>
      </c>
      <c r="O6" s="14">
        <f>N6*VLOOKUP('Données projet'!$B$9,Paramètres!$A$1:$I$89,3,0)*VLOOKUP('Données projet'!$B$9,Paramètres!$A$1:$I$89,5,0)</f>
        <v>1.3692647662157968</v>
      </c>
      <c r="P6" s="14">
        <f t="shared" si="33"/>
        <v>0.60834838679473446</v>
      </c>
      <c r="Q6" s="22">
        <f t="shared" si="2"/>
        <v>3.4443429081600083</v>
      </c>
      <c r="R6" s="62">
        <f t="shared" si="0"/>
        <v>296.77767624149334</v>
      </c>
      <c r="S6" s="62">
        <f ca="1">AVERAGE(OFFSET($R$3,0,0,'Données projet'!$E$9+1,1))-AVERAGE(OFFSET($H$3,0,0,'Données projet'!$E$9+1,1))</f>
        <v>322.63846641467165</v>
      </c>
      <c r="T6" s="62">
        <f t="shared" si="34"/>
        <v>435.17386576419966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6.2222222222222223</v>
      </c>
      <c r="AI6" s="14">
        <f>IF('Données projet'!$A$62&gt;35,AI5+AH6-AQ5,IF(A6&lt;'Données projet'!$A$62,$AF$205^A6,IF(A6='Données projet'!$A$62,'Données projet'!$B$62,AI5+AH6-AQ5)))</f>
        <v>2.1955146386099229</v>
      </c>
      <c r="AJ6" s="14">
        <f>AI6*VLOOKUP('Données projet'!$B$10,Paramètres!$A$1:$I$89,3,0)*VLOOKUP('Données projet'!$B$10,Paramètres!$A$1:$I$89,5,0)</f>
        <v>1.3700011344925918</v>
      </c>
      <c r="AK6" s="14">
        <f t="shared" si="35"/>
        <v>0.60863745619068288</v>
      </c>
      <c r="AL6" s="22">
        <f t="shared" si="4"/>
        <v>3.4461288787733699</v>
      </c>
      <c r="AM6" s="62">
        <f t="shared" si="5"/>
        <v>296.77946221210669</v>
      </c>
      <c r="AN6" s="62">
        <f ca="1">AVERAGE(OFFSET($AM$3,0,0,'Données projet'!$E$10+1,1))-AVERAGE(OFFSET($H$3,0,0,'Données projet'!$E$10+1,1))</f>
        <v>175.05987582828078</v>
      </c>
      <c r="AO6" s="62">
        <f t="shared" si="36"/>
        <v>268.54782308462387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5.2912820512820513</v>
      </c>
      <c r="BD6" s="13">
        <f>IF('Données projet'!$A$88&gt;35,BD5+BC6-BL5,IF(A6&lt;'Données projet'!$A$88,$BA$205^A6,IF(A6='Données projet'!$A$88,'Données projet'!$B$88,BD5+BC6-BL5)))</f>
        <v>1.6598476070807464</v>
      </c>
      <c r="BE6" s="14">
        <f>BD6*VLOOKUP('Données projet'!$B$11,Paramètres!$A$1:$I$89,3,0)*VLOOKUP('Données projet'!$B$11,Paramètres!$A$1:$I$89,5,0)</f>
        <v>0.77680868011378923</v>
      </c>
      <c r="BF6" s="14">
        <f t="shared" si="37"/>
        <v>0.36866641595972582</v>
      </c>
      <c r="BG6" s="22">
        <f t="shared" si="7"/>
        <v>1.9950357923280386</v>
      </c>
      <c r="BH6" s="62">
        <f t="shared" si="8"/>
        <v>295.32836912566137</v>
      </c>
      <c r="BI6" s="62">
        <f ca="1">AVERAGE(OFFSET($BH$3,0,0,'Données projet'!$E$11+1,1))-AVERAGE(OFFSET($H$3,0,0,'Données projet'!$E$11+1,1))</f>
        <v>183.46485104601493</v>
      </c>
      <c r="BJ6" s="62">
        <f t="shared" si="38"/>
        <v>127.47790120677581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3.8181818181818183</v>
      </c>
      <c r="BY6" s="13">
        <f>IF('Données projet'!$A$114&gt;35,BY5+BX6-CG5,IF(A6&lt;'Données projet'!$A$114,$BV$205^A6,IF(A6='Données projet'!$A$114,'Données projet'!$B$114,BY5+BX6-CG5)))</f>
        <v>1.8297919845568136</v>
      </c>
      <c r="BZ6" s="14">
        <f>BY6*VLOOKUP('Données projet'!$B$12,Paramètres!$A$1:$I$89,3,0)*VLOOKUP('Données projet'!$B$12,Paramètres!$A$1:$I$89,5,0)</f>
        <v>1.0466410151664975</v>
      </c>
      <c r="CA6" s="14">
        <f t="shared" si="39"/>
        <v>0.47978355319802907</v>
      </c>
      <c r="CB6" s="22">
        <f t="shared" si="10"/>
        <v>2.6585227899015504</v>
      </c>
      <c r="CC6" s="62">
        <f t="shared" si="11"/>
        <v>295.99185612323487</v>
      </c>
      <c r="CD6" s="62">
        <f ca="1">AVERAGE(OFFSET($CC$3,0,0,'Données projet'!$E$12+1,1))-AVERAGE(OFFSET($H$3,0,0,'Données projet'!$E$12+1,1))</f>
        <v>228.06050741667258</v>
      </c>
      <c r="CE6" s="62">
        <f t="shared" si="40"/>
        <v>191.94885821983536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1.9</v>
      </c>
      <c r="CT6" s="13">
        <f>IF('Données projet'!$A$140&gt;35,CT5+CS6-DB5,IF(A6&lt;'Données projet'!$A$140,$CQ$205^A6,IF(A6='Données projet'!$A$140,'Données projet'!$B$140,CT5+CS6-DB5)))</f>
        <v>2.4189454814875879</v>
      </c>
      <c r="CU6" s="18">
        <f>CT6*VLOOKUP('Données projet'!$B$13,Paramètres!$A$1:$I$89,3,0)*VLOOKUP('Données projet'!$B$13,Paramètres!$A$1:$I$89,5,0)</f>
        <v>1.9245130250715252</v>
      </c>
      <c r="CV6" s="14">
        <f t="shared" si="41"/>
        <v>0.82182239561499026</v>
      </c>
      <c r="CW6" s="22">
        <f t="shared" si="13"/>
        <v>4.7832008576956815</v>
      </c>
      <c r="CX6" s="62">
        <f t="shared" si="14"/>
        <v>298.11653419102902</v>
      </c>
      <c r="CY6" s="62">
        <f ca="1">AVERAGE(OFFSET($CX$3,0,0,'Données projet'!$E$13+1,1))-AVERAGE(OFFSET($H$3,0,0,'Données projet'!$E$13+1,1))</f>
        <v>343.37244130003143</v>
      </c>
      <c r="CZ6" s="62">
        <f t="shared" si="42"/>
        <v>318.38876834819763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1.5053596184946649</v>
      </c>
      <c r="DQ6" s="14">
        <f t="shared" si="43"/>
        <v>0.66147738405820555</v>
      </c>
      <c r="DR6" s="22">
        <f t="shared" si="16"/>
        <v>3.7739077794462492</v>
      </c>
      <c r="DS6" s="62">
        <f t="shared" si="17"/>
        <v>297.10724111277955</v>
      </c>
      <c r="DT6" s="62">
        <f ca="1">AVERAGE(OFFSET($DS$3,0,0,'Données projet'!$E$14+1,1))-AVERAGE(OFFSET($H$3,0,0,'Données projet'!$E$14+1,1))</f>
        <v>263.81634201637729</v>
      </c>
      <c r="DU6" s="62">
        <f t="shared" si="44"/>
        <v>302.03767435507262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12</v>
      </c>
      <c r="N7" s="14">
        <f>IF('Données projet'!$A$36&gt;35,N6+M7-V6,IF(A7&lt;'Données projet'!$A$36,$K$205^A7,IF(A7='Données projet'!$A$36,'Données projet'!$B$36,N6+M7-V6)))</f>
        <v>3.3019272488946267</v>
      </c>
      <c r="O7" s="14">
        <f>N7*VLOOKUP('Données projet'!$B$9,Paramètres!$A$1:$I$89,3,0)*VLOOKUP('Données projet'!$B$9,Paramètres!$A$1:$I$89,5,0)</f>
        <v>1.8457773321320965</v>
      </c>
      <c r="P7" s="14">
        <f t="shared" si="33"/>
        <v>0.79204179901823812</v>
      </c>
      <c r="Q7" s="22">
        <f t="shared" si="2"/>
        <v>4.5942016534201651</v>
      </c>
      <c r="R7" s="62">
        <f t="shared" si="0"/>
        <v>297.92753498675347</v>
      </c>
      <c r="S7" s="62">
        <f ca="1">AVERAGE(OFFSET($R$3,0,0,'Données projet'!$E$9+1,1))-AVERAGE(OFFSET($H$3,0,0,'Données projet'!$E$9+1,1))</f>
        <v>322.63846641467165</v>
      </c>
      <c r="T7" s="62">
        <f t="shared" si="34"/>
        <v>435.17386576419966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6.2222222222222223</v>
      </c>
      <c r="AI7" s="14">
        <f>IF('Données projet'!$A$62&gt;35,AI6+AH7-AQ6,IF(A7&lt;'Données projet'!$A$62,$AF$205^A7,IF(A7='Données projet'!$A$62,'Données projet'!$B$62,AI6+AH7-AQ6)))</f>
        <v>2.8535256637456983</v>
      </c>
      <c r="AJ7" s="14">
        <f>AI7*VLOOKUP('Données projet'!$B$10,Paramètres!$A$1:$I$89,3,0)*VLOOKUP('Données projet'!$B$10,Paramètres!$A$1:$I$89,5,0)</f>
        <v>1.7806000141773157</v>
      </c>
      <c r="AK7" s="14">
        <f t="shared" si="35"/>
        <v>0.76727758599241935</v>
      </c>
      <c r="AL7" s="22">
        <f t="shared" si="4"/>
        <v>4.4375534869622877</v>
      </c>
      <c r="AM7" s="62">
        <f t="shared" si="5"/>
        <v>297.77088682029563</v>
      </c>
      <c r="AN7" s="62">
        <f ca="1">AVERAGE(OFFSET($AM$3,0,0,'Données projet'!$E$10+1,1))-AVERAGE(OFFSET($H$3,0,0,'Données projet'!$E$10+1,1))</f>
        <v>175.05987582828078</v>
      </c>
      <c r="AO7" s="62">
        <f t="shared" si="36"/>
        <v>268.54782308462387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5.2912820512820513</v>
      </c>
      <c r="BD7" s="13">
        <f>IF('Données projet'!$A$88&gt;35,BD6+BC7-BL6,IF(A7&lt;'Données projet'!$A$88,$BA$205^A7,IF(A7='Données projet'!$A$88,'Données projet'!$B$88,BD6+BC7-BL6)))</f>
        <v>1.9652793411974046</v>
      </c>
      <c r="BE7" s="14">
        <f>BD7*VLOOKUP('Données projet'!$B$11,Paramètres!$A$1:$I$89,3,0)*VLOOKUP('Données projet'!$B$11,Paramètres!$A$1:$I$89,5,0)</f>
        <v>0.91975073168038535</v>
      </c>
      <c r="BF7" s="14">
        <f t="shared" si="37"/>
        <v>0.42800712854436657</v>
      </c>
      <c r="BG7" s="22">
        <f t="shared" si="7"/>
        <v>2.347344939891443</v>
      </c>
      <c r="BH7" s="62">
        <f t="shared" si="8"/>
        <v>295.68067827322477</v>
      </c>
      <c r="BI7" s="62">
        <f ca="1">AVERAGE(OFFSET($BH$3,0,0,'Données projet'!$E$11+1,1))-AVERAGE(OFFSET($H$3,0,0,'Données projet'!$E$11+1,1))</f>
        <v>183.46485104601493</v>
      </c>
      <c r="BJ7" s="62">
        <f t="shared" si="38"/>
        <v>127.47790120677581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3.8181818181818183</v>
      </c>
      <c r="BY7" s="13">
        <f>IF('Données projet'!$A$114&gt;35,BY6+BX7-CG6,IF(A7&lt;'Données projet'!$A$114,$BV$205^A7,IF(A7='Données projet'!$A$114,'Données projet'!$B$114,BY6+BX7-CG6)))</f>
        <v>2.2380457551365547</v>
      </c>
      <c r="BZ7" s="14">
        <f>BY7*VLOOKUP('Données projet'!$B$12,Paramètres!$A$1:$I$89,3,0)*VLOOKUP('Données projet'!$B$12,Paramètres!$A$1:$I$89,5,0)</f>
        <v>1.2801621719381093</v>
      </c>
      <c r="CA7" s="14">
        <f t="shared" si="39"/>
        <v>0.57323329822004276</v>
      </c>
      <c r="CB7" s="22">
        <f t="shared" si="10"/>
        <v>3.2279971105254481</v>
      </c>
      <c r="CC7" s="62">
        <f t="shared" si="11"/>
        <v>296.56133044385876</v>
      </c>
      <c r="CD7" s="62">
        <f ca="1">AVERAGE(OFFSET($CC$3,0,0,'Données projet'!$E$12+1,1))-AVERAGE(OFFSET($H$3,0,0,'Données projet'!$E$12+1,1))</f>
        <v>228.06050741667258</v>
      </c>
      <c r="CE7" s="62">
        <f t="shared" si="40"/>
        <v>191.94885821983536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1.9</v>
      </c>
      <c r="CT7" s="13">
        <f>IF('Données projet'!$A$140&gt;35,CT6+CS7-DB6,IF(A7&lt;'Données projet'!$A$140,$CQ$205^A7,IF(A7='Données projet'!$A$140,'Données projet'!$B$140,CT6+CS7-DB6)))</f>
        <v>3.247143191135669</v>
      </c>
      <c r="CU7" s="18">
        <f>CT7*VLOOKUP('Données projet'!$B$13,Paramètres!$A$1:$I$89,3,0)*VLOOKUP('Données projet'!$B$13,Paramètres!$A$1:$I$89,5,0)</f>
        <v>2.5834271228675387</v>
      </c>
      <c r="CV7" s="14">
        <f t="shared" si="41"/>
        <v>1.066028069701316</v>
      </c>
      <c r="CW7" s="22">
        <f t="shared" si="13"/>
        <v>6.3561344603907548</v>
      </c>
      <c r="CX7" s="62">
        <f t="shared" si="14"/>
        <v>299.68946779372408</v>
      </c>
      <c r="CY7" s="62">
        <f ca="1">AVERAGE(OFFSET($CX$3,0,0,'Données projet'!$E$13+1,1))-AVERAGE(OFFSET($H$3,0,0,'Données projet'!$E$13+1,1))</f>
        <v>343.37244130003143</v>
      </c>
      <c r="CZ7" s="62">
        <f t="shared" si="42"/>
        <v>318.38876834819763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1.9132843993864705</v>
      </c>
      <c r="DQ7" s="14">
        <f t="shared" si="43"/>
        <v>0.81758413948982178</v>
      </c>
      <c r="DR7" s="22">
        <f t="shared" si="16"/>
        <v>4.7562627052095419</v>
      </c>
      <c r="DS7" s="62">
        <f t="shared" si="17"/>
        <v>298.08959603854288</v>
      </c>
      <c r="DT7" s="62">
        <f ca="1">AVERAGE(OFFSET($DS$3,0,0,'Données projet'!$E$14+1,1))-AVERAGE(OFFSET($H$3,0,0,'Données projet'!$E$14+1,1))</f>
        <v>263.81634201637729</v>
      </c>
      <c r="DU7" s="62">
        <f t="shared" si="44"/>
        <v>302.03767435507262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12</v>
      </c>
      <c r="N8" s="14">
        <f>IF('Données projet'!$A$36&gt;35,N7+M8-V7,IF(A8&lt;'Données projet'!$A$36,$K$205^A8,IF(A8='Données projet'!$A$36,'Données projet'!$B$36,N7+M8-V7)))</f>
        <v>4.4510182535424141</v>
      </c>
      <c r="O8" s="14">
        <f>N8*VLOOKUP('Données projet'!$B$9,Paramètres!$A$1:$I$89,3,0)*VLOOKUP('Données projet'!$B$9,Paramètres!$A$1:$I$89,5,0)</f>
        <v>2.4881192037302093</v>
      </c>
      <c r="P8" s="14">
        <f t="shared" si="33"/>
        <v>1.0312022272259553</v>
      </c>
      <c r="Q8" s="22">
        <f t="shared" si="2"/>
        <v>6.1294848255819865</v>
      </c>
      <c r="R8" s="62">
        <f t="shared" si="0"/>
        <v>299.4628181589153</v>
      </c>
      <c r="S8" s="62">
        <f ca="1">AVERAGE(OFFSET($R$3,0,0,'Données projet'!$E$9+1,1))-AVERAGE(OFFSET($H$3,0,0,'Données projet'!$E$9+1,1))</f>
        <v>322.63846641467165</v>
      </c>
      <c r="T8" s="62">
        <f t="shared" si="34"/>
        <v>435.17386576419966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6.2222222222222223</v>
      </c>
      <c r="AI8" s="14">
        <f>IF('Données projet'!$A$62&gt;35,AI7+AH8-AQ7,IF(A8&lt;'Données projet'!$A$62,$AF$205^A8,IF(A8='Données projet'!$A$62,'Données projet'!$B$62,AI7+AH8-AQ7)))</f>
        <v>3.7087471750180505</v>
      </c>
      <c r="AJ8" s="14">
        <f>AI8*VLOOKUP('Données projet'!$B$10,Paramètres!$A$1:$I$89,3,0)*VLOOKUP('Données projet'!$B$10,Paramètres!$A$1:$I$89,5,0)</f>
        <v>2.3142582372112632</v>
      </c>
      <c r="AK8" s="14">
        <f t="shared" si="35"/>
        <v>0.96726694681425085</v>
      </c>
      <c r="AL8" s="22">
        <f t="shared" si="4"/>
        <v>5.7153230288444377</v>
      </c>
      <c r="AM8" s="62">
        <f t="shared" si="5"/>
        <v>299.04865636217778</v>
      </c>
      <c r="AN8" s="62">
        <f ca="1">AVERAGE(OFFSET($AM$3,0,0,'Données projet'!$E$10+1,1))-AVERAGE(OFFSET($H$3,0,0,'Données projet'!$E$10+1,1))</f>
        <v>175.05987582828078</v>
      </c>
      <c r="AO8" s="62">
        <f t="shared" si="36"/>
        <v>268.54782308462387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5.2912820512820513</v>
      </c>
      <c r="BD8" s="13">
        <f>IF('Données projet'!$A$88&gt;35,BD7+BC8-BL7,IF(A8&lt;'Données projet'!$A$88,$BA$205^A8,IF(A8='Données projet'!$A$88,'Données projet'!$B$88,BD7+BC8-BL7)))</f>
        <v>2.3269141531192479</v>
      </c>
      <c r="BE8" s="14">
        <f>BD8*VLOOKUP('Données projet'!$B$11,Paramètres!$A$1:$I$89,3,0)*VLOOKUP('Données projet'!$B$11,Paramètres!$A$1:$I$89,5,0)</f>
        <v>1.0889958236598081</v>
      </c>
      <c r="BF8" s="14">
        <f t="shared" si="37"/>
        <v>0.49689934898980909</v>
      </c>
      <c r="BG8" s="22">
        <f t="shared" si="7"/>
        <v>2.7621007590314162</v>
      </c>
      <c r="BH8" s="62">
        <f t="shared" si="8"/>
        <v>296.09543409236471</v>
      </c>
      <c r="BI8" s="62">
        <f ca="1">AVERAGE(OFFSET($BH$3,0,0,'Données projet'!$E$11+1,1))-AVERAGE(OFFSET($H$3,0,0,'Données projet'!$E$11+1,1))</f>
        <v>183.46485104601493</v>
      </c>
      <c r="BJ8" s="62">
        <f t="shared" si="38"/>
        <v>127.47790120677581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3.8181818181818183</v>
      </c>
      <c r="BY8" s="13">
        <f>IF('Données projet'!$A$114&gt;35,BY7+BX8-CG7,IF(A8&lt;'Données projet'!$A$114,$BV$205^A8,IF(A8='Données projet'!$A$114,'Données projet'!$B$114,BY7+BX8-CG7)))</f>
        <v>2.7373870059322205</v>
      </c>
      <c r="BZ8" s="14">
        <f>BY8*VLOOKUP('Données projet'!$B$12,Paramètres!$A$1:$I$89,3,0)*VLOOKUP('Données projet'!$B$12,Paramètres!$A$1:$I$89,5,0)</f>
        <v>1.5657853673932303</v>
      </c>
      <c r="CA8" s="14">
        <f t="shared" si="39"/>
        <v>0.68488469852279721</v>
      </c>
      <c r="CB8" s="22">
        <f t="shared" si="10"/>
        <v>3.919917031470415</v>
      </c>
      <c r="CC8" s="62">
        <f t="shared" si="11"/>
        <v>297.2532503648037</v>
      </c>
      <c r="CD8" s="62">
        <f ca="1">AVERAGE(OFFSET($CC$3,0,0,'Données projet'!$E$12+1,1))-AVERAGE(OFFSET($H$3,0,0,'Données projet'!$E$12+1,1))</f>
        <v>228.06050741667258</v>
      </c>
      <c r="CE8" s="62">
        <f t="shared" si="40"/>
        <v>191.94885821983536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1.9</v>
      </c>
      <c r="CT8" s="13">
        <f>IF('Données projet'!$A$140&gt;35,CT7+CS8-DB7,IF(A8&lt;'Données projet'!$A$140,$CQ$205^A8,IF(A8='Données projet'!$A$140,'Données projet'!$B$140,CT7+CS8-DB7)))</f>
        <v>4.3588989435406749</v>
      </c>
      <c r="CU8" s="18">
        <f>CT8*VLOOKUP('Données projet'!$B$13,Paramètres!$A$1:$I$89,3,0)*VLOOKUP('Données projet'!$B$13,Paramètres!$A$1:$I$89,5,0)</f>
        <v>3.467939999480961</v>
      </c>
      <c r="CV8" s="14">
        <f t="shared" si="41"/>
        <v>1.382799801337496</v>
      </c>
      <c r="CW8" s="22">
        <f t="shared" si="13"/>
        <v>8.4483718197588118</v>
      </c>
      <c r="CX8" s="62">
        <f t="shared" si="14"/>
        <v>301.7817051530921</v>
      </c>
      <c r="CY8" s="62">
        <f ca="1">AVERAGE(OFFSET($CX$3,0,0,'Données projet'!$E$13+1,1))-AVERAGE(OFFSET($H$3,0,0,'Données projet'!$E$13+1,1))</f>
        <v>343.37244130003143</v>
      </c>
      <c r="CZ8" s="62">
        <f t="shared" si="42"/>
        <v>318.38876834819763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2.4317492962885807</v>
      </c>
      <c r="DQ8" s="14">
        <f t="shared" si="43"/>
        <v>1.010531639108154</v>
      </c>
      <c r="DR8" s="22">
        <f t="shared" si="16"/>
        <v>5.9953059624826457</v>
      </c>
      <c r="DS8" s="62">
        <f t="shared" si="17"/>
        <v>299.32863929581595</v>
      </c>
      <c r="DT8" s="62">
        <f ca="1">AVERAGE(OFFSET($DS$3,0,0,'Données projet'!$E$14+1,1))-AVERAGE(OFFSET($H$3,0,0,'Données projet'!$E$14+1,1))</f>
        <v>263.81634201637729</v>
      </c>
      <c r="DU8" s="62">
        <f t="shared" si="44"/>
        <v>302.03767435507262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12</v>
      </c>
      <c r="N9" s="14">
        <f>IF('Données projet'!$A$36&gt;35,N8+M9-V8,IF(A9&lt;'Données projet'!$A$36,$K$205^A9,IF(A9='Données projet'!$A$36,'Données projet'!$B$36,N8+M9-V8)))</f>
        <v>6</v>
      </c>
      <c r="O9" s="14">
        <f>N9*VLOOKUP('Données projet'!$B$9,Paramètres!$A$1:$I$89,3,0)*VLOOKUP('Données projet'!$B$9,Paramètres!$A$1:$I$89,5,0)</f>
        <v>3.3540000000000001</v>
      </c>
      <c r="P9" s="14">
        <f t="shared" si="33"/>
        <v>1.3425781754875346</v>
      </c>
      <c r="Q9" s="22">
        <f t="shared" si="2"/>
        <v>8.1798736556407885</v>
      </c>
      <c r="R9" s="62">
        <f t="shared" si="0"/>
        <v>301.5132069889741</v>
      </c>
      <c r="S9" s="62">
        <f ca="1">AVERAGE(OFFSET($R$3,0,0,'Données projet'!$E$9+1,1))-AVERAGE(OFFSET($H$3,0,0,'Données projet'!$E$9+1,1))</f>
        <v>322.63846641467165</v>
      </c>
      <c r="T9" s="62">
        <f t="shared" si="34"/>
        <v>435.17386576419966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6.2222222222222223</v>
      </c>
      <c r="AI9" s="14">
        <f>IF('Données projet'!$A$62&gt;35,AI8+AH9-AQ8,IF(A9&lt;'Données projet'!$A$62,$AF$205^A9,IF(A9='Données projet'!$A$62,'Données projet'!$B$62,AI8+AH9-AQ8)))</f>
        <v>4.8202845283504612</v>
      </c>
      <c r="AJ9" s="14">
        <f>AI9*VLOOKUP('Données projet'!$B$10,Paramètres!$A$1:$I$89,3,0)*VLOOKUP('Données projet'!$B$10,Paramètres!$A$1:$I$89,5,0)</f>
        <v>3.0078575456906878</v>
      </c>
      <c r="AK9" s="14">
        <f t="shared" si="35"/>
        <v>1.2193831326236693</v>
      </c>
      <c r="AL9" s="22">
        <f t="shared" si="4"/>
        <v>7.3624441813975059</v>
      </c>
      <c r="AM9" s="62">
        <f t="shared" si="5"/>
        <v>300.69577751473082</v>
      </c>
      <c r="AN9" s="62">
        <f ca="1">AVERAGE(OFFSET($AM$3,0,0,'Données projet'!$E$10+1,1))-AVERAGE(OFFSET($H$3,0,0,'Données projet'!$E$10+1,1))</f>
        <v>175.05987582828078</v>
      </c>
      <c r="AO9" s="62">
        <f t="shared" si="36"/>
        <v>268.54782308462387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5.2912820512820513</v>
      </c>
      <c r="BD9" s="13">
        <f>IF('Données projet'!$A$88&gt;35,BD8+BC9-BL8,IF(A9&lt;'Données projet'!$A$88,$BA$205^A9,IF(A9='Données projet'!$A$88,'Données projet'!$B$88,BD8+BC9-BL8)))</f>
        <v>2.7550940787316796</v>
      </c>
      <c r="BE9" s="14">
        <f>BD9*VLOOKUP('Données projet'!$B$11,Paramètres!$A$1:$I$89,3,0)*VLOOKUP('Données projet'!$B$11,Paramètres!$A$1:$I$89,5,0)</f>
        <v>1.289384028846426</v>
      </c>
      <c r="BF9" s="14">
        <f t="shared" si="37"/>
        <v>0.57688049230914107</v>
      </c>
      <c r="BG9" s="22">
        <f t="shared" si="7"/>
        <v>3.2504107076792792</v>
      </c>
      <c r="BH9" s="62">
        <f t="shared" si="8"/>
        <v>296.58374404101261</v>
      </c>
      <c r="BI9" s="62">
        <f ca="1">AVERAGE(OFFSET($BH$3,0,0,'Données projet'!$E$11+1,1))-AVERAGE(OFFSET($H$3,0,0,'Données projet'!$E$11+1,1))</f>
        <v>183.46485104601493</v>
      </c>
      <c r="BJ9" s="62">
        <f t="shared" si="38"/>
        <v>127.47790120677581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3.8181818181818183</v>
      </c>
      <c r="BY9" s="13">
        <f>IF('Données projet'!$A$114&gt;35,BY8+BX9-CG8,IF(A9&lt;'Données projet'!$A$114,$BV$205^A9,IF(A9='Données projet'!$A$114,'Données projet'!$B$114,BY8+BX9-CG8)))</f>
        <v>3.3481387067483621</v>
      </c>
      <c r="BZ9" s="14">
        <f>BY9*VLOOKUP('Données projet'!$B$12,Paramètres!$A$1:$I$89,3,0)*VLOOKUP('Données projet'!$B$12,Paramètres!$A$1:$I$89,5,0)</f>
        <v>1.9151353402600633</v>
      </c>
      <c r="CA9" s="14">
        <f t="shared" si="39"/>
        <v>0.81828297785067872</v>
      </c>
      <c r="CB9" s="22">
        <f t="shared" si="10"/>
        <v>4.7607035707095422</v>
      </c>
      <c r="CC9" s="62">
        <f t="shared" si="11"/>
        <v>298.09403690404287</v>
      </c>
      <c r="CD9" s="62">
        <f ca="1">AVERAGE(OFFSET($CC$3,0,0,'Données projet'!$E$12+1,1))-AVERAGE(OFFSET($H$3,0,0,'Données projet'!$E$12+1,1))</f>
        <v>228.06050741667258</v>
      </c>
      <c r="CE9" s="62">
        <f t="shared" si="40"/>
        <v>191.94885821983536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1.9</v>
      </c>
      <c r="CT9" s="13">
        <f>IF('Données projet'!$A$140&gt;35,CT8+CS9-DB8,IF(A9&lt;'Données projet'!$A$140,$CQ$205^A9,IF(A9='Données projet'!$A$140,'Données projet'!$B$140,CT8+CS9-DB8)))</f>
        <v>5.8512972424092187</v>
      </c>
      <c r="CU9" s="18">
        <f>CT9*VLOOKUP('Données projet'!$B$13,Paramètres!$A$1:$I$89,3,0)*VLOOKUP('Données projet'!$B$13,Paramètres!$A$1:$I$89,5,0)</f>
        <v>4.6552920860607747</v>
      </c>
      <c r="CV9" s="14">
        <f t="shared" si="41"/>
        <v>1.7937006960002178</v>
      </c>
      <c r="CW9" s="22">
        <f t="shared" si="13"/>
        <v>11.231995762089561</v>
      </c>
      <c r="CX9" s="62">
        <f t="shared" si="14"/>
        <v>304.5653290954229</v>
      </c>
      <c r="CY9" s="62">
        <f ca="1">AVERAGE(OFFSET($CX$3,0,0,'Données projet'!$E$13+1,1))-AVERAGE(OFFSET($H$3,0,0,'Données projet'!$E$13+1,1))</f>
        <v>343.37244130003143</v>
      </c>
      <c r="CZ9" s="62">
        <f t="shared" si="42"/>
        <v>318.38876834819763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3.0907086483829831</v>
      </c>
      <c r="DQ9" s="14">
        <f t="shared" si="43"/>
        <v>1.2490141923201104</v>
      </c>
      <c r="DR9" s="22">
        <f t="shared" si="16"/>
        <v>7.5583506142245538</v>
      </c>
      <c r="DS9" s="62">
        <f t="shared" si="17"/>
        <v>300.89168394755785</v>
      </c>
      <c r="DT9" s="62">
        <f ca="1">AVERAGE(OFFSET($DS$3,0,0,'Données projet'!$E$14+1,1))-AVERAGE(OFFSET($H$3,0,0,'Données projet'!$E$14+1,1))</f>
        <v>263.81634201637729</v>
      </c>
      <c r="DU9" s="62">
        <f t="shared" si="44"/>
        <v>302.03767435507262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12</v>
      </c>
      <c r="N10" s="14">
        <f>IF('Données projet'!$A$36&gt;35,N9+M10-V9,IF(A10&lt;'Données projet'!$A$36,$K$205^A10,IF(A10='Données projet'!$A$36,'Données projet'!$B$36,N9+M10-V9)))</f>
        <v>8.0880369275836674</v>
      </c>
      <c r="O10" s="14">
        <f>N10*VLOOKUP('Données projet'!$B$9,Paramètres!$A$1:$I$89,3,0)*VLOOKUP('Données projet'!$B$9,Paramètres!$A$1:$I$89,5,0)</f>
        <v>4.52121264251927</v>
      </c>
      <c r="P10" s="14">
        <f t="shared" si="33"/>
        <v>1.7479754307207032</v>
      </c>
      <c r="Q10" s="22">
        <f t="shared" si="2"/>
        <v>10.918835894226286</v>
      </c>
      <c r="R10" s="62">
        <f t="shared" si="0"/>
        <v>304.25216922755959</v>
      </c>
      <c r="S10" s="62">
        <f ca="1">AVERAGE(OFFSET($R$3,0,0,'Données projet'!$E$9+1,1))-AVERAGE(OFFSET($H$3,0,0,'Données projet'!$E$9+1,1))</f>
        <v>322.63846641467165</v>
      </c>
      <c r="T10" s="62">
        <f t="shared" si="34"/>
        <v>435.17386576419966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6.2222222222222223</v>
      </c>
      <c r="AI10" s="14">
        <f>IF('Données projet'!$A$62&gt;35,AI9+AH10-AQ9,IF(A10&lt;'Données projet'!$A$62,$AF$205^A10,IF(A10='Données projet'!$A$62,'Données projet'!$B$62,AI9+AH10-AQ9)))</f>
        <v>6.2649573664027773</v>
      </c>
      <c r="AJ10" s="14">
        <f>AI10*VLOOKUP('Données projet'!$B$10,Paramètres!$A$1:$I$89,3,0)*VLOOKUP('Données projet'!$B$10,Paramètres!$A$1:$I$89,5,0)</f>
        <v>3.9093333966353332</v>
      </c>
      <c r="AK10" s="14">
        <f t="shared" si="35"/>
        <v>1.5372128955964925</v>
      </c>
      <c r="AL10" s="22">
        <f t="shared" si="4"/>
        <v>9.4860681256370967</v>
      </c>
      <c r="AM10" s="62">
        <f t="shared" si="5"/>
        <v>302.81940145897039</v>
      </c>
      <c r="AN10" s="62">
        <f ca="1">AVERAGE(OFFSET($AM$3,0,0,'Données projet'!$E$10+1,1))-AVERAGE(OFFSET($H$3,0,0,'Données projet'!$E$10+1,1))</f>
        <v>175.05987582828078</v>
      </c>
      <c r="AO10" s="62">
        <f t="shared" si="36"/>
        <v>268.54782308462387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5.2912820512820513</v>
      </c>
      <c r="BD10" s="13">
        <f>IF('Données projet'!$A$88&gt;35,BD9+BC10-BL9,IF(A10&lt;'Données projet'!$A$88,$BA$205^A10,IF(A10='Données projet'!$A$88,'Données projet'!$B$88,BD9+BC10-BL9)))</f>
        <v>3.2620642117317376</v>
      </c>
      <c r="BE10" s="14">
        <f>BD10*VLOOKUP('Données projet'!$B$11,Paramètres!$A$1:$I$89,3,0)*VLOOKUP('Données projet'!$B$11,Paramètres!$A$1:$I$89,5,0)</f>
        <v>1.5266460510904531</v>
      </c>
      <c r="BF10" s="14">
        <f t="shared" si="37"/>
        <v>0.66973543652934475</v>
      </c>
      <c r="BG10" s="22">
        <f t="shared" si="7"/>
        <v>3.825364424271148</v>
      </c>
      <c r="BH10" s="62">
        <f t="shared" si="8"/>
        <v>297.15869775760444</v>
      </c>
      <c r="BI10" s="62">
        <f ca="1">AVERAGE(OFFSET($BH$3,0,0,'Données projet'!$E$11+1,1))-AVERAGE(OFFSET($H$3,0,0,'Données projet'!$E$11+1,1))</f>
        <v>183.46485104601493</v>
      </c>
      <c r="BJ10" s="62">
        <f t="shared" si="38"/>
        <v>127.47790120677581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3.8181818181818183</v>
      </c>
      <c r="BY10" s="13">
        <f>IF('Données projet'!$A$114&gt;35,BY9+BX10-CG9,IF(A10&lt;'Données projet'!$A$114,$BV$205^A10,IF(A10='Données projet'!$A$114,'Données projet'!$B$114,BY9+BX10-CG9)))</f>
        <v>4.0951581838202689</v>
      </c>
      <c r="BZ10" s="14">
        <f>BY10*VLOOKUP('Données projet'!$B$12,Paramètres!$A$1:$I$89,3,0)*VLOOKUP('Données projet'!$B$12,Paramètres!$A$1:$I$89,5,0)</f>
        <v>2.3424304811451937</v>
      </c>
      <c r="CA10" s="14">
        <f t="shared" si="39"/>
        <v>0.97766388018944239</v>
      </c>
      <c r="CB10" s="22">
        <f t="shared" si="10"/>
        <v>5.7824976793244902</v>
      </c>
      <c r="CC10" s="62">
        <f t="shared" si="11"/>
        <v>299.11583101265779</v>
      </c>
      <c r="CD10" s="62">
        <f ca="1">AVERAGE(OFFSET($CC$3,0,0,'Données projet'!$E$12+1,1))-AVERAGE(OFFSET($H$3,0,0,'Données projet'!$E$12+1,1))</f>
        <v>228.06050741667258</v>
      </c>
      <c r="CE10" s="62">
        <f t="shared" si="40"/>
        <v>191.94885821983536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1.9</v>
      </c>
      <c r="CT10" s="13">
        <f>IF('Données projet'!$A$140&gt;35,CT9+CS10-DB9,IF(A10&lt;'Données projet'!$A$140,$CQ$205^A10,IF(A10='Données projet'!$A$140,'Données projet'!$B$140,CT9+CS10-DB9)))</f>
        <v>7.8546623499408135</v>
      </c>
      <c r="CU10" s="18">
        <f>CT10*VLOOKUP('Données projet'!$B$13,Paramètres!$A$1:$I$89,3,0)*VLOOKUP('Données projet'!$B$13,Paramètres!$A$1:$I$89,5,0)</f>
        <v>6.2491693656129108</v>
      </c>
      <c r="CV10" s="14">
        <f t="shared" si="41"/>
        <v>2.326701366112224</v>
      </c>
      <c r="CW10" s="22">
        <f t="shared" si="13"/>
        <v>14.936308191087944</v>
      </c>
      <c r="CX10" s="62">
        <f t="shared" si="14"/>
        <v>308.26964152442127</v>
      </c>
      <c r="CY10" s="62">
        <f ca="1">AVERAGE(OFFSET($CX$3,0,0,'Données projet'!$E$13+1,1))-AVERAGE(OFFSET($H$3,0,0,'Données projet'!$E$13+1,1))</f>
        <v>343.37244130003143</v>
      </c>
      <c r="CZ10" s="62">
        <f t="shared" si="42"/>
        <v>318.38876834819763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3.9282338700657551</v>
      </c>
      <c r="DQ10" s="14">
        <f t="shared" si="43"/>
        <v>1.5437779404847436</v>
      </c>
      <c r="DR10" s="22">
        <f t="shared" si="16"/>
        <v>9.5304205700421178</v>
      </c>
      <c r="DS10" s="62">
        <f t="shared" si="17"/>
        <v>302.86375390337543</v>
      </c>
      <c r="DT10" s="62">
        <f ca="1">AVERAGE(OFFSET($DS$3,0,0,'Données projet'!$E$14+1,1))-AVERAGE(OFFSET($H$3,0,0,'Données projet'!$E$14+1,1))</f>
        <v>263.81634201637729</v>
      </c>
      <c r="DU10" s="62">
        <f t="shared" si="44"/>
        <v>302.03767435507262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12</v>
      </c>
      <c r="N11" s="14">
        <f>IF('Données projet'!$A$36&gt;35,N10+M11-V10,IF(A11&lt;'Données projet'!$A$36,$K$205^A11,IF(A11='Données projet'!$A$36,'Données projet'!$B$36,N10+M11-V10)))</f>
        <v>10.902723556992838</v>
      </c>
      <c r="O11" s="14">
        <f>N11*VLOOKUP('Données projet'!$B$9,Paramètres!$A$1:$I$89,3,0)*VLOOKUP('Données projet'!$B$9,Paramètres!$A$1:$I$89,5,0)</f>
        <v>6.0946224683589971</v>
      </c>
      <c r="P11" s="14">
        <f t="shared" si="33"/>
        <v>2.2757841310013132</v>
      </c>
      <c r="Q11" s="22">
        <f t="shared" si="2"/>
        <v>14.578458160552538</v>
      </c>
      <c r="R11" s="62">
        <f t="shared" si="0"/>
        <v>307.91179149388586</v>
      </c>
      <c r="S11" s="62">
        <f ca="1">AVERAGE(OFFSET($R$3,0,0,'Données projet'!$E$9+1,1))-AVERAGE(OFFSET($H$3,0,0,'Données projet'!$E$9+1,1))</f>
        <v>322.63846641467165</v>
      </c>
      <c r="T11" s="62">
        <f t="shared" si="34"/>
        <v>435.17386576419966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6.2222222222222223</v>
      </c>
      <c r="AI11" s="14">
        <f>IF('Données projet'!$A$62&gt;35,AI10+AH11-AQ10,IF(A11&lt;'Données projet'!$A$62,$AF$205^A11,IF(A11='Données projet'!$A$62,'Données projet'!$B$62,AI10+AH11-AQ10)))</f>
        <v>8.1426087136553278</v>
      </c>
      <c r="AJ11" s="14">
        <f>AI11*VLOOKUP('Données projet'!$B$10,Paramètres!$A$1:$I$89,3,0)*VLOOKUP('Données projet'!$B$10,Paramètres!$A$1:$I$89,5,0)</f>
        <v>5.080987837320925</v>
      </c>
      <c r="AK11" s="14">
        <f t="shared" si="35"/>
        <v>1.9378843475584122</v>
      </c>
      <c r="AL11" s="22">
        <f t="shared" si="4"/>
        <v>12.224535721998178</v>
      </c>
      <c r="AM11" s="62">
        <f t="shared" si="5"/>
        <v>305.55786905533148</v>
      </c>
      <c r="AN11" s="62">
        <f ca="1">AVERAGE(OFFSET($AM$3,0,0,'Données projet'!$E$10+1,1))-AVERAGE(OFFSET($H$3,0,0,'Données projet'!$E$10+1,1))</f>
        <v>175.05987582828078</v>
      </c>
      <c r="AO11" s="62">
        <f t="shared" si="36"/>
        <v>268.54782308462387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5.2912820512820513</v>
      </c>
      <c r="BD11" s="13">
        <f>IF('Données projet'!$A$88&gt;35,BD10+BC11-BL10,IF(A11&lt;'Données projet'!$A$88,$BA$205^A11,IF(A11='Données projet'!$A$88,'Données projet'!$B$88,BD10+BC11-BL10)))</f>
        <v>3.8623228889373045</v>
      </c>
      <c r="BE11" s="14">
        <f>BD11*VLOOKUP('Données projet'!$B$11,Paramètres!$A$1:$I$89,3,0)*VLOOKUP('Données projet'!$B$11,Paramètres!$A$1:$I$89,5,0)</f>
        <v>1.8075671120226584</v>
      </c>
      <c r="BF11" s="14">
        <f t="shared" si="37"/>
        <v>0.77753635444962066</v>
      </c>
      <c r="BG11" s="22">
        <f t="shared" si="7"/>
        <v>4.5023885374392192</v>
      </c>
      <c r="BH11" s="62">
        <f t="shared" si="8"/>
        <v>297.83572187077255</v>
      </c>
      <c r="BI11" s="62">
        <f ca="1">AVERAGE(OFFSET($BH$3,0,0,'Données projet'!$E$11+1,1))-AVERAGE(OFFSET($H$3,0,0,'Données projet'!$E$11+1,1))</f>
        <v>183.46485104601493</v>
      </c>
      <c r="BJ11" s="62">
        <f t="shared" si="38"/>
        <v>127.47790120677581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3.8181818181818183</v>
      </c>
      <c r="BY11" s="13">
        <f>IF('Données projet'!$A$114&gt;35,BY10+BX11-CG10,IF(A11&lt;'Données projet'!$A$114,$BV$205^A11,IF(A11='Données projet'!$A$114,'Données projet'!$B$114,BY10+BX11-CG10)))</f>
        <v>5.008848802084751</v>
      </c>
      <c r="BZ11" s="14">
        <f>BY11*VLOOKUP('Données projet'!$B$12,Paramètres!$A$1:$I$89,3,0)*VLOOKUP('Données projet'!$B$12,Paramètres!$A$1:$I$89,5,0)</f>
        <v>2.8650615147924778</v>
      </c>
      <c r="CA11" s="14">
        <f t="shared" si="39"/>
        <v>1.1680881657072633</v>
      </c>
      <c r="CB11" s="22">
        <f t="shared" si="10"/>
        <v>7.0244023602037151</v>
      </c>
      <c r="CC11" s="62">
        <f t="shared" si="11"/>
        <v>300.35773569353705</v>
      </c>
      <c r="CD11" s="62">
        <f ca="1">AVERAGE(OFFSET($CC$3,0,0,'Données projet'!$E$12+1,1))-AVERAGE(OFFSET($H$3,0,0,'Données projet'!$E$12+1,1))</f>
        <v>228.06050741667258</v>
      </c>
      <c r="CE11" s="62">
        <f t="shared" si="40"/>
        <v>191.94885821983536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1.9</v>
      </c>
      <c r="CT11" s="13">
        <f>IF('Données projet'!$A$140&gt;35,CT10+CS11-DB10,IF(A11&lt;'Données projet'!$A$140,$CQ$205^A11,IF(A11='Données projet'!$A$140,'Données projet'!$B$140,CT10+CS11-DB10)))</f>
        <v>10.543938903738736</v>
      </c>
      <c r="CU11" s="18">
        <f>CT11*VLOOKUP('Données projet'!$B$13,Paramètres!$A$1:$I$89,3,0)*VLOOKUP('Données projet'!$B$13,Paramètres!$A$1:$I$89,5,0)</f>
        <v>8.3887577918145393</v>
      </c>
      <c r="CV11" s="14">
        <f t="shared" si="41"/>
        <v>3.0180839306915423</v>
      </c>
      <c r="CW11" s="22">
        <f t="shared" si="13"/>
        <v>19.866916000031427</v>
      </c>
      <c r="CX11" s="62">
        <f t="shared" si="14"/>
        <v>313.20024933336475</v>
      </c>
      <c r="CY11" s="62">
        <f ca="1">AVERAGE(OFFSET($CX$3,0,0,'Données projet'!$E$13+1,1))-AVERAGE(OFFSET($H$3,0,0,'Données projet'!$E$13+1,1))</f>
        <v>343.37244130003143</v>
      </c>
      <c r="CZ11" s="62">
        <f t="shared" si="42"/>
        <v>318.38876834819763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4.9927130290993551</v>
      </c>
      <c r="DQ11" s="14">
        <f t="shared" si="43"/>
        <v>1.9081050833380053</v>
      </c>
      <c r="DR11" s="22">
        <f t="shared" si="16"/>
        <v>12.018924879161736</v>
      </c>
      <c r="DS11" s="62">
        <f t="shared" si="17"/>
        <v>305.35225821249503</v>
      </c>
      <c r="DT11" s="62">
        <f ca="1">AVERAGE(OFFSET($DS$3,0,0,'Données projet'!$E$14+1,1))-AVERAGE(OFFSET($H$3,0,0,'Données projet'!$E$14+1,1))</f>
        <v>263.81634201637729</v>
      </c>
      <c r="DU11" s="62">
        <f t="shared" si="44"/>
        <v>302.03767435507262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12</v>
      </c>
      <c r="N12" s="14">
        <f>IF('Données projet'!$A$36&gt;35,N11+M12-V11,IF(A12&lt;'Données projet'!$A$36,$K$205^A12,IF(A12='Données projet'!$A$36,'Données projet'!$B$36,N11+M12-V11)))</f>
        <v>14.696938456699069</v>
      </c>
      <c r="O12" s="14">
        <f>N12*VLOOKUP('Données projet'!$B$9,Paramètres!$A$1:$I$89,3,0)*VLOOKUP('Données projet'!$B$9,Paramètres!$A$1:$I$89,5,0)</f>
        <v>8.2155885972947793</v>
      </c>
      <c r="P12" s="14">
        <f t="shared" si="33"/>
        <v>2.9629669387183442</v>
      </c>
      <c r="Q12" s="22">
        <f t="shared" si="2"/>
        <v>19.469317558556188</v>
      </c>
      <c r="R12" s="62">
        <f t="shared" si="0"/>
        <v>312.80265089188953</v>
      </c>
      <c r="S12" s="62">
        <f ca="1">AVERAGE(OFFSET($R$3,0,0,'Données projet'!$E$9+1,1))-AVERAGE(OFFSET($H$3,0,0,'Données projet'!$E$9+1,1))</f>
        <v>322.63846641467165</v>
      </c>
      <c r="T12" s="62">
        <f t="shared" si="34"/>
        <v>435.17386576419966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6.2222222222222223</v>
      </c>
      <c r="AI12" s="14">
        <f>IF('Données projet'!$A$62&gt;35,AI11+AH12-AQ11,IF(A12&lt;'Données projet'!$A$62,$AF$205^A12,IF(A12='Données projet'!$A$62,'Données projet'!$B$62,AI11+AH12-AQ11)))</f>
        <v>10.583005244258365</v>
      </c>
      <c r="AJ12" s="14">
        <f>AI12*VLOOKUP('Données projet'!$B$10,Paramètres!$A$1:$I$89,3,0)*VLOOKUP('Données projet'!$B$10,Paramètres!$A$1:$I$89,5,0)</f>
        <v>6.6037952724172193</v>
      </c>
      <c r="AK12" s="14">
        <f t="shared" si="35"/>
        <v>2.4429900082608067</v>
      </c>
      <c r="AL12" s="22">
        <f t="shared" si="4"/>
        <v>15.75648436384756</v>
      </c>
      <c r="AM12" s="62">
        <f t="shared" si="5"/>
        <v>309.08981769718088</v>
      </c>
      <c r="AN12" s="62">
        <f ca="1">AVERAGE(OFFSET($AM$3,0,0,'Données projet'!$E$10+1,1))-AVERAGE(OFFSET($H$3,0,0,'Données projet'!$E$10+1,1))</f>
        <v>175.05987582828078</v>
      </c>
      <c r="AO12" s="62">
        <f t="shared" si="36"/>
        <v>268.54782308462387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5.2912820512820513</v>
      </c>
      <c r="BD12" s="13">
        <f>IF('Données projet'!$A$88&gt;35,BD11+BC12-BL11,IF(A12&lt;'Données projet'!$A$88,$BA$205^A12,IF(A12='Données projet'!$A$88,'Données projet'!$B$88,BD11+BC12-BL11)))</f>
        <v>4.5730363138651118</v>
      </c>
      <c r="BE12" s="14">
        <f>BD12*VLOOKUP('Données projet'!$B$11,Paramètres!$A$1:$I$89,3,0)*VLOOKUP('Données projet'!$B$11,Paramètres!$A$1:$I$89,5,0)</f>
        <v>2.1401809948888726</v>
      </c>
      <c r="BF12" s="14">
        <f t="shared" si="37"/>
        <v>0.90268895673749705</v>
      </c>
      <c r="BG12" s="22">
        <f t="shared" si="7"/>
        <v>5.2996651657492606</v>
      </c>
      <c r="BH12" s="62">
        <f t="shared" si="8"/>
        <v>298.63299849908259</v>
      </c>
      <c r="BI12" s="62">
        <f ca="1">AVERAGE(OFFSET($BH$3,0,0,'Données projet'!$E$11+1,1))-AVERAGE(OFFSET($H$3,0,0,'Données projet'!$E$11+1,1))</f>
        <v>183.46485104601493</v>
      </c>
      <c r="BJ12" s="62">
        <f t="shared" si="38"/>
        <v>127.47790120677581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3.8181818181818183</v>
      </c>
      <c r="BY12" s="13">
        <f>IF('Données projet'!$A$114&gt;35,BY11+BX12-CG11,IF(A12&lt;'Données projet'!$A$114,$BV$205^A12,IF(A12='Données projet'!$A$114,'Données projet'!$B$114,BY11+BX12-CG11)))</f>
        <v>6.1263973687925679</v>
      </c>
      <c r="BZ12" s="14">
        <f>BY12*VLOOKUP('Données projet'!$B$12,Paramètres!$A$1:$I$89,3,0)*VLOOKUP('Données projet'!$B$12,Paramètres!$A$1:$I$89,5,0)</f>
        <v>3.504299294949349</v>
      </c>
      <c r="CA12" s="14">
        <f t="shared" si="39"/>
        <v>1.3956023031156395</v>
      </c>
      <c r="CB12" s="22">
        <f t="shared" si="10"/>
        <v>8.5339952832965214</v>
      </c>
      <c r="CC12" s="62">
        <f t="shared" si="11"/>
        <v>301.86732861662983</v>
      </c>
      <c r="CD12" s="62">
        <f ca="1">AVERAGE(OFFSET($CC$3,0,0,'Données projet'!$E$12+1,1))-AVERAGE(OFFSET($H$3,0,0,'Données projet'!$E$12+1,1))</f>
        <v>228.06050741667258</v>
      </c>
      <c r="CE12" s="62">
        <f t="shared" si="40"/>
        <v>191.94885821983536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1.9</v>
      </c>
      <c r="CT12" s="13">
        <f>IF('Données projet'!$A$140&gt;35,CT11+CS12-DB11,IF(A12&lt;'Données projet'!$A$140,$CQ$205^A12,IF(A12='Données projet'!$A$140,'Données projet'!$B$140,CT11+CS12-DB11)))</f>
        <v>14.153969025366564</v>
      </c>
      <c r="CU12" s="18">
        <f>CT12*VLOOKUP('Données projet'!$B$13,Paramètres!$A$1:$I$89,3,0)*VLOOKUP('Données projet'!$B$13,Paramètres!$A$1:$I$89,5,0)</f>
        <v>11.260897756581638</v>
      </c>
      <c r="CV12" s="14">
        <f t="shared" si="41"/>
        <v>3.9149117911590028</v>
      </c>
      <c r="CW12" s="22">
        <f t="shared" si="13"/>
        <v>26.431201628981615</v>
      </c>
      <c r="CX12" s="62">
        <f t="shared" si="14"/>
        <v>319.76453496231494</v>
      </c>
      <c r="CY12" s="62">
        <f ca="1">AVERAGE(OFFSET($CX$3,0,0,'Données projet'!$E$13+1,1))-AVERAGE(OFFSET($H$3,0,0,'Données projet'!$E$13+1,1))</f>
        <v>343.37244130003143</v>
      </c>
      <c r="CZ12" s="62">
        <f t="shared" si="42"/>
        <v>318.38876834819763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6.3456464700054127</v>
      </c>
      <c r="DQ12" s="14">
        <f t="shared" si="43"/>
        <v>2.3584123814576028</v>
      </c>
      <c r="DR12" s="22">
        <f t="shared" si="16"/>
        <v>15.159569166298086</v>
      </c>
      <c r="DS12" s="62">
        <f t="shared" si="17"/>
        <v>308.49290249963138</v>
      </c>
      <c r="DT12" s="62">
        <f ca="1">AVERAGE(OFFSET($DS$3,0,0,'Données projet'!$E$14+1,1))-AVERAGE(OFFSET($H$3,0,0,'Données projet'!$E$14+1,1))</f>
        <v>263.81634201637729</v>
      </c>
      <c r="DU12" s="62">
        <f t="shared" si="44"/>
        <v>302.03767435507262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12</v>
      </c>
      <c r="N13" s="14">
        <f>IF('Données projet'!$A$36&gt;35,N12+M13-V12,IF(A13&lt;'Données projet'!$A$36,$K$205^A13,IF(A13='Données projet'!$A$36,'Données projet'!$B$36,N12+M13-V12)))</f>
        <v>19.81156349336776</v>
      </c>
      <c r="O13" s="14">
        <f>N13*VLOOKUP('Données projet'!$B$9,Paramètres!$A$1:$I$89,3,0)*VLOOKUP('Données projet'!$B$9,Paramètres!$A$1:$I$89,5,0)</f>
        <v>11.07466399279258</v>
      </c>
      <c r="P13" s="14">
        <f t="shared" si="33"/>
        <v>3.8576475511652535</v>
      </c>
      <c r="Q13" s="22">
        <f t="shared" si="2"/>
        <v>26.007109272393226</v>
      </c>
      <c r="R13" s="62">
        <f t="shared" si="0"/>
        <v>319.34044260572654</v>
      </c>
      <c r="S13" s="62">
        <f ca="1">AVERAGE(OFFSET($R$3,0,0,'Données projet'!$E$9+1,1))-AVERAGE(OFFSET($H$3,0,0,'Données projet'!$E$9+1,1))</f>
        <v>322.63846641467165</v>
      </c>
      <c r="T13" s="62">
        <f t="shared" si="34"/>
        <v>435.17386576419966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6.2222222222222223</v>
      </c>
      <c r="AI13" s="14">
        <f>IF('Données projet'!$A$62&gt;35,AI12+AH13-AQ12,IF(A13&lt;'Données projet'!$A$62,$AF$205^A13,IF(A13='Données projet'!$A$62,'Données projet'!$B$62,AI12+AH13-AQ12)))</f>
        <v>13.754805608204368</v>
      </c>
      <c r="AJ13" s="14">
        <f>AI13*VLOOKUP('Données projet'!$B$10,Paramètres!$A$1:$I$89,3,0)*VLOOKUP('Données projet'!$B$10,Paramètres!$A$1:$I$89,5,0)</f>
        <v>8.5829986995195267</v>
      </c>
      <c r="AK13" s="14">
        <f t="shared" si="35"/>
        <v>3.0797504443346257</v>
      </c>
      <c r="AL13" s="22">
        <f t="shared" si="4"/>
        <v>20.312621425545984</v>
      </c>
      <c r="AM13" s="62">
        <f t="shared" si="5"/>
        <v>313.64595475887927</v>
      </c>
      <c r="AN13" s="62">
        <f ca="1">AVERAGE(OFFSET($AM$3,0,0,'Données projet'!$E$10+1,1))-AVERAGE(OFFSET($H$3,0,0,'Données projet'!$E$10+1,1))</f>
        <v>175.05987582828078</v>
      </c>
      <c r="AO13" s="62">
        <f t="shared" si="36"/>
        <v>268.54782308462387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5.2912820512820513</v>
      </c>
      <c r="BD13" s="13">
        <f>IF('Données projet'!$A$88&gt;35,BD12+BC13-BL12,IF(A13&lt;'Données projet'!$A$88,$BA$205^A13,IF(A13='Données projet'!$A$88,'Données projet'!$B$88,BD12+BC13-BL12)))</f>
        <v>5.4145294759866651</v>
      </c>
      <c r="BE13" s="14">
        <f>BD13*VLOOKUP('Données projet'!$B$11,Paramètres!$A$1:$I$89,3,0)*VLOOKUP('Données projet'!$B$11,Paramètres!$A$1:$I$89,5,0)</f>
        <v>2.5339997947617592</v>
      </c>
      <c r="BF13" s="14">
        <f t="shared" si="37"/>
        <v>1.0479861783345426</v>
      </c>
      <c r="BG13" s="22">
        <f t="shared" si="7"/>
        <v>6.2386255698093906</v>
      </c>
      <c r="BH13" s="62">
        <f t="shared" si="8"/>
        <v>299.57195890314273</v>
      </c>
      <c r="BI13" s="62">
        <f ca="1">AVERAGE(OFFSET($BH$3,0,0,'Données projet'!$E$11+1,1))-AVERAGE(OFFSET($H$3,0,0,'Données projet'!$E$11+1,1))</f>
        <v>183.46485104601493</v>
      </c>
      <c r="BJ13" s="62">
        <f t="shared" si="38"/>
        <v>127.47790120677581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3.8181818181818183</v>
      </c>
      <c r="BY13" s="13">
        <f>IF('Données projet'!$A$114&gt;35,BY12+BX13-CG12,IF(A13&lt;'Données projet'!$A$114,$BV$205^A13,IF(A13='Données projet'!$A$114,'Données projet'!$B$114,BY12+BX13-CG12)))</f>
        <v>7.4932876202465657</v>
      </c>
      <c r="BZ13" s="14">
        <f>BY13*VLOOKUP('Données projet'!$B$12,Paramètres!$A$1:$I$89,3,0)*VLOOKUP('Données projet'!$B$12,Paramètres!$A$1:$I$89,5,0)</f>
        <v>4.2861605187810357</v>
      </c>
      <c r="CA13" s="14">
        <f t="shared" si="39"/>
        <v>1.6674304608525559</v>
      </c>
      <c r="CB13" s="22">
        <f t="shared" si="10"/>
        <v>10.369170956195171</v>
      </c>
      <c r="CC13" s="62">
        <f t="shared" si="11"/>
        <v>303.70250428952846</v>
      </c>
      <c r="CD13" s="62">
        <f ca="1">AVERAGE(OFFSET($CC$3,0,0,'Données projet'!$E$12+1,1))-AVERAGE(OFFSET($H$3,0,0,'Données projet'!$E$12+1,1))</f>
        <v>228.06050741667258</v>
      </c>
      <c r="CE13" s="62">
        <f t="shared" si="40"/>
        <v>191.94885821983536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19</v>
      </c>
      <c r="CR13" s="13">
        <f>VLOOKUP(A13,'Données projet'!$A$139:$I$159,9,0)</f>
        <v>1.9</v>
      </c>
      <c r="CS13" s="13">
        <f t="array" ref="CS13">INDEX(CR:CR,MIN(IF(ISNUMBER(CR13:CR209),ROW(CR13:CR209),"")))</f>
        <v>1.9</v>
      </c>
      <c r="CT13" s="13">
        <f>IF('Données projet'!$A$140&gt;35,CT12+CS13-DB12,IF(A13&lt;'Données projet'!$A$140,$CQ$205^A13,IF(A13='Données projet'!$A$140,'Données projet'!$B$140,CT12+CS13-DB12)))</f>
        <v>19</v>
      </c>
      <c r="CU13" s="18">
        <f>CT13*VLOOKUP('Données projet'!$B$13,Paramètres!$A$1:$I$89,3,0)*VLOOKUP('Données projet'!$B$13,Paramètres!$A$1:$I$89,5,0)</f>
        <v>15.116400000000001</v>
      </c>
      <c r="CV13" s="14">
        <f t="shared" si="41"/>
        <v>5.0782333044806913</v>
      </c>
      <c r="CW13" s="22">
        <f t="shared" si="13"/>
        <v>35.172319671970541</v>
      </c>
      <c r="CX13" s="62">
        <f t="shared" si="14"/>
        <v>328.50565300530388</v>
      </c>
      <c r="CY13" s="62">
        <f ca="1">AVERAGE(OFFSET($CX$3,0,0,'Données projet'!$E$13+1,1))-AVERAGE(OFFSET($H$3,0,0,'Données projet'!$E$13+1,1))</f>
        <v>343.37244130003143</v>
      </c>
      <c r="CZ13" s="62">
        <f t="shared" si="42"/>
        <v>318.38876834819763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8.0652000000000008</v>
      </c>
      <c r="DQ13" s="14">
        <f t="shared" si="43"/>
        <v>2.9149909035839161</v>
      </c>
      <c r="DR13" s="22">
        <f t="shared" si="16"/>
        <v>19.123832490408656</v>
      </c>
      <c r="DS13" s="62">
        <f t="shared" si="17"/>
        <v>312.45716582374195</v>
      </c>
      <c r="DT13" s="62">
        <f ca="1">AVERAGE(OFFSET($DS$3,0,0,'Données projet'!$E$14+1,1))-AVERAGE(OFFSET($H$3,0,0,'Données projet'!$E$14+1,1))</f>
        <v>263.81634201637729</v>
      </c>
      <c r="DU13" s="62">
        <f t="shared" si="44"/>
        <v>302.03767435507262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12</v>
      </c>
      <c r="N14" s="14">
        <f>IF('Données projet'!$A$36&gt;35,N13+M14-V13,IF(A14&lt;'Données projet'!$A$36,$K$205^A14,IF(A14='Données projet'!$A$36,'Données projet'!$B$36,N13+M14-V13)))</f>
        <v>26.706109521254486</v>
      </c>
      <c r="O14" s="14">
        <f>N14*VLOOKUP('Données projet'!$B$9,Paramètres!$A$1:$I$89,3,0)*VLOOKUP('Données projet'!$B$9,Paramètres!$A$1:$I$89,5,0)</f>
        <v>14.928715222381259</v>
      </c>
      <c r="P14" s="14">
        <f t="shared" si="33"/>
        <v>5.0224808230389391</v>
      </c>
      <c r="Q14" s="22">
        <f t="shared" si="2"/>
        <v>34.748333112440179</v>
      </c>
      <c r="R14" s="62">
        <f t="shared" si="0"/>
        <v>328.08166644577352</v>
      </c>
      <c r="S14" s="62">
        <f ca="1">AVERAGE(OFFSET($R$3,0,0,'Données projet'!$E$9+1,1))-AVERAGE(OFFSET($H$3,0,0,'Données projet'!$E$9+1,1))</f>
        <v>322.63846641467165</v>
      </c>
      <c r="T14" s="62">
        <f t="shared" si="34"/>
        <v>435.17386576419966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6.2222222222222223</v>
      </c>
      <c r="AI14" s="14">
        <f>IF('Données projet'!$A$62&gt;35,AI13+AH14-AQ13,IF(A14&lt;'Données projet'!$A$62,$AF$205^A14,IF(A14='Données projet'!$A$62,'Données projet'!$B$62,AI13+AH14-AQ13)))</f>
        <v>17.877216627302985</v>
      </c>
      <c r="AJ14" s="14">
        <f>AI14*VLOOKUP('Données projet'!$B$10,Paramètres!$A$1:$I$89,3,0)*VLOOKUP('Données projet'!$B$10,Paramètres!$A$1:$I$89,5,0)</f>
        <v>11.155383175437063</v>
      </c>
      <c r="AK14" s="14">
        <f t="shared" si="35"/>
        <v>3.8824812083990929</v>
      </c>
      <c r="AL14" s="22">
        <f t="shared" si="4"/>
        <v>26.1909471351813</v>
      </c>
      <c r="AM14" s="62">
        <f t="shared" si="5"/>
        <v>319.52428046851463</v>
      </c>
      <c r="AN14" s="62">
        <f ca="1">AVERAGE(OFFSET($AM$3,0,0,'Données projet'!$E$10+1,1))-AVERAGE(OFFSET($H$3,0,0,'Données projet'!$E$10+1,1))</f>
        <v>175.05987582828078</v>
      </c>
      <c r="AO14" s="62">
        <f t="shared" si="36"/>
        <v>268.54782308462387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5.2912820512820513</v>
      </c>
      <c r="BD14" s="13">
        <f>IF('Données projet'!$A$88&gt;35,BD13+BC14-BL13,IF(A14&lt;'Données projet'!$A$88,$BA$205^A14,IF(A14='Données projet'!$A$88,'Données projet'!$B$88,BD13+BC14-BL13)))</f>
        <v>6.4108674049757806</v>
      </c>
      <c r="BE14" s="14">
        <f>BD14*VLOOKUP('Données projet'!$B$11,Paramètres!$A$1:$I$89,3,0)*VLOOKUP('Données projet'!$B$11,Paramètres!$A$1:$I$89,5,0)</f>
        <v>3.0002859455286655</v>
      </c>
      <c r="BF14" s="14">
        <f t="shared" si="37"/>
        <v>1.2166705062501608</v>
      </c>
      <c r="BG14" s="22">
        <f t="shared" si="7"/>
        <v>7.3445324868481237</v>
      </c>
      <c r="BH14" s="62">
        <f t="shared" si="8"/>
        <v>300.67786582018141</v>
      </c>
      <c r="BI14" s="62">
        <f ca="1">AVERAGE(OFFSET($BH$3,0,0,'Données projet'!$E$11+1,1))-AVERAGE(OFFSET($H$3,0,0,'Données projet'!$E$11+1,1))</f>
        <v>183.46485104601493</v>
      </c>
      <c r="BJ14" s="62">
        <f t="shared" si="38"/>
        <v>127.47790120677581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3.8181818181818183</v>
      </c>
      <c r="BY14" s="13">
        <f>IF('Données projet'!$A$114&gt;35,BY13+BX14-CG13,IF(A14&lt;'Données projet'!$A$114,$BV$205^A14,IF(A14='Données projet'!$A$114,'Données projet'!$B$114,BY13+BX14-CG13)))</f>
        <v>9.1651513899116743</v>
      </c>
      <c r="BZ14" s="14">
        <f>BY14*VLOOKUP('Données projet'!$B$12,Paramètres!$A$1:$I$89,3,0)*VLOOKUP('Données projet'!$B$12,Paramètres!$A$1:$I$89,5,0)</f>
        <v>5.2424665950294775</v>
      </c>
      <c r="CA14" s="14">
        <f t="shared" si="39"/>
        <v>1.9922038933097028</v>
      </c>
      <c r="CB14" s="22">
        <f t="shared" si="10"/>
        <v>12.600384433857405</v>
      </c>
      <c r="CC14" s="62">
        <f t="shared" si="11"/>
        <v>305.93371776719073</v>
      </c>
      <c r="CD14" s="62">
        <f ca="1">AVERAGE(OFFSET($CC$3,0,0,'Données projet'!$E$12+1,1))-AVERAGE(OFFSET($H$3,0,0,'Données projet'!$E$12+1,1))</f>
        <v>228.06050741667258</v>
      </c>
      <c r="CE14" s="62">
        <f t="shared" si="40"/>
        <v>191.94885821983536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14.6</v>
      </c>
      <c r="CT14" s="13">
        <f>IF('Données projet'!$A$140&gt;35,CT13+CS14-DB13,IF(A14&lt;'Données projet'!$A$140,$CQ$205^A14,IF(A14='Données projet'!$A$140,'Données projet'!$B$140,CT13+CS14-DB13)))</f>
        <v>33.6</v>
      </c>
      <c r="CU14" s="18">
        <f>CT14*VLOOKUP('Données projet'!$B$13,Paramètres!$A$1:$I$89,3,0)*VLOOKUP('Données projet'!$B$13,Paramètres!$A$1:$I$89,5,0)</f>
        <v>26.732160000000004</v>
      </c>
      <c r="CV14" s="14">
        <f t="shared" si="41"/>
        <v>8.4038705306032053</v>
      </c>
      <c r="CW14" s="22">
        <f t="shared" si="13"/>
        <v>61.195253174133917</v>
      </c>
      <c r="CX14" s="62">
        <f t="shared" si="14"/>
        <v>354.52858650746725</v>
      </c>
      <c r="CY14" s="62">
        <f ca="1">AVERAGE(OFFSET($CX$3,0,0,'Données projet'!$E$13+1,1))-AVERAGE(OFFSET($H$3,0,0,'Données projet'!$E$13+1,1))</f>
        <v>343.37244130003143</v>
      </c>
      <c r="CZ14" s="62">
        <f t="shared" si="42"/>
        <v>318.38876834819763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15.983760000000002</v>
      </c>
      <c r="DQ14" s="14">
        <f t="shared" si="43"/>
        <v>5.3348570279475842</v>
      </c>
      <c r="DR14" s="22">
        <f t="shared" si="16"/>
        <v>37.129924657008708</v>
      </c>
      <c r="DS14" s="62">
        <f t="shared" si="17"/>
        <v>330.46325799034202</v>
      </c>
      <c r="DT14" s="62">
        <f ca="1">AVERAGE(OFFSET($DS$3,0,0,'Données projet'!$E$14+1,1))-AVERAGE(OFFSET($H$3,0,0,'Données projet'!$E$14+1,1))</f>
        <v>263.81634201637729</v>
      </c>
      <c r="DU14" s="62">
        <f t="shared" si="44"/>
        <v>302.03767435507262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12</v>
      </c>
      <c r="N15" s="14">
        <f>IF('Données projet'!$A$36&gt;35,N14+M15-V14,IF(A15&lt;'Données projet'!$A$36,$K$205^A15,IF(A15='Données projet'!$A$36,'Données projet'!$B$36,N14+M15-V14)))</f>
        <v>36</v>
      </c>
      <c r="O15" s="14">
        <f>N15*VLOOKUP('Données projet'!$B$9,Paramètres!$A$1:$I$89,3,0)*VLOOKUP('Données projet'!$B$9,Paramètres!$A$1:$I$89,5,0)</f>
        <v>20.124000000000002</v>
      </c>
      <c r="P15" s="14">
        <f t="shared" si="33"/>
        <v>6.539040511923969</v>
      </c>
      <c r="Q15" s="22">
        <f t="shared" si="2"/>
        <v>46.438128891600911</v>
      </c>
      <c r="R15" s="62">
        <f t="shared" si="0"/>
        <v>339.77146222493423</v>
      </c>
      <c r="S15" s="62">
        <f ca="1">AVERAGE(OFFSET($R$3,0,0,'Données projet'!$E$9+1,1))-AVERAGE(OFFSET($H$3,0,0,'Données projet'!$E$9+1,1))</f>
        <v>322.63846641467165</v>
      </c>
      <c r="T15" s="62">
        <f t="shared" si="34"/>
        <v>435.17386576419966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6.2222222222222223</v>
      </c>
      <c r="AI15" s="14">
        <f>IF('Données projet'!$A$62&gt;35,AI14+AH15-AQ14,IF(A15&lt;'Données projet'!$A$62,$AF$205^A15,IF(A15='Données projet'!$A$62,'Données projet'!$B$62,AI14+AH15-AQ14)))</f>
        <v>23.235142934254824</v>
      </c>
      <c r="AJ15" s="14">
        <f>AI15*VLOOKUP('Données projet'!$B$10,Paramètres!$A$1:$I$89,3,0)*VLOOKUP('Données projet'!$B$10,Paramètres!$A$1:$I$89,5,0)</f>
        <v>14.498729190975009</v>
      </c>
      <c r="AK15" s="14">
        <f t="shared" si="35"/>
        <v>4.8944421329010357</v>
      </c>
      <c r="AL15" s="22">
        <f t="shared" si="4"/>
        <v>33.776440055750776</v>
      </c>
      <c r="AM15" s="62">
        <f t="shared" si="5"/>
        <v>327.10977338908407</v>
      </c>
      <c r="AN15" s="62">
        <f ca="1">AVERAGE(OFFSET($AM$3,0,0,'Données projet'!$E$10+1,1))-AVERAGE(OFFSET($H$3,0,0,'Données projet'!$E$10+1,1))</f>
        <v>175.05987582828078</v>
      </c>
      <c r="AO15" s="62">
        <f t="shared" si="36"/>
        <v>268.54782308462387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5.2912820512820513</v>
      </c>
      <c r="BD15" s="13">
        <f>IF('Données projet'!$A$88&gt;35,BD14+BC15-BL14,IF(A15&lt;'Données projet'!$A$88,$BA$205^A15,IF(A15='Données projet'!$A$88,'Données projet'!$B$88,BD14+BC15-BL14)))</f>
        <v>7.5905433826623616</v>
      </c>
      <c r="BE15" s="14">
        <f>BD15*VLOOKUP('Données projet'!$B$11,Paramètres!$A$1:$I$89,3,0)*VLOOKUP('Données projet'!$B$11,Paramètres!$A$1:$I$89,5,0)</f>
        <v>3.5523743030859851</v>
      </c>
      <c r="BF15" s="14">
        <f t="shared" si="37"/>
        <v>1.4125063396651774</v>
      </c>
      <c r="BG15" s="22">
        <f t="shared" si="7"/>
        <v>8.6471671194582758</v>
      </c>
      <c r="BH15" s="62">
        <f t="shared" si="8"/>
        <v>301.9805004527916</v>
      </c>
      <c r="BI15" s="62">
        <f ca="1">AVERAGE(OFFSET($BH$3,0,0,'Données projet'!$E$11+1,1))-AVERAGE(OFFSET($H$3,0,0,'Données projet'!$E$11+1,1))</f>
        <v>183.46485104601493</v>
      </c>
      <c r="BJ15" s="62">
        <f t="shared" si="38"/>
        <v>127.47790120677581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3.8181818181818183</v>
      </c>
      <c r="BY15" s="13">
        <f>IF('Données projet'!$A$114&gt;35,BY14+BX15-CG14,IF(A15&lt;'Données projet'!$A$114,$BV$205^A15,IF(A15='Données projet'!$A$114,'Données projet'!$B$114,BY14+BX15-CG14)))</f>
        <v>11.210032799626594</v>
      </c>
      <c r="BZ15" s="14">
        <f>BY15*VLOOKUP('Données projet'!$B$12,Paramètres!$A$1:$I$89,3,0)*VLOOKUP('Données projet'!$B$12,Paramètres!$A$1:$I$89,5,0)</f>
        <v>6.4121387613864131</v>
      </c>
      <c r="CA15" s="14">
        <f t="shared" si="39"/>
        <v>2.3802350057159547</v>
      </c>
      <c r="CB15" s="22">
        <f t="shared" si="10"/>
        <v>15.313384311036627</v>
      </c>
      <c r="CC15" s="62">
        <f t="shared" si="11"/>
        <v>308.64671764436991</v>
      </c>
      <c r="CD15" s="62">
        <f ca="1">AVERAGE(OFFSET($CC$3,0,0,'Données projet'!$E$12+1,1))-AVERAGE(OFFSET($H$3,0,0,'Données projet'!$E$12+1,1))</f>
        <v>228.06050741667258</v>
      </c>
      <c r="CE15" s="62">
        <f t="shared" si="40"/>
        <v>191.94885821983536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14.6</v>
      </c>
      <c r="CT15" s="13">
        <f>IF('Données projet'!$A$140&gt;35,CT14+CS15-DB14,IF(A15&lt;'Données projet'!$A$140,$CQ$205^A15,IF(A15='Données projet'!$A$140,'Données projet'!$B$140,CT14+CS15-DB14)))</f>
        <v>48.2</v>
      </c>
      <c r="CU15" s="18">
        <f>CT15*VLOOKUP('Données projet'!$B$13,Paramètres!$A$1:$I$89,3,0)*VLOOKUP('Données projet'!$B$13,Paramètres!$A$1:$I$89,5,0)</f>
        <v>38.347920000000002</v>
      </c>
      <c r="CV15" s="14">
        <f t="shared" si="41"/>
        <v>11.559693804672129</v>
      </c>
      <c r="CW15" s="22">
        <f t="shared" si="13"/>
        <v>86.922427376470623</v>
      </c>
      <c r="CX15" s="62">
        <f t="shared" si="14"/>
        <v>380.25576070980395</v>
      </c>
      <c r="CY15" s="62">
        <f ca="1">AVERAGE(OFFSET($CX$3,0,0,'Données projet'!$E$13+1,1))-AVERAGE(OFFSET($H$3,0,0,'Données projet'!$E$13+1,1))</f>
        <v>343.37244130003143</v>
      </c>
      <c r="CZ15" s="62">
        <f t="shared" si="42"/>
        <v>318.38876834819763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23.90232</v>
      </c>
      <c r="DQ15" s="14">
        <f t="shared" si="43"/>
        <v>7.6127522913266521</v>
      </c>
      <c r="DR15" s="22">
        <f t="shared" si="16"/>
        <v>54.88875090739392</v>
      </c>
      <c r="DS15" s="62">
        <f t="shared" si="17"/>
        <v>348.22208424072721</v>
      </c>
      <c r="DT15" s="62">
        <f ca="1">AVERAGE(OFFSET($DS$3,0,0,'Données projet'!$E$14+1,1))-AVERAGE(OFFSET($H$3,0,0,'Données projet'!$E$14+1,1))</f>
        <v>263.81634201637729</v>
      </c>
      <c r="DU15" s="62">
        <f t="shared" si="44"/>
        <v>302.03767435507262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12</v>
      </c>
      <c r="N16" s="14">
        <f>IF('Données projet'!$A$36&gt;35,N15+M16-V15,IF(A16&lt;'Données projet'!$A$36,$K$205^A16,IF(A16='Données projet'!$A$36,'Données projet'!$B$36,N15+M16-V15)))</f>
        <v>48.528221565501994</v>
      </c>
      <c r="O16" s="14">
        <f>N16*VLOOKUP('Données projet'!$B$9,Paramètres!$A$1:$I$89,3,0)*VLOOKUP('Données projet'!$B$9,Paramètres!$A$1:$I$89,5,0)</f>
        <v>27.127275855115617</v>
      </c>
      <c r="P16" s="14">
        <f t="shared" si="33"/>
        <v>8.513531922399812</v>
      </c>
      <c r="Q16" s="22">
        <f t="shared" si="2"/>
        <v>62.074406879172699</v>
      </c>
      <c r="R16" s="62">
        <f t="shared" si="0"/>
        <v>355.40774021250604</v>
      </c>
      <c r="S16" s="62">
        <f ca="1">AVERAGE(OFFSET($R$3,0,0,'Données projet'!$E$9+1,1))-AVERAGE(OFFSET($H$3,0,0,'Données projet'!$E$9+1,1))</f>
        <v>322.63846641467165</v>
      </c>
      <c r="T16" s="62">
        <f t="shared" si="34"/>
        <v>435.17386576419966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6.2222222222222223</v>
      </c>
      <c r="AI16" s="14">
        <f>IF('Données projet'!$A$62&gt;35,AI15+AH16-AQ15,IF(A16&lt;'Données projet'!$A$62,$AF$205^A16,IF(A16='Données projet'!$A$62,'Données projet'!$B$62,AI15+AH16-AQ15)))</f>
        <v>30.19887706404656</v>
      </c>
      <c r="AJ16" s="14">
        <f>AI16*VLOOKUP('Données projet'!$B$10,Paramètres!$A$1:$I$89,3,0)*VLOOKUP('Données projet'!$B$10,Paramètres!$A$1:$I$89,5,0)</f>
        <v>18.844099287965054</v>
      </c>
      <c r="AK16" s="14">
        <f t="shared" si="35"/>
        <v>6.1701686386769925</v>
      </c>
      <c r="AL16" s="22">
        <f t="shared" si="4"/>
        <v>43.566516638901568</v>
      </c>
      <c r="AM16" s="62">
        <f t="shared" si="5"/>
        <v>336.8998499722349</v>
      </c>
      <c r="AN16" s="62">
        <f ca="1">AVERAGE(OFFSET($AM$3,0,0,'Données projet'!$E$10+1,1))-AVERAGE(OFFSET($H$3,0,0,'Données projet'!$E$10+1,1))</f>
        <v>175.05987582828078</v>
      </c>
      <c r="AO16" s="62">
        <f t="shared" si="36"/>
        <v>268.54782308462387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5.2912820512820513</v>
      </c>
      <c r="BD16" s="13">
        <f>IF('Données projet'!$A$88&gt;35,BD15+BC16-BL15,IF(A16&lt;'Données projet'!$A$88,$BA$205^A16,IF(A16='Données projet'!$A$88,'Données projet'!$B$88,BD15+BC16-BL15)))</f>
        <v>8.9872937941846338</v>
      </c>
      <c r="BE16" s="14">
        <f>BD16*VLOOKUP('Données projet'!$B$11,Paramètres!$A$1:$I$89,3,0)*VLOOKUP('Données projet'!$B$11,Paramètres!$A$1:$I$89,5,0)</f>
        <v>4.2060534956784092</v>
      </c>
      <c r="BF16" s="14">
        <f t="shared" si="37"/>
        <v>1.6398639971503413</v>
      </c>
      <c r="BG16" s="22">
        <f t="shared" si="7"/>
        <v>10.181639633343407</v>
      </c>
      <c r="BH16" s="62">
        <f t="shared" si="8"/>
        <v>303.51497296667674</v>
      </c>
      <c r="BI16" s="62">
        <f ca="1">AVERAGE(OFFSET($BH$3,0,0,'Données projet'!$E$11+1,1))-AVERAGE(OFFSET($H$3,0,0,'Données projet'!$E$11+1,1))</f>
        <v>183.46485104601493</v>
      </c>
      <c r="BJ16" s="62">
        <f t="shared" si="38"/>
        <v>127.47790120677581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3.8181818181818183</v>
      </c>
      <c r="BY16" s="13">
        <f>IF('Données projet'!$A$114&gt;35,BY15+BX16-CG15,IF(A16&lt;'Données projet'!$A$114,$BV$205^A16,IF(A16='Données projet'!$A$114,'Données projet'!$B$114,BY15+BX16-CG15)))</f>
        <v>13.711157625505965</v>
      </c>
      <c r="BZ16" s="14">
        <f>BY16*VLOOKUP('Données projet'!$B$12,Paramètres!$A$1:$I$89,3,0)*VLOOKUP('Données projet'!$B$12,Paramètres!$A$1:$I$89,5,0)</f>
        <v>7.8427821617894127</v>
      </c>
      <c r="CA16" s="14">
        <f t="shared" si="39"/>
        <v>2.8438447999533554</v>
      </c>
      <c r="CB16" s="22">
        <f t="shared" si="10"/>
        <v>18.612541958368652</v>
      </c>
      <c r="CC16" s="62">
        <f t="shared" si="11"/>
        <v>311.94587529170195</v>
      </c>
      <c r="CD16" s="62">
        <f ca="1">AVERAGE(OFFSET($CC$3,0,0,'Données projet'!$E$12+1,1))-AVERAGE(OFFSET($H$3,0,0,'Données projet'!$E$12+1,1))</f>
        <v>228.06050741667258</v>
      </c>
      <c r="CE16" s="62">
        <f t="shared" si="40"/>
        <v>191.94885821983536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14.6</v>
      </c>
      <c r="CT16" s="13">
        <f>IF('Données projet'!$A$140&gt;35,CT15+CS16-DB15,IF(A16&lt;'Données projet'!$A$140,$CQ$205^A16,IF(A16='Données projet'!$A$140,'Données projet'!$B$140,CT15+CS16-DB15)))</f>
        <v>62.800000000000004</v>
      </c>
      <c r="CU16" s="18">
        <f>CT16*VLOOKUP('Données projet'!$B$13,Paramètres!$A$1:$I$89,3,0)*VLOOKUP('Données projet'!$B$13,Paramètres!$A$1:$I$89,5,0)</f>
        <v>49.963680000000011</v>
      </c>
      <c r="CV16" s="14">
        <f t="shared" si="41"/>
        <v>14.604379468418438</v>
      </c>
      <c r="CW16" s="22">
        <f t="shared" si="13"/>
        <v>112.45603690749546</v>
      </c>
      <c r="CX16" s="62">
        <f t="shared" si="14"/>
        <v>405.78937024082876</v>
      </c>
      <c r="CY16" s="62">
        <f ca="1">AVERAGE(OFFSET($CX$3,0,0,'Données projet'!$E$13+1,1))-AVERAGE(OFFSET($H$3,0,0,'Données projet'!$E$13+1,1))</f>
        <v>343.37244130003143</v>
      </c>
      <c r="CZ16" s="62">
        <f t="shared" si="42"/>
        <v>318.38876834819763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31.820880000000006</v>
      </c>
      <c r="DQ16" s="14">
        <f t="shared" si="43"/>
        <v>9.8027641140385384</v>
      </c>
      <c r="DR16" s="22">
        <f t="shared" si="16"/>
        <v>72.494513498617124</v>
      </c>
      <c r="DS16" s="62">
        <f t="shared" si="17"/>
        <v>365.82784683195041</v>
      </c>
      <c r="DT16" s="62">
        <f ca="1">AVERAGE(OFFSET($DS$3,0,0,'Données projet'!$E$14+1,1))-AVERAGE(OFFSET($H$3,0,0,'Données projet'!$E$14+1,1))</f>
        <v>263.81634201637729</v>
      </c>
      <c r="DU16" s="62">
        <f t="shared" si="44"/>
        <v>302.03767435507262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12</v>
      </c>
      <c r="N17" s="14">
        <f>IF('Données projet'!$A$36&gt;35,N16+M17-V16,IF(A17&lt;'Données projet'!$A$36,$K$205^A17,IF(A17='Données projet'!$A$36,'Données projet'!$B$36,N16+M17-V16)))</f>
        <v>65.416341341957022</v>
      </c>
      <c r="O17" s="14">
        <f>N17*VLOOKUP('Données projet'!$B$9,Paramètres!$A$1:$I$89,3,0)*VLOOKUP('Données projet'!$B$9,Paramètres!$A$1:$I$89,5,0)</f>
        <v>36.567734810153979</v>
      </c>
      <c r="P17" s="14">
        <f t="shared" si="33"/>
        <v>11.08422950760936</v>
      </c>
      <c r="Q17" s="22">
        <f t="shared" si="2"/>
        <v>82.99383785343781</v>
      </c>
      <c r="R17" s="62">
        <f t="shared" si="0"/>
        <v>376.32717118677112</v>
      </c>
      <c r="S17" s="62">
        <f ca="1">AVERAGE(OFFSET($R$3,0,0,'Données projet'!$E$9+1,1))-AVERAGE(OFFSET($H$3,0,0,'Données projet'!$E$9+1,1))</f>
        <v>322.63846641467165</v>
      </c>
      <c r="T17" s="62">
        <f t="shared" si="34"/>
        <v>435.17386576419966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6.2222222222222223</v>
      </c>
      <c r="AI17" s="14">
        <f>IF('Données projet'!$A$62&gt;35,AI16+AH17-AQ16,IF(A17&lt;'Données projet'!$A$62,$AF$205^A17,IF(A17='Données projet'!$A$62,'Données projet'!$B$62,AI16+AH17-AQ16)))</f>
        <v>39.249690802844427</v>
      </c>
      <c r="AJ17" s="14">
        <f>AI17*VLOOKUP('Données projet'!$B$10,Paramètres!$A$1:$I$89,3,0)*VLOOKUP('Données projet'!$B$10,Paramètres!$A$1:$I$89,5,0)</f>
        <v>24.491807060974921</v>
      </c>
      <c r="AK17" s="14">
        <f t="shared" si="35"/>
        <v>7.7784106944068903</v>
      </c>
      <c r="AL17" s="22">
        <f t="shared" si="4"/>
        <v>56.203962590623313</v>
      </c>
      <c r="AM17" s="62">
        <f t="shared" si="5"/>
        <v>349.53729592395661</v>
      </c>
      <c r="AN17" s="62">
        <f ca="1">AVERAGE(OFFSET($AM$3,0,0,'Données projet'!$E$10+1,1))-AVERAGE(OFFSET($H$3,0,0,'Données projet'!$E$10+1,1))</f>
        <v>175.05987582828078</v>
      </c>
      <c r="AO17" s="62">
        <f t="shared" si="36"/>
        <v>268.54782308462387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5.2912820512820513</v>
      </c>
      <c r="BD17" s="13">
        <f>IF('Données projet'!$A$88&gt;35,BD16+BC17-BL16,IF(A17&lt;'Données projet'!$A$88,$BA$205^A17,IF(A17='Données projet'!$A$88,'Données projet'!$B$88,BD16+BC17-BL16)))</f>
        <v>10.641062921461002</v>
      </c>
      <c r="BE17" s="14">
        <f>BD17*VLOOKUP('Données projet'!$B$11,Paramètres!$A$1:$I$89,3,0)*VLOOKUP('Données projet'!$B$11,Paramètres!$A$1:$I$89,5,0)</f>
        <v>4.9800174472437488</v>
      </c>
      <c r="BF17" s="14">
        <f t="shared" si="37"/>
        <v>1.9038172457245992</v>
      </c>
      <c r="BG17" s="22">
        <f t="shared" si="7"/>
        <v>11.989345423586537</v>
      </c>
      <c r="BH17" s="62">
        <f t="shared" si="8"/>
        <v>305.32267875691986</v>
      </c>
      <c r="BI17" s="62">
        <f ca="1">AVERAGE(OFFSET($BH$3,0,0,'Données projet'!$E$11+1,1))-AVERAGE(OFFSET($H$3,0,0,'Données projet'!$E$11+1,1))</f>
        <v>183.46485104601493</v>
      </c>
      <c r="BJ17" s="62">
        <f t="shared" si="38"/>
        <v>127.47790120677581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3.8181818181818183</v>
      </c>
      <c r="BY17" s="13">
        <f>IF('Données projet'!$A$114&gt;35,BY16+BX17-CG16,IF(A17&lt;'Données projet'!$A$114,$BV$205^A17,IF(A17='Données projet'!$A$114,'Données projet'!$B$114,BY16+BX17-CG16)))</f>
        <v>16.770320550510121</v>
      </c>
      <c r="BZ17" s="14">
        <f>BY17*VLOOKUP('Données projet'!$B$12,Paramètres!$A$1:$I$89,3,0)*VLOOKUP('Données projet'!$B$12,Paramètres!$A$1:$I$89,5,0)</f>
        <v>9.5926233548917903</v>
      </c>
      <c r="CA17" s="14">
        <f t="shared" si="39"/>
        <v>3.3977540985660379</v>
      </c>
      <c r="CB17" s="22">
        <f t="shared" si="10"/>
        <v>22.624907398105716</v>
      </c>
      <c r="CC17" s="62">
        <f t="shared" si="11"/>
        <v>315.95824073143905</v>
      </c>
      <c r="CD17" s="62">
        <f ca="1">AVERAGE(OFFSET($CC$3,0,0,'Données projet'!$E$12+1,1))-AVERAGE(OFFSET($H$3,0,0,'Données projet'!$E$12+1,1))</f>
        <v>228.06050741667258</v>
      </c>
      <c r="CE17" s="62">
        <f t="shared" si="40"/>
        <v>191.94885821983536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14.6</v>
      </c>
      <c r="CT17" s="13">
        <f>IF('Données projet'!$A$140&gt;35,CT16+CS17-DB16,IF(A17&lt;'Données projet'!$A$140,$CQ$205^A17,IF(A17='Données projet'!$A$140,'Données projet'!$B$140,CT16+CS17-DB16)))</f>
        <v>77.400000000000006</v>
      </c>
      <c r="CU17" s="18">
        <f>CT17*VLOOKUP('Données projet'!$B$13,Paramètres!$A$1:$I$89,3,0)*VLOOKUP('Données projet'!$B$13,Paramètres!$A$1:$I$89,5,0)</f>
        <v>61.579440000000005</v>
      </c>
      <c r="CV17" s="14">
        <f t="shared" si="41"/>
        <v>17.566995111207326</v>
      </c>
      <c r="CW17" s="22">
        <f t="shared" si="13"/>
        <v>137.8467078186861</v>
      </c>
      <c r="CX17" s="62">
        <f t="shared" si="14"/>
        <v>431.18004115201938</v>
      </c>
      <c r="CY17" s="62">
        <f ca="1">AVERAGE(OFFSET($CX$3,0,0,'Données projet'!$E$13+1,1))-AVERAGE(OFFSET($H$3,0,0,'Données projet'!$E$13+1,1))</f>
        <v>343.37244130003143</v>
      </c>
      <c r="CZ17" s="62">
        <f t="shared" si="42"/>
        <v>318.38876834819763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39.739440000000002</v>
      </c>
      <c r="DQ17" s="14">
        <f t="shared" si="43"/>
        <v>11.929559204083212</v>
      </c>
      <c r="DR17" s="22">
        <f t="shared" si="16"/>
        <v>89.990173613778268</v>
      </c>
      <c r="DS17" s="62">
        <f t="shared" si="17"/>
        <v>383.32350694711158</v>
      </c>
      <c r="DT17" s="62">
        <f ca="1">AVERAGE(OFFSET($DS$3,0,0,'Données projet'!$E$14+1,1))-AVERAGE(OFFSET($H$3,0,0,'Données projet'!$E$14+1,1))</f>
        <v>263.81634201637729</v>
      </c>
      <c r="DU17" s="62">
        <f t="shared" si="44"/>
        <v>302.03767435507262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12</v>
      </c>
      <c r="N18" s="14">
        <f>IF('Données projet'!$A$36&gt;35,N17+M18-V17,IF(A18&lt;'Données projet'!$A$36,$K$205^A18,IF(A18='Données projet'!$A$36,'Données projet'!$B$36,N17+M18-V17)))</f>
        <v>88.181630740194421</v>
      </c>
      <c r="O18" s="14">
        <f>N18*VLOOKUP('Données projet'!$B$9,Paramètres!$A$1:$I$89,3,0)*VLOOKUP('Données projet'!$B$9,Paramètres!$A$1:$I$89,5,0)</f>
        <v>49.293531583768683</v>
      </c>
      <c r="P18" s="14">
        <f t="shared" si="33"/>
        <v>14.431160286614153</v>
      </c>
      <c r="Q18" s="22">
        <f t="shared" si="2"/>
        <v>110.98717167425009</v>
      </c>
      <c r="R18" s="62">
        <f t="shared" si="0"/>
        <v>404.32050500758339</v>
      </c>
      <c r="S18" s="62">
        <f ca="1">AVERAGE(OFFSET($R$3,0,0,'Données projet'!$E$9+1,1))-AVERAGE(OFFSET($H$3,0,0,'Données projet'!$E$9+1,1))</f>
        <v>322.63846641467165</v>
      </c>
      <c r="T18" s="62">
        <f t="shared" si="34"/>
        <v>435.17386576419966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6.2222222222222223</v>
      </c>
      <c r="AI18" s="14">
        <f>IF('Données projet'!$A$62&gt;35,AI17+AH18-AQ17,IF(A18&lt;'Données projet'!$A$62,$AF$205^A18,IF(A18='Données projet'!$A$62,'Données projet'!$B$62,AI17+AH18-AQ17)))</f>
        <v>51.013096442350388</v>
      </c>
      <c r="AJ18" s="14">
        <f>AI18*VLOOKUP('Données projet'!$B$10,Paramètres!$A$1:$I$89,3,0)*VLOOKUP('Données projet'!$B$10,Paramètres!$A$1:$I$89,5,0)</f>
        <v>31.832172180026642</v>
      </c>
      <c r="AK18" s="14">
        <f t="shared" si="35"/>
        <v>9.8058378099430179</v>
      </c>
      <c r="AL18" s="22">
        <f t="shared" si="4"/>
        <v>72.519534065863823</v>
      </c>
      <c r="AM18" s="62">
        <f t="shared" si="5"/>
        <v>365.85286739919712</v>
      </c>
      <c r="AN18" s="62">
        <f ca="1">AVERAGE(OFFSET($AM$3,0,0,'Données projet'!$E$10+1,1))-AVERAGE(OFFSET($H$3,0,0,'Données projet'!$E$10+1,1))</f>
        <v>175.05987582828078</v>
      </c>
      <c r="AO18" s="62">
        <f t="shared" si="36"/>
        <v>268.54782308462387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5.2912820512820513</v>
      </c>
      <c r="BD18" s="13">
        <f>IF('Données projet'!$A$88&gt;35,BD17+BC18-BL17,IF(A18&lt;'Données projet'!$A$88,$BA$205^A18,IF(A18='Données projet'!$A$88,'Données projet'!$B$88,BD17+BC18-BL17)))</f>
        <v>12.599145270154715</v>
      </c>
      <c r="BE18" s="14">
        <f>BD18*VLOOKUP('Données projet'!$B$11,Paramètres!$A$1:$I$89,3,0)*VLOOKUP('Données projet'!$B$11,Paramètres!$A$1:$I$89,5,0)</f>
        <v>5.8963999864324066</v>
      </c>
      <c r="BF18" s="14">
        <f t="shared" si="37"/>
        <v>2.210256528234583</v>
      </c>
      <c r="BG18" s="22">
        <f t="shared" si="7"/>
        <v>14.119093429711674</v>
      </c>
      <c r="BH18" s="62">
        <f t="shared" si="8"/>
        <v>307.45242676304497</v>
      </c>
      <c r="BI18" s="62">
        <f ca="1">AVERAGE(OFFSET($BH$3,0,0,'Données projet'!$E$11+1,1))-AVERAGE(OFFSET($H$3,0,0,'Données projet'!$E$11+1,1))</f>
        <v>183.46485104601493</v>
      </c>
      <c r="BJ18" s="62">
        <f t="shared" si="38"/>
        <v>127.47790120677581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3.8181818181818183</v>
      </c>
      <c r="BY18" s="13">
        <f>IF('Données projet'!$A$114&gt;35,BY17+BX18-CG17,IF(A18&lt;'Données projet'!$A$114,$BV$205^A18,IF(A18='Données projet'!$A$114,'Données projet'!$B$114,BY17+BX18-CG17)))</f>
        <v>20.512028163375717</v>
      </c>
      <c r="BZ18" s="14">
        <f>BY18*VLOOKUP('Données projet'!$B$12,Paramètres!$A$1:$I$89,3,0)*VLOOKUP('Données projet'!$B$12,Paramètres!$A$1:$I$89,5,0)</f>
        <v>11.73288010945091</v>
      </c>
      <c r="CA18" s="14">
        <f t="shared" si="39"/>
        <v>4.0595509693467333</v>
      </c>
      <c r="CB18" s="22">
        <f t="shared" si="10"/>
        <v>27.505150795572561</v>
      </c>
      <c r="CC18" s="62">
        <f t="shared" si="11"/>
        <v>320.83848412890586</v>
      </c>
      <c r="CD18" s="62">
        <f ca="1">AVERAGE(OFFSET($CC$3,0,0,'Données projet'!$E$12+1,1))-AVERAGE(OFFSET($H$3,0,0,'Données projet'!$E$12+1,1))</f>
        <v>228.06050741667258</v>
      </c>
      <c r="CE18" s="62">
        <f t="shared" si="40"/>
        <v>191.94885821983536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92</v>
      </c>
      <c r="CR18" s="13">
        <f>VLOOKUP(A18,'Données projet'!$A$139:$I$159,9,0)</f>
        <v>14.6</v>
      </c>
      <c r="CS18" s="13">
        <f t="array" ref="CS18">INDEX(CR:CR,MIN(IF(ISNUMBER(CR18:CR214),ROW(CR18:CR214),"")))</f>
        <v>14.6</v>
      </c>
      <c r="CT18" s="13">
        <f>IF('Données projet'!$A$140&gt;35,CT17+CS18-DB17,IF(A18&lt;'Données projet'!$A$140,$CQ$205^A18,IF(A18='Données projet'!$A$140,'Données projet'!$B$140,CT17+CS18-DB17)))</f>
        <v>92</v>
      </c>
      <c r="CU18" s="18">
        <f>CT18*VLOOKUP('Données projet'!$B$13,Paramètres!$A$1:$I$89,3,0)*VLOOKUP('Données projet'!$B$13,Paramètres!$A$1:$I$89,5,0)</f>
        <v>73.1952</v>
      </c>
      <c r="CV18" s="14">
        <f t="shared" si="41"/>
        <v>20.464865364050787</v>
      </c>
      <c r="CW18" s="22">
        <f t="shared" si="13"/>
        <v>163.12461384238844</v>
      </c>
      <c r="CX18" s="62">
        <f t="shared" si="14"/>
        <v>456.45794717572176</v>
      </c>
      <c r="CY18" s="62">
        <f ca="1">AVERAGE(OFFSET($CX$3,0,0,'Données projet'!$E$13+1,1))-AVERAGE(OFFSET($H$3,0,0,'Données projet'!$E$13+1,1))</f>
        <v>343.37244130003143</v>
      </c>
      <c r="CZ18" s="62">
        <f t="shared" si="42"/>
        <v>318.38876834819763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49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47.657999999999994</v>
      </c>
      <c r="DQ18" s="14">
        <f t="shared" si="43"/>
        <v>14.007249652087213</v>
      </c>
      <c r="DR18" s="22">
        <f t="shared" si="16"/>
        <v>107.40030981071855</v>
      </c>
      <c r="DS18" s="62">
        <f t="shared" si="17"/>
        <v>400.73364314405188</v>
      </c>
      <c r="DT18" s="62">
        <f ca="1">AVERAGE(OFFSET($DS$3,0,0,'Données projet'!$E$14+1,1))-AVERAGE(OFFSET($H$3,0,0,'Données projet'!$E$14+1,1))</f>
        <v>263.81634201637729</v>
      </c>
      <c r="DU18" s="62">
        <f t="shared" si="44"/>
        <v>302.03767435507262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</v>
      </c>
      <c r="N19" s="14">
        <f>IF('Données projet'!$A$36&gt;35,N18+M19-V18,IF(A19&lt;'Données projet'!$A$36,$K$205^A19,IF(A19='Données projet'!$A$36,'Données projet'!$B$36,N18+M19-V18)))</f>
        <v>118.86938096020656</v>
      </c>
      <c r="O19" s="14">
        <f>N19*VLOOKUP('Données projet'!$B$9,Paramètres!$A$1:$I$89,3,0)*VLOOKUP('Données projet'!$B$9,Paramètres!$A$1:$I$89,5,0)</f>
        <v>66.447983956755465</v>
      </c>
      <c r="P19" s="14">
        <f t="shared" si="33"/>
        <v>18.788711211273579</v>
      </c>
      <c r="Q19" s="22">
        <f t="shared" si="2"/>
        <v>148.45391075098391</v>
      </c>
      <c r="R19" s="62">
        <f t="shared" si="0"/>
        <v>441.78724408431719</v>
      </c>
      <c r="S19" s="62">
        <f ca="1">AVERAGE(OFFSET($R$3,0,0,'Données projet'!$E$9+1,1))-AVERAGE(OFFSET($H$3,0,0,'Données projet'!$E$9+1,1))</f>
        <v>322.63846641467165</v>
      </c>
      <c r="T19" s="62">
        <f t="shared" si="34"/>
        <v>435.17386576419966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6.2222222222222223</v>
      </c>
      <c r="AI19" s="14">
        <f>IF('Données projet'!$A$62&gt;35,AI18+AH19-AQ18,IF(A19&lt;'Données projet'!$A$62,$AF$205^A19,IF(A19='Données projet'!$A$62,'Données projet'!$B$62,AI18+AH19-AQ18)))</f>
        <v>66.302076663695672</v>
      </c>
      <c r="AJ19" s="14">
        <f>AI19*VLOOKUP('Données projet'!$B$10,Paramètres!$A$1:$I$89,3,0)*VLOOKUP('Données projet'!$B$10,Paramètres!$A$1:$I$89,5,0)</f>
        <v>41.372495838146101</v>
      </c>
      <c r="AK19" s="14">
        <f t="shared" si="35"/>
        <v>12.361709728704412</v>
      </c>
      <c r="AL19" s="22">
        <f t="shared" si="4"/>
        <v>93.587074695597963</v>
      </c>
      <c r="AM19" s="62">
        <f t="shared" si="5"/>
        <v>386.92040802893126</v>
      </c>
      <c r="AN19" s="62">
        <f ca="1">AVERAGE(OFFSET($AM$3,0,0,'Données projet'!$E$10+1,1))-AVERAGE(OFFSET($H$3,0,0,'Données projet'!$E$10+1,1))</f>
        <v>175.05987582828078</v>
      </c>
      <c r="AO19" s="62">
        <f t="shared" si="36"/>
        <v>268.54782308462387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5.2912820512820513</v>
      </c>
      <c r="BD19" s="13">
        <f>IF('Données projet'!$A$88&gt;35,BD18+BC19-BL18,IF(A19&lt;'Données projet'!$A$88,$BA$205^A19,IF(A19='Données projet'!$A$88,'Données projet'!$B$88,BD18+BC19-BL18)))</f>
        <v>14.917538098409006</v>
      </c>
      <c r="BE19" s="14">
        <f>BD19*VLOOKUP('Données projet'!$B$11,Paramètres!$A$1:$I$89,3,0)*VLOOKUP('Données projet'!$B$11,Paramètres!$A$1:$I$89,5,0)</f>
        <v>6.9814078300554154</v>
      </c>
      <c r="BF19" s="14">
        <f t="shared" si="37"/>
        <v>2.5660204158641595</v>
      </c>
      <c r="BG19" s="22">
        <f t="shared" si="7"/>
        <v>16.628437528309927</v>
      </c>
      <c r="BH19" s="62">
        <f t="shared" si="8"/>
        <v>309.96177086164323</v>
      </c>
      <c r="BI19" s="62">
        <f ca="1">AVERAGE(OFFSET($BH$3,0,0,'Données projet'!$E$11+1,1))-AVERAGE(OFFSET($H$3,0,0,'Données projet'!$E$11+1,1))</f>
        <v>183.46485104601493</v>
      </c>
      <c r="BJ19" s="62">
        <f t="shared" si="38"/>
        <v>127.47790120677581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3.8181818181818183</v>
      </c>
      <c r="BY19" s="13">
        <f>IF('Données projet'!$A$114&gt;35,BY18+BX19-CG18,IF(A19&lt;'Données projet'!$A$114,$BV$205^A19,IF(A19='Données projet'!$A$114,'Données projet'!$B$114,BY18+BX19-CG18)))</f>
        <v>25.088566322145844</v>
      </c>
      <c r="BZ19" s="14">
        <f>BY19*VLOOKUP('Données projet'!$B$12,Paramètres!$A$1:$I$89,3,0)*VLOOKUP('Données projet'!$B$12,Paramètres!$A$1:$I$89,5,0)</f>
        <v>14.350659936267423</v>
      </c>
      <c r="CA19" s="14">
        <f t="shared" si="39"/>
        <v>4.8502491924530595</v>
      </c>
      <c r="CB19" s="22">
        <f t="shared" si="10"/>
        <v>33.441583399188175</v>
      </c>
      <c r="CC19" s="62">
        <f t="shared" si="11"/>
        <v>326.77491673252149</v>
      </c>
      <c r="CD19" s="62">
        <f ca="1">AVERAGE(OFFSET($CC$3,0,0,'Données projet'!$E$12+1,1))-AVERAGE(OFFSET($H$3,0,0,'Données projet'!$E$12+1,1))</f>
        <v>228.06050741667258</v>
      </c>
      <c r="CE19" s="62">
        <f t="shared" si="40"/>
        <v>191.94885821983536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16</v>
      </c>
      <c r="CT19" s="13">
        <f>IF('Données projet'!$A$140&gt;35,CT18+CS19-DB18,IF(A19&lt;'Données projet'!$A$140,$CQ$205^A19,IF(A19='Données projet'!$A$140,'Données projet'!$B$140,CT18+CS19-DB18)))</f>
        <v>59</v>
      </c>
      <c r="CU19" s="18">
        <f>CT19*VLOOKUP('Données projet'!$B$13,Paramètres!$A$1:$I$89,3,0)*VLOOKUP('Données projet'!$B$13,Paramètres!$A$1:$I$89,5,0)</f>
        <v>46.940400000000004</v>
      </c>
      <c r="CV19" s="14">
        <f t="shared" si="41"/>
        <v>13.82072434588865</v>
      </c>
      <c r="CW19" s="22">
        <f t="shared" si="13"/>
        <v>105.82562490242275</v>
      </c>
      <c r="CX19" s="62">
        <f t="shared" si="14"/>
        <v>399.15895823575607</v>
      </c>
      <c r="CY19" s="62">
        <f ca="1">AVERAGE(OFFSET($CX$3,0,0,'Données projet'!$E$13+1,1))-AVERAGE(OFFSET($H$3,0,0,'Données projet'!$E$13+1,1))</f>
        <v>343.37244130003143</v>
      </c>
      <c r="CZ19" s="62">
        <f t="shared" si="42"/>
        <v>318.38876834819763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13.8</v>
      </c>
      <c r="DO19" s="13">
        <f>IF('Données projet'!$A$166&gt;35,DO18+DN19-DW18,IF(A19&lt;'Données projet'!$A$166,$DL$205^A19,IF(A19='Données projet'!$A$166,'Données projet'!$B$166,DO18+DN19-DW18)))</f>
        <v>78.8</v>
      </c>
      <c r="DP19" s="18">
        <f>DO19*VLOOKUP('Données projet'!$B$14,Paramètres!$A$1:$I$89,3,0)*VLOOKUP('Données projet'!$B$14,Paramètres!$A$1:$I$89,5,0)</f>
        <v>57.77615999999999</v>
      </c>
      <c r="DQ19" s="14">
        <f t="shared" si="43"/>
        <v>16.604782565569302</v>
      </c>
      <c r="DR19" s="22">
        <f t="shared" si="16"/>
        <v>129.54680830169983</v>
      </c>
      <c r="DS19" s="62">
        <f t="shared" si="17"/>
        <v>422.88014163503317</v>
      </c>
      <c r="DT19" s="62">
        <f ca="1">AVERAGE(OFFSET($DS$3,0,0,'Données projet'!$E$14+1,1))-AVERAGE(OFFSET($H$3,0,0,'Données projet'!$E$14+1,1))</f>
        <v>263.81634201637729</v>
      </c>
      <c r="DU19" s="62">
        <f t="shared" si="44"/>
        <v>302.03767435507262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</v>
      </c>
      <c r="N20" s="14">
        <f>IF('Données projet'!$A$36&gt;35,N19+M20-V19,IF(A20&lt;'Données projet'!$A$36,$K$205^A20,IF(A20='Données projet'!$A$36,'Données projet'!$B$36,N19+M20-V19)))</f>
        <v>160.23665712752688</v>
      </c>
      <c r="O20" s="14">
        <f>N20*VLOOKUP('Données projet'!$B$9,Paramètres!$A$1:$I$89,3,0)*VLOOKUP('Données projet'!$B$9,Paramètres!$A$1:$I$89,5,0)</f>
        <v>89.572291334287527</v>
      </c>
      <c r="P20" s="14">
        <f t="shared" si="33"/>
        <v>24.462043381784262</v>
      </c>
      <c r="Q20" s="22">
        <f t="shared" si="2"/>
        <v>198.60979963049166</v>
      </c>
      <c r="R20" s="62">
        <f t="shared" si="0"/>
        <v>491.94313296382495</v>
      </c>
      <c r="S20" s="62">
        <f ca="1">AVERAGE(OFFSET($R$3,0,0,'Données projet'!$E$9+1,1))-AVERAGE(OFFSET($H$3,0,0,'Données projet'!$E$9+1,1))</f>
        <v>322.63846641467165</v>
      </c>
      <c r="T20" s="62">
        <f t="shared" si="34"/>
        <v>435.17386576419966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6.2222222222222223</v>
      </c>
      <c r="AI20" s="14">
        <f>IF('Données projet'!$A$62&gt;35,AI19+AH20-AQ19,IF(A20&lt;'Données projet'!$A$62,$AF$205^A20,IF(A20='Données projet'!$A$62,'Données projet'!$B$62,AI19+AH20-AQ19)))</f>
        <v>86.1732707185582</v>
      </c>
      <c r="AJ20" s="14">
        <f>AI20*VLOOKUP('Données projet'!$B$10,Paramètres!$A$1:$I$89,3,0)*VLOOKUP('Données projet'!$B$10,Paramètres!$A$1:$I$89,5,0)</f>
        <v>53.772120928380318</v>
      </c>
      <c r="AK20" s="14">
        <f t="shared" si="35"/>
        <v>15.583764526657339</v>
      </c>
      <c r="AL20" s="22">
        <f t="shared" si="4"/>
        <v>120.79483383419057</v>
      </c>
      <c r="AM20" s="62">
        <f t="shared" si="5"/>
        <v>414.12816716752388</v>
      </c>
      <c r="AN20" s="62">
        <f ca="1">AVERAGE(OFFSET($AM$3,0,0,'Données projet'!$E$10+1,1))-AVERAGE(OFFSET($H$3,0,0,'Données projet'!$E$10+1,1))</f>
        <v>175.05987582828078</v>
      </c>
      <c r="AO20" s="62">
        <f t="shared" si="36"/>
        <v>268.54782308462387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5.2912820512820513</v>
      </c>
      <c r="BD20" s="13">
        <f>IF('Données projet'!$A$88&gt;35,BD19+BC20-BL19,IF(A20&lt;'Données projet'!$A$88,$BA$205^A20,IF(A20='Données projet'!$A$88,'Données projet'!$B$88,BD19+BC20-BL19)))</f>
        <v>17.662542826982701</v>
      </c>
      <c r="BE20" s="14">
        <f>BD20*VLOOKUP('Données projet'!$B$11,Paramètres!$A$1:$I$89,3,0)*VLOOKUP('Données projet'!$B$11,Paramètres!$A$1:$I$89,5,0)</f>
        <v>8.2660700430279039</v>
      </c>
      <c r="BF20" s="14">
        <f t="shared" si="37"/>
        <v>2.9790482192992012</v>
      </c>
      <c r="BG20" s="22">
        <f t="shared" si="7"/>
        <v>19.585247640219709</v>
      </c>
      <c r="BH20" s="62">
        <f t="shared" si="8"/>
        <v>312.91858097355305</v>
      </c>
      <c r="BI20" s="62">
        <f ca="1">AVERAGE(OFFSET($BH$3,0,0,'Données projet'!$E$11+1,1))-AVERAGE(OFFSET($H$3,0,0,'Données projet'!$E$11+1,1))</f>
        <v>183.46485104601493</v>
      </c>
      <c r="BJ20" s="62">
        <f t="shared" si="38"/>
        <v>127.47790120677581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3.8181818181818183</v>
      </c>
      <c r="BY20" s="13">
        <f>IF('Données projet'!$A$114&gt;35,BY19+BX20-CG19,IF(A20&lt;'Données projet'!$A$114,$BV$205^A20,IF(A20='Données projet'!$A$114,'Données projet'!$B$114,BY19+BX20-CG19)))</f>
        <v>30.686198121771824</v>
      </c>
      <c r="BZ20" s="14">
        <f>BY20*VLOOKUP('Données projet'!$B$12,Paramètres!$A$1:$I$89,3,0)*VLOOKUP('Données projet'!$B$12,Paramètres!$A$1:$I$89,5,0)</f>
        <v>17.552505325653485</v>
      </c>
      <c r="CA20" s="14">
        <f t="shared" si="39"/>
        <v>5.7949555028440027</v>
      </c>
      <c r="CB20" s="22">
        <f t="shared" si="10"/>
        <v>40.663494276299794</v>
      </c>
      <c r="CC20" s="62">
        <f t="shared" si="11"/>
        <v>333.9968276096331</v>
      </c>
      <c r="CD20" s="62">
        <f ca="1">AVERAGE(OFFSET($CC$3,0,0,'Données projet'!$E$12+1,1))-AVERAGE(OFFSET($H$3,0,0,'Données projet'!$E$12+1,1))</f>
        <v>228.06050741667258</v>
      </c>
      <c r="CE20" s="62">
        <f t="shared" si="40"/>
        <v>191.94885821983536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</v>
      </c>
      <c r="CT20" s="13">
        <f>IF('Données projet'!$A$140&gt;35,CT19+CS20-DB19,IF(A20&lt;'Données projet'!$A$140,$CQ$205^A20,IF(A20='Données projet'!$A$140,'Données projet'!$B$140,CT19+CS20-DB19)))</f>
        <v>75</v>
      </c>
      <c r="CU20" s="18">
        <f>CT20*VLOOKUP('Données projet'!$B$13,Paramètres!$A$1:$I$89,3,0)*VLOOKUP('Données projet'!$B$13,Paramètres!$A$1:$I$89,5,0)</f>
        <v>59.67</v>
      </c>
      <c r="CV20" s="14">
        <f t="shared" si="41"/>
        <v>17.084807896591332</v>
      </c>
      <c r="CW20" s="22">
        <f t="shared" si="13"/>
        <v>133.68129041989656</v>
      </c>
      <c r="CX20" s="62">
        <f t="shared" si="14"/>
        <v>427.0146237532299</v>
      </c>
      <c r="CY20" s="62">
        <f ca="1">AVERAGE(OFFSET($CX$3,0,0,'Données projet'!$E$13+1,1))-AVERAGE(OFFSET($H$3,0,0,'Données projet'!$E$13+1,1))</f>
        <v>343.37244130003143</v>
      </c>
      <c r="CZ20" s="62">
        <f t="shared" si="42"/>
        <v>318.38876834819763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13.8</v>
      </c>
      <c r="DO20" s="13">
        <f>IF('Données projet'!$A$166&gt;35,DO19+DN20-DW19,IF(A20&lt;'Données projet'!$A$166,$DL$205^A20,IF(A20='Données projet'!$A$166,'Données projet'!$B$166,DO19+DN20-DW19)))</f>
        <v>92.6</v>
      </c>
      <c r="DP20" s="18">
        <f>DO20*VLOOKUP('Données projet'!$B$14,Paramètres!$A$1:$I$89,3,0)*VLOOKUP('Données projet'!$B$14,Paramètres!$A$1:$I$89,5,0)</f>
        <v>67.894319999999993</v>
      </c>
      <c r="DQ20" s="14">
        <f t="shared" si="43"/>
        <v>19.149617121326546</v>
      </c>
      <c r="DR20" s="22">
        <f t="shared" si="16"/>
        <v>151.60152381964372</v>
      </c>
      <c r="DS20" s="62">
        <f t="shared" si="17"/>
        <v>444.93485715297703</v>
      </c>
      <c r="DT20" s="62">
        <f ca="1">AVERAGE(OFFSET($DS$3,0,0,'Données projet'!$E$14+1,1))-AVERAGE(OFFSET($H$3,0,0,'Données projet'!$E$14+1,1))</f>
        <v>263.81634201637729</v>
      </c>
      <c r="DU20" s="62">
        <f t="shared" si="44"/>
        <v>302.03767435507262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216</v>
      </c>
      <c r="L21" s="13">
        <f>VLOOKUP(A21,'Données projet'!$A$35:$I$55,9,0)</f>
        <v>12</v>
      </c>
      <c r="M21" s="13">
        <f t="array" ref="M21">INDEX(L:L,MIN(IF(ISNUMBER(L21:L217),ROW(L21:L217),"")))</f>
        <v>12</v>
      </c>
      <c r="N21" s="14">
        <f>IF('Données projet'!$A$36&gt;35,N20+M21-V20,IF(A21&lt;'Données projet'!$A$36,$K$205^A21,IF(A21='Données projet'!$A$36,'Données projet'!$B$36,N20+M21-V20)))</f>
        <v>216</v>
      </c>
      <c r="O21" s="14">
        <f>N21*VLOOKUP('Données projet'!$B$9,Paramètres!$A$1:$I$89,3,0)*VLOOKUP('Données projet'!$B$9,Paramètres!$A$1:$I$89,5,0)</f>
        <v>120.744</v>
      </c>
      <c r="P21" s="14">
        <f t="shared" si="33"/>
        <v>31.848462605207807</v>
      </c>
      <c r="Q21" s="22">
        <f t="shared" si="2"/>
        <v>265.76520570407024</v>
      </c>
      <c r="R21" s="62">
        <f t="shared" si="0"/>
        <v>559.0985390374035</v>
      </c>
      <c r="S21" s="62">
        <f ca="1">AVERAGE(OFFSET($R$3,0,0,'Données projet'!$E$9+1,1))-AVERAGE(OFFSET($H$3,0,0,'Données projet'!$E$9+1,1))</f>
        <v>322.63846641467165</v>
      </c>
      <c r="T21" s="62">
        <f t="shared" si="34"/>
        <v>435.17386576419966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63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0.27500000000000002</v>
      </c>
      <c r="Y21" s="17">
        <f>IF(ISNA(VLOOKUP(A21,'Données projet'!$A$35:$I$55,7,0)),0%,VLOOKUP(A21,'Données projet'!$A$35:$I$55,7,0))</f>
        <v>0.5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12.796760722565436</v>
      </c>
      <c r="AB21" s="23">
        <f>EXP(-LN(2)/2)*AB20+(1-EXP(-LN(2)/2))/(LN(2)/2)*V21*Y21*VLOOKUP('Données projet'!$B$9,Paramètres!$A$1:$I$89,3,0)*0.475*44/12</f>
        <v>19.936912410994776</v>
      </c>
      <c r="AC21" s="24">
        <f t="shared" si="3"/>
        <v>32.73367313356021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112</v>
      </c>
      <c r="AG21" s="13">
        <f>VLOOKUP(A21,'Données projet'!$A$61:$I$81,9,0)</f>
        <v>6.2222222222222223</v>
      </c>
      <c r="AH21" s="13">
        <f t="array" ref="AH21">INDEX(AG:AG,MIN(IF(ISNUMBER(AG21:AG217),ROW(AG21:AG217),"")))</f>
        <v>6.2222222222222223</v>
      </c>
      <c r="AI21" s="14">
        <f>IF('Données projet'!$A$62&gt;35,AI20+AH21-AQ20,IF(A21&lt;'Données projet'!$A$62,$AF$205^A21,IF(A21='Données projet'!$A$62,'Données projet'!$B$62,AI20+AH21-AQ20)))</f>
        <v>112</v>
      </c>
      <c r="AJ21" s="14">
        <f>AI21*VLOOKUP('Données projet'!$B$10,Paramètres!$A$1:$I$89,3,0)*VLOOKUP('Données projet'!$B$10,Paramètres!$A$1:$I$89,5,0)</f>
        <v>69.888000000000005</v>
      </c>
      <c r="AK21" s="14">
        <f t="shared" si="35"/>
        <v>19.645641432461961</v>
      </c>
      <c r="AL21" s="22">
        <f t="shared" si="4"/>
        <v>155.93775882820458</v>
      </c>
      <c r="AM21" s="62">
        <f t="shared" si="5"/>
        <v>449.27109216153792</v>
      </c>
      <c r="AN21" s="62">
        <f ca="1">AVERAGE(OFFSET($AM$3,0,0,'Données projet'!$E$10+1,1))-AVERAGE(OFFSET($H$3,0,0,'Données projet'!$E$10+1,1))</f>
        <v>175.05987582828078</v>
      </c>
      <c r="AO21" s="62">
        <f t="shared" si="36"/>
        <v>268.54782308462387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0.3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4.2390777219390872</v>
      </c>
      <c r="AX21" s="23">
        <f t="shared" si="6"/>
        <v>4.2390777219390872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5.2912820512820513</v>
      </c>
      <c r="BD21" s="13">
        <f>IF('Données projet'!$A$88&gt;35,BD20+BC21-BL20,IF(A21&lt;'Données projet'!$A$88,$BA$205^A21,IF(A21='Données projet'!$A$88,'Données projet'!$B$88,BD20+BC21-BL20)))</f>
        <v>20.912661127929006</v>
      </c>
      <c r="BE21" s="14">
        <f>BD21*VLOOKUP('Données projet'!$B$11,Paramètres!$A$1:$I$89,3,0)*VLOOKUP('Données projet'!$B$11,Paramètres!$A$1:$I$89,5,0)</f>
        <v>9.787125407870775</v>
      </c>
      <c r="BF21" s="14">
        <f t="shared" si="37"/>
        <v>3.4585571642542829</v>
      </c>
      <c r="BG21" s="22">
        <f t="shared" si="7"/>
        <v>23.06956381311781</v>
      </c>
      <c r="BH21" s="62">
        <f t="shared" si="8"/>
        <v>316.4028971464511</v>
      </c>
      <c r="BI21" s="62">
        <f ca="1">AVERAGE(OFFSET($BH$3,0,0,'Données projet'!$E$11+1,1))-AVERAGE(OFFSET($H$3,0,0,'Données projet'!$E$11+1,1))</f>
        <v>183.46485104601493</v>
      </c>
      <c r="BJ21" s="62">
        <f t="shared" si="38"/>
        <v>127.47790120677581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3.8181818181818183</v>
      </c>
      <c r="BY21" s="13">
        <f>IF('Données projet'!$A$114&gt;35,BY20+BX21-CG20,IF(A21&lt;'Données projet'!$A$114,$BV$205^A21,IF(A21='Données projet'!$A$114,'Données projet'!$B$114,BY20+BX21-CG20)))</f>
        <v>37.532744720348504</v>
      </c>
      <c r="BZ21" s="14">
        <f>BY21*VLOOKUP('Données projet'!$B$12,Paramètres!$A$1:$I$89,3,0)*VLOOKUP('Données projet'!$B$12,Paramètres!$A$1:$I$89,5,0)</f>
        <v>21.468729980039349</v>
      </c>
      <c r="CA21" s="14">
        <f t="shared" si="39"/>
        <v>6.9236667947276818</v>
      </c>
      <c r="CB21" s="22">
        <f t="shared" si="10"/>
        <v>49.450091049385911</v>
      </c>
      <c r="CC21" s="62">
        <f t="shared" si="11"/>
        <v>342.7834243827192</v>
      </c>
      <c r="CD21" s="62">
        <f ca="1">AVERAGE(OFFSET($CC$3,0,0,'Données projet'!$E$12+1,1))-AVERAGE(OFFSET($H$3,0,0,'Données projet'!$E$12+1,1))</f>
        <v>228.06050741667258</v>
      </c>
      <c r="CE21" s="62">
        <f t="shared" si="40"/>
        <v>191.94885821983536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</v>
      </c>
      <c r="CT21" s="13">
        <f>IF('Données projet'!$A$140&gt;35,CT20+CS21-DB20,IF(A21&lt;'Données projet'!$A$140,$CQ$205^A21,IF(A21='Données projet'!$A$140,'Données projet'!$B$140,CT20+CS21-DB20)))</f>
        <v>91</v>
      </c>
      <c r="CU21" s="18">
        <f>CT21*VLOOKUP('Données projet'!$B$13,Paramètres!$A$1:$I$89,3,0)*VLOOKUP('Données projet'!$B$13,Paramètres!$A$1:$I$89,5,0)</f>
        <v>72.399600000000007</v>
      </c>
      <c r="CV21" s="14">
        <f t="shared" si="41"/>
        <v>20.268188832715463</v>
      </c>
      <c r="CW21" s="22">
        <f t="shared" si="13"/>
        <v>161.39639888364613</v>
      </c>
      <c r="CX21" s="62">
        <f t="shared" si="14"/>
        <v>454.72973221697941</v>
      </c>
      <c r="CY21" s="62">
        <f ca="1">AVERAGE(OFFSET($CX$3,0,0,'Données projet'!$E$13+1,1))-AVERAGE(OFFSET($H$3,0,0,'Données projet'!$E$13+1,1))</f>
        <v>343.37244130003143</v>
      </c>
      <c r="CZ21" s="62">
        <f t="shared" si="42"/>
        <v>318.38876834819763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13.8</v>
      </c>
      <c r="DO21" s="13">
        <f>IF('Données projet'!$A$166&gt;35,DO20+DN21-DW20,IF(A21&lt;'Données projet'!$A$166,$DL$205^A21,IF(A21='Données projet'!$A$166,'Données projet'!$B$166,DO20+DN21-DW20)))</f>
        <v>106.39999999999999</v>
      </c>
      <c r="DP21" s="18">
        <f>DO21*VLOOKUP('Données projet'!$B$14,Paramètres!$A$1:$I$89,3,0)*VLOOKUP('Données projet'!$B$14,Paramètres!$A$1:$I$89,5,0)</f>
        <v>78.012479999999996</v>
      </c>
      <c r="DQ21" s="14">
        <f t="shared" si="43"/>
        <v>21.650515914942144</v>
      </c>
      <c r="DR21" s="22">
        <f t="shared" si="16"/>
        <v>173.57971788519089</v>
      </c>
      <c r="DS21" s="62">
        <f t="shared" si="17"/>
        <v>466.91305121852417</v>
      </c>
      <c r="DT21" s="62">
        <f ca="1">AVERAGE(OFFSET($DS$3,0,0,'Données projet'!$E$14+1,1))-AVERAGE(OFFSET($H$3,0,0,'Données projet'!$E$14+1,1))</f>
        <v>263.81634201637729</v>
      </c>
      <c r="DU21" s="62">
        <f t="shared" si="44"/>
        <v>302.03767435507262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24.333333333333332</v>
      </c>
      <c r="N22" s="14">
        <f>IF('Données projet'!$A$36&gt;35,N21+M22-V21,IF(A22&lt;'Données projet'!$A$36,$K$205^A22,IF(A22='Données projet'!$A$36,'Données projet'!$B$36,N21+M22-V21)))</f>
        <v>177.33333333333334</v>
      </c>
      <c r="O22" s="14">
        <f>N22*VLOOKUP('Données projet'!$B$9,Paramètres!$A$1:$I$89,3,0)*VLOOKUP('Données projet'!$B$9,Paramètres!$A$1:$I$89,5,0)</f>
        <v>99.129333333333335</v>
      </c>
      <c r="P22" s="14">
        <f t="shared" si="33"/>
        <v>26.754467771372262</v>
      </c>
      <c r="Q22" s="22">
        <f t="shared" si="2"/>
        <v>219.24762025736223</v>
      </c>
      <c r="R22" s="62">
        <f t="shared" si="0"/>
        <v>512.58095359069557</v>
      </c>
      <c r="S22" s="62">
        <f ca="1">AVERAGE(OFFSET($R$3,0,0,'Données projet'!$E$9+1,1))-AVERAGE(OFFSET($H$3,0,0,'Données projet'!$E$9+1,1))</f>
        <v>322.63846641467165</v>
      </c>
      <c r="T22" s="62">
        <f t="shared" si="34"/>
        <v>435.17386576419966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12.446832627654485</v>
      </c>
      <c r="AB22" s="23">
        <f>EXP(-LN(2)/2)*AB21+(1-EXP(-LN(2)/2))/(LN(2)/2)*V22*Y22*VLOOKUP('Données projet'!$B$9,Paramètres!$A$1:$I$89,3,0)*0.475*44/12</f>
        <v>14.097525961736647</v>
      </c>
      <c r="AC22" s="24">
        <f t="shared" si="3"/>
        <v>26.54435858939113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</v>
      </c>
      <c r="AI22" s="14">
        <f>IF('Données projet'!$A$62&gt;35,AI21+AH22-AQ21,IF(A22&lt;'Données projet'!$A$62,$AF$205^A22,IF(A22='Données projet'!$A$62,'Données projet'!$B$62,AI21+AH22-AQ21)))</f>
        <v>110</v>
      </c>
      <c r="AJ22" s="14">
        <f>AI22*VLOOKUP('Données projet'!$B$10,Paramètres!$A$1:$I$89,3,0)*VLOOKUP('Données projet'!$B$10,Paramètres!$A$1:$I$89,5,0)</f>
        <v>68.64</v>
      </c>
      <c r="AK22" s="14">
        <f t="shared" si="35"/>
        <v>19.335336956640202</v>
      </c>
      <c r="AL22" s="22">
        <f t="shared" si="4"/>
        <v>153.22371186614836</v>
      </c>
      <c r="AM22" s="62">
        <f t="shared" si="5"/>
        <v>446.55704519948165</v>
      </c>
      <c r="AN22" s="62">
        <f ca="1">AVERAGE(OFFSET($AM$3,0,0,'Données projet'!$E$10+1,1))-AVERAGE(OFFSET($H$3,0,0,'Données projet'!$E$10+1,1))</f>
        <v>175.05987582828078</v>
      </c>
      <c r="AO22" s="62">
        <f t="shared" si="36"/>
        <v>268.54782308462387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2.9974806031599508</v>
      </c>
      <c r="AX22" s="23">
        <f t="shared" si="6"/>
        <v>2.9974806031599508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5.2912820512820513</v>
      </c>
      <c r="BD22" s="13">
        <f>IF('Données projet'!$A$88&gt;35,BD21+BC22-BL21,IF(A22&lt;'Données projet'!$A$88,$BA$205^A22,IF(A22='Données projet'!$A$88,'Données projet'!$B$88,BD21+BC22-BL21)))</f>
        <v>24.760839916180057</v>
      </c>
      <c r="BE22" s="14">
        <f>BD22*VLOOKUP('Données projet'!$B$11,Paramètres!$A$1:$I$89,3,0)*VLOOKUP('Données projet'!$B$11,Paramètres!$A$1:$I$89,5,0)</f>
        <v>11.588073080772267</v>
      </c>
      <c r="BF22" s="14">
        <f t="shared" si="37"/>
        <v>4.0152480852520442</v>
      </c>
      <c r="BG22" s="22">
        <f t="shared" si="7"/>
        <v>27.175784364159011</v>
      </c>
      <c r="BH22" s="62">
        <f t="shared" si="8"/>
        <v>320.50911769749234</v>
      </c>
      <c r="BI22" s="62">
        <f ca="1">AVERAGE(OFFSET($BH$3,0,0,'Données projet'!$E$11+1,1))-AVERAGE(OFFSET($H$3,0,0,'Données projet'!$E$11+1,1))</f>
        <v>183.46485104601493</v>
      </c>
      <c r="BJ22" s="62">
        <f t="shared" si="38"/>
        <v>127.47790120677581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3.8181818181818183</v>
      </c>
      <c r="BY22" s="13">
        <f>IF('Données projet'!$A$114&gt;35,BY21+BX22-CG21,IF(A22&lt;'Données projet'!$A$114,$BV$205^A22,IF(A22='Données projet'!$A$114,'Données projet'!$B$114,BY21+BX22-CG21)))</f>
        <v>45.906857560284479</v>
      </c>
      <c r="BZ22" s="14">
        <f>BY22*VLOOKUP('Données projet'!$B$12,Paramètres!$A$1:$I$89,3,0)*VLOOKUP('Données projet'!$B$12,Paramètres!$A$1:$I$89,5,0)</f>
        <v>26.258722524482721</v>
      </c>
      <c r="CA22" s="14">
        <f t="shared" si="39"/>
        <v>8.2722226013449838</v>
      </c>
      <c r="CB22" s="22">
        <f t="shared" si="10"/>
        <v>60.141396094149911</v>
      </c>
      <c r="CC22" s="62">
        <f t="shared" si="11"/>
        <v>353.47472942748323</v>
      </c>
      <c r="CD22" s="62">
        <f ca="1">AVERAGE(OFFSET($CC$3,0,0,'Données projet'!$E$12+1,1))-AVERAGE(OFFSET($H$3,0,0,'Données projet'!$E$12+1,1))</f>
        <v>228.06050741667258</v>
      </c>
      <c r="CE22" s="62">
        <f t="shared" si="40"/>
        <v>191.94885821983536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</v>
      </c>
      <c r="CT22" s="13">
        <f>IF('Données projet'!$A$140&gt;35,CT21+CS22-DB21,IF(A22&lt;'Données projet'!$A$140,$CQ$205^A22,IF(A22='Données projet'!$A$140,'Données projet'!$B$140,CT21+CS22-DB21)))</f>
        <v>107</v>
      </c>
      <c r="CU22" s="18">
        <f>CT22*VLOOKUP('Données projet'!$B$13,Paramètres!$A$1:$I$89,3,0)*VLOOKUP('Données projet'!$B$13,Paramètres!$A$1:$I$89,5,0)</f>
        <v>85.129199999999997</v>
      </c>
      <c r="CV22" s="14">
        <f t="shared" si="41"/>
        <v>23.386728480923388</v>
      </c>
      <c r="CW22" s="22">
        <f t="shared" si="13"/>
        <v>188.99857543760822</v>
      </c>
      <c r="CX22" s="62">
        <f t="shared" si="14"/>
        <v>482.33190877094154</v>
      </c>
      <c r="CY22" s="62">
        <f ca="1">AVERAGE(OFFSET($CX$3,0,0,'Données projet'!$E$13+1,1))-AVERAGE(OFFSET($H$3,0,0,'Données projet'!$E$13+1,1))</f>
        <v>343.37244130003143</v>
      </c>
      <c r="CZ22" s="62">
        <f t="shared" si="42"/>
        <v>318.38876834819763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13.8</v>
      </c>
      <c r="DO22" s="13">
        <f>IF('Données projet'!$A$166&gt;35,DO21+DN22-DW21,IF(A22&lt;'Données projet'!$A$166,$DL$205^A22,IF(A22='Données projet'!$A$166,'Données projet'!$B$166,DO21+DN22-DW21)))</f>
        <v>120.19999999999999</v>
      </c>
      <c r="DP22" s="18">
        <f>DO22*VLOOKUP('Données projet'!$B$14,Paramètres!$A$1:$I$89,3,0)*VLOOKUP('Données projet'!$B$14,Paramètres!$A$1:$I$89,5,0)</f>
        <v>88.130639999999985</v>
      </c>
      <c r="DQ22" s="14">
        <f t="shared" si="43"/>
        <v>24.113831111728981</v>
      </c>
      <c r="DR22" s="22">
        <f t="shared" si="16"/>
        <v>195.49245385292795</v>
      </c>
      <c r="DS22" s="62">
        <f t="shared" si="17"/>
        <v>488.82578718626127</v>
      </c>
      <c r="DT22" s="62">
        <f ca="1">AVERAGE(OFFSET($DS$3,0,0,'Données projet'!$E$14+1,1))-AVERAGE(OFFSET($H$3,0,0,'Données projet'!$E$14+1,1))</f>
        <v>263.81634201637729</v>
      </c>
      <c r="DU22" s="62">
        <f t="shared" si="44"/>
        <v>302.03767435507262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24.333333333333332</v>
      </c>
      <c r="N23" s="14">
        <f>IF('Données projet'!$A$36&gt;35,N22+M23-V22,IF(A23&lt;'Données projet'!$A$36,$K$205^A23,IF(A23='Données projet'!$A$36,'Données projet'!$B$36,N22+M23-V22)))</f>
        <v>201.66666666666669</v>
      </c>
      <c r="O23" s="14">
        <f>N23*VLOOKUP('Données projet'!$B$9,Paramètres!$A$1:$I$89,3,0)*VLOOKUP('Données projet'!$B$9,Paramètres!$A$1:$I$89,5,0)</f>
        <v>112.73166666666667</v>
      </c>
      <c r="P23" s="14">
        <f t="shared" si="33"/>
        <v>29.973664832526055</v>
      </c>
      <c r="Q23" s="22">
        <f t="shared" si="2"/>
        <v>248.54511902776062</v>
      </c>
      <c r="R23" s="62">
        <f t="shared" si="0"/>
        <v>541.87845236109388</v>
      </c>
      <c r="S23" s="62">
        <f ca="1">AVERAGE(OFFSET($R$3,0,0,'Données projet'!$E$9+1,1))-AVERAGE(OFFSET($H$3,0,0,'Données projet'!$E$9+1,1))</f>
        <v>322.63846641467165</v>
      </c>
      <c r="T23" s="62">
        <f t="shared" si="34"/>
        <v>435.17386576419966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12.106473334900793</v>
      </c>
      <c r="AB23" s="23">
        <f>EXP(-LN(2)/2)*AB22+(1-EXP(-LN(2)/2))/(LN(2)/2)*V23*Y23*VLOOKUP('Données projet'!$B$9,Paramètres!$A$1:$I$89,3,0)*0.475*44/12</f>
        <v>9.9684562054973895</v>
      </c>
      <c r="AC23" s="24">
        <f t="shared" si="3"/>
        <v>22.07492954039818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18</v>
      </c>
      <c r="AI23" s="14">
        <f>IF('Données projet'!$A$62&gt;35,AI22+AH23-AQ22,IF(A23&lt;'Données projet'!$A$62,$AF$205^A23,IF(A23='Données projet'!$A$62,'Données projet'!$B$62,AI22+AH23-AQ22)))</f>
        <v>128</v>
      </c>
      <c r="AJ23" s="14">
        <f>AI23*VLOOKUP('Données projet'!$B$10,Paramètres!$A$1:$I$89,3,0)*VLOOKUP('Données projet'!$B$10,Paramètres!$A$1:$I$89,5,0)</f>
        <v>79.872</v>
      </c>
      <c r="AK23" s="14">
        <f t="shared" si="35"/>
        <v>22.105884547145418</v>
      </c>
      <c r="AL23" s="22">
        <f t="shared" si="4"/>
        <v>177.61148225294494</v>
      </c>
      <c r="AM23" s="62">
        <f t="shared" si="5"/>
        <v>470.94481558627825</v>
      </c>
      <c r="AN23" s="62">
        <f ca="1">AVERAGE(OFFSET($AM$3,0,0,'Données projet'!$E$10+1,1))-AVERAGE(OFFSET($H$3,0,0,'Données projet'!$E$10+1,1))</f>
        <v>175.05987582828078</v>
      </c>
      <c r="AO23" s="62">
        <f t="shared" si="36"/>
        <v>268.54782308462387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2.119538860969544</v>
      </c>
      <c r="AX23" s="23">
        <f t="shared" si="6"/>
        <v>2.119538860969544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5.2912820512820513</v>
      </c>
      <c r="BD23" s="13">
        <f>IF('Données projet'!$A$88&gt;35,BD22+BC23-BL22,IF(A23&lt;'Données projet'!$A$88,$BA$205^A23,IF(A23='Données projet'!$A$88,'Données projet'!$B$88,BD22+BC23-BL22)))</f>
        <v>29.317129446328433</v>
      </c>
      <c r="BE23" s="14">
        <f>BD23*VLOOKUP('Données projet'!$B$11,Paramètres!$A$1:$I$89,3,0)*VLOOKUP('Données projet'!$B$11,Paramètres!$A$1:$I$89,5,0)</f>
        <v>13.720416580881707</v>
      </c>
      <c r="BF23" s="14">
        <f t="shared" si="37"/>
        <v>4.6615442279660568</v>
      </c>
      <c r="BG23" s="22">
        <f t="shared" si="7"/>
        <v>32.01524840874319</v>
      </c>
      <c r="BH23" s="62">
        <f t="shared" si="8"/>
        <v>325.34858174207648</v>
      </c>
      <c r="BI23" s="62">
        <f ca="1">AVERAGE(OFFSET($BH$3,0,0,'Données projet'!$E$11+1,1))-AVERAGE(OFFSET($H$3,0,0,'Données projet'!$E$11+1,1))</f>
        <v>183.46485104601493</v>
      </c>
      <c r="BJ23" s="62">
        <f t="shared" si="38"/>
        <v>127.47790120677581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3.8181818181818183</v>
      </c>
      <c r="BY23" s="13">
        <f>IF('Données projet'!$A$114&gt;35,BY22+BX23-CG22,IF(A23&lt;'Données projet'!$A$114,$BV$205^A23,IF(A23='Données projet'!$A$114,'Données projet'!$B$114,BY22+BX23-CG22)))</f>
        <v>56.14935935974043</v>
      </c>
      <c r="BZ23" s="14">
        <f>BY23*VLOOKUP('Données projet'!$B$12,Paramètres!$A$1:$I$89,3,0)*VLOOKUP('Données projet'!$B$12,Paramètres!$A$1:$I$89,5,0)</f>
        <v>32.117433553771527</v>
      </c>
      <c r="CA23" s="14">
        <f t="shared" si="39"/>
        <v>9.8834430938114259</v>
      </c>
      <c r="CB23" s="22">
        <f t="shared" si="10"/>
        <v>73.151526827873639</v>
      </c>
      <c r="CC23" s="62">
        <f t="shared" si="11"/>
        <v>366.48486016120694</v>
      </c>
      <c r="CD23" s="62">
        <f ca="1">AVERAGE(OFFSET($CC$3,0,0,'Données projet'!$E$12+1,1))-AVERAGE(OFFSET($H$3,0,0,'Données projet'!$E$12+1,1))</f>
        <v>228.06050741667258</v>
      </c>
      <c r="CE23" s="62">
        <f t="shared" si="40"/>
        <v>191.94885821983536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123</v>
      </c>
      <c r="CR23" s="13">
        <f>VLOOKUP(A23,'Données projet'!$A$139:$I$159,9,0)</f>
        <v>16</v>
      </c>
      <c r="CS23" s="13">
        <f t="array" ref="CS23">INDEX(CR:CR,MIN(IF(ISNUMBER(CR23:CR219),ROW(CR23:CR219),"")))</f>
        <v>16</v>
      </c>
      <c r="CT23" s="13">
        <f>IF('Données projet'!$A$140&gt;35,CT22+CS23-DB22,IF(A23&lt;'Données projet'!$A$140,$CQ$205^A23,IF(A23='Données projet'!$A$140,'Données projet'!$B$140,CT22+CS23-DB22)))</f>
        <v>123</v>
      </c>
      <c r="CU23" s="18">
        <f>CT23*VLOOKUP('Données projet'!$B$13,Paramètres!$A$1:$I$89,3,0)*VLOOKUP('Données projet'!$B$13,Paramètres!$A$1:$I$89,5,0)</f>
        <v>97.858800000000016</v>
      </c>
      <c r="CV23" s="14">
        <f t="shared" si="41"/>
        <v>26.45124536158788</v>
      </c>
      <c r="CW23" s="22">
        <f t="shared" si="13"/>
        <v>216.50666233809889</v>
      </c>
      <c r="CX23" s="62">
        <f t="shared" si="14"/>
        <v>509.83999567143223</v>
      </c>
      <c r="CY23" s="62">
        <f ca="1">AVERAGE(OFFSET($CX$3,0,0,'Données projet'!$E$13+1,1))-AVERAGE(OFFSET($H$3,0,0,'Données projet'!$E$13+1,1))</f>
        <v>343.37244130003143</v>
      </c>
      <c r="CZ23" s="62">
        <f t="shared" si="42"/>
        <v>318.38876834819763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134</v>
      </c>
      <c r="DM23" s="13">
        <f>VLOOKUP(A23,'Données projet'!$A$165:$I$185,9,0)</f>
        <v>13.8</v>
      </c>
      <c r="DN23" s="13">
        <f t="array" ref="DN23">INDEX(DM:DM,MIN(IF(ISNUMBER(DM23:DM219),ROW(DM23:DM219),"")))</f>
        <v>13.8</v>
      </c>
      <c r="DO23" s="13">
        <f>IF('Données projet'!$A$166&gt;35,DO22+DN23-DW22,IF(A23&lt;'Données projet'!$A$166,$DL$205^A23,IF(A23='Données projet'!$A$166,'Données projet'!$B$166,DO22+DN23-DW22)))</f>
        <v>134</v>
      </c>
      <c r="DP23" s="18">
        <f>DO23*VLOOKUP('Données projet'!$B$14,Paramètres!$A$1:$I$89,3,0)*VLOOKUP('Données projet'!$B$14,Paramètres!$A$1:$I$89,5,0)</f>
        <v>98.248800000000003</v>
      </c>
      <c r="DQ23" s="14">
        <f t="shared" si="43"/>
        <v>26.544370291039833</v>
      </c>
      <c r="DR23" s="22">
        <f t="shared" si="16"/>
        <v>217.34810492356107</v>
      </c>
      <c r="DS23" s="62">
        <f t="shared" si="17"/>
        <v>510.68143825689435</v>
      </c>
      <c r="DT23" s="62">
        <f ca="1">AVERAGE(OFFSET($DS$3,0,0,'Données projet'!$E$14+1,1))-AVERAGE(OFFSET($H$3,0,0,'Données projet'!$E$14+1,1))</f>
        <v>263.81634201637729</v>
      </c>
      <c r="DU23" s="62">
        <f t="shared" si="44"/>
        <v>302.03767435507262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24.333333333333332</v>
      </c>
      <c r="N24" s="14">
        <f>IF('Données projet'!$A$36&gt;35,N23+M24-V23,IF(A24&lt;'Données projet'!$A$36,$K$205^A24,IF(A24='Données projet'!$A$36,'Données projet'!$B$36,N23+M24-V23)))</f>
        <v>226.00000000000003</v>
      </c>
      <c r="O24" s="14">
        <f>N24*VLOOKUP('Données projet'!$B$9,Paramètres!$A$1:$I$89,3,0)*VLOOKUP('Données projet'!$B$9,Paramètres!$A$1:$I$89,5,0)</f>
        <v>126.33400000000002</v>
      </c>
      <c r="P24" s="14">
        <f t="shared" si="33"/>
        <v>33.147849254556341</v>
      </c>
      <c r="Q24" s="22">
        <f t="shared" si="2"/>
        <v>277.76422078501901</v>
      </c>
      <c r="R24" s="62">
        <f t="shared" si="0"/>
        <v>571.09755411835226</v>
      </c>
      <c r="S24" s="62">
        <f ca="1">AVERAGE(OFFSET($R$3,0,0,'Données projet'!$E$9+1,1))-AVERAGE(OFFSET($H$3,0,0,'Données projet'!$E$9+1,1))</f>
        <v>322.63846641467165</v>
      </c>
      <c r="T24" s="62">
        <f t="shared" si="34"/>
        <v>435.17386576419966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11.775421184906168</v>
      </c>
      <c r="AB24" s="23">
        <f>EXP(-LN(2)/2)*AB23+(1-EXP(-LN(2)/2))/(LN(2)/2)*V24*Y24*VLOOKUP('Données projet'!$B$9,Paramètres!$A$1:$I$89,3,0)*0.475*44/12</f>
        <v>7.0487629808683252</v>
      </c>
      <c r="AC24" s="24">
        <f t="shared" si="3"/>
        <v>18.824184165774493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>
        <f>VLOOKUP(A24,'Données projet'!$A$61:$I$81,2,0)</f>
        <v>146</v>
      </c>
      <c r="AG24" s="13">
        <f>VLOOKUP(A24,'Données projet'!$A$61:$I$81,9,0)</f>
        <v>18</v>
      </c>
      <c r="AH24" s="13">
        <f t="array" ref="AH24">INDEX(AG:AG,MIN(IF(ISNUMBER(AG24:AG220),ROW(AG24:AG220),"")))</f>
        <v>18</v>
      </c>
      <c r="AI24" s="14">
        <f>IF('Données projet'!$A$62&gt;35,AI23+AH24-AQ23,IF(A24&lt;'Données projet'!$A$62,$AF$205^A24,IF(A24='Données projet'!$A$62,'Données projet'!$B$62,AI23+AH24-AQ23)))</f>
        <v>146</v>
      </c>
      <c r="AJ24" s="14">
        <f>AI24*VLOOKUP('Données projet'!$B$10,Paramètres!$A$1:$I$89,3,0)*VLOOKUP('Données projet'!$B$10,Paramètres!$A$1:$I$89,5,0)</f>
        <v>91.103999999999999</v>
      </c>
      <c r="AK24" s="14">
        <f t="shared" si="35"/>
        <v>24.831293984707884</v>
      </c>
      <c r="AL24" s="22">
        <f t="shared" si="4"/>
        <v>201.92063702336623</v>
      </c>
      <c r="AM24" s="62">
        <f t="shared" si="5"/>
        <v>495.25397035669954</v>
      </c>
      <c r="AN24" s="62">
        <f ca="1">AVERAGE(OFFSET($AM$3,0,0,'Données projet'!$E$10+1,1))-AVERAGE(OFFSET($H$3,0,0,'Données projet'!$E$10+1,1))</f>
        <v>175.05987582828078</v>
      </c>
      <c r="AO24" s="62">
        <f t="shared" si="36"/>
        <v>268.54782308462387</v>
      </c>
      <c r="AP24" s="16">
        <f>IF(ISNA(VLOOKUP(A24,'Données projet'!$A$61:$I$81,3,0)),0,VLOOKUP(A24,'Données projet'!$A$61:$I$81,3,0))</f>
        <v>2</v>
      </c>
      <c r="AQ24" s="16">
        <f>IF(ISNA(VLOOKUP(A24,'Données projet'!$A$61:$I$81,4,0)),0,VLOOKUP(A24,'Données projet'!$A$61:$I$81,4,0))</f>
        <v>26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0.4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8.8464750196077269</v>
      </c>
      <c r="AX24" s="23">
        <f t="shared" si="6"/>
        <v>8.8464750196077269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5.2912820512820513</v>
      </c>
      <c r="BD24" s="13">
        <f>IF('Données projet'!$A$88&gt;35,BD23+BC24-BL23,IF(A24&lt;'Données projet'!$A$88,$BA$205^A24,IF(A24='Données projet'!$A$88,'Données projet'!$B$88,BD23+BC24-BL23)))</f>
        <v>34.71183053088351</v>
      </c>
      <c r="BE24" s="14">
        <f>BD24*VLOOKUP('Données projet'!$B$11,Paramètres!$A$1:$I$89,3,0)*VLOOKUP('Données projet'!$B$11,Paramètres!$A$1:$I$89,5,0)</f>
        <v>16.245136688453481</v>
      </c>
      <c r="BF24" s="14">
        <f t="shared" si="37"/>
        <v>5.411868489296503</v>
      </c>
      <c r="BG24" s="22">
        <f t="shared" si="7"/>
        <v>37.719284017914553</v>
      </c>
      <c r="BH24" s="62">
        <f t="shared" si="8"/>
        <v>331.05261735124787</v>
      </c>
      <c r="BI24" s="62">
        <f ca="1">AVERAGE(OFFSET($BH$3,0,0,'Données projet'!$E$11+1,1))-AVERAGE(OFFSET($H$3,0,0,'Données projet'!$E$11+1,1))</f>
        <v>183.46485104601493</v>
      </c>
      <c r="BJ24" s="62">
        <f t="shared" si="38"/>
        <v>127.47790120677581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3.8181818181818183</v>
      </c>
      <c r="BY24" s="13">
        <f>IF('Données projet'!$A$114&gt;35,BY23+BX24-CG23,IF(A24&lt;'Données projet'!$A$114,$BV$205^A24,IF(A24='Données projet'!$A$114,'Données projet'!$B$114,BY23+BX24-CG23)))</f>
        <v>68.677115447710747</v>
      </c>
      <c r="BZ24" s="14">
        <f>BY24*VLOOKUP('Données projet'!$B$12,Paramètres!$A$1:$I$89,3,0)*VLOOKUP('Données projet'!$B$12,Paramètres!$A$1:$I$89,5,0)</f>
        <v>39.283310036090548</v>
      </c>
      <c r="CA24" s="14">
        <f t="shared" si="39"/>
        <v>11.808488733454363</v>
      </c>
      <c r="CB24" s="22">
        <f t="shared" si="10"/>
        <v>88.98488285695737</v>
      </c>
      <c r="CC24" s="62">
        <f t="shared" si="11"/>
        <v>382.31821619029068</v>
      </c>
      <c r="CD24" s="62">
        <f ca="1">AVERAGE(OFFSET($CC$3,0,0,'Données projet'!$E$12+1,1))-AVERAGE(OFFSET($H$3,0,0,'Données projet'!$E$12+1,1))</f>
        <v>228.06050741667258</v>
      </c>
      <c r="CE24" s="62">
        <f t="shared" si="40"/>
        <v>191.94885821983536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16.8</v>
      </c>
      <c r="CT24" s="13">
        <f>IF('Données projet'!$A$140&gt;35,CT23+CS24-DB23,IF(A24&lt;'Données projet'!$A$140,$CQ$205^A24,IF(A24='Données projet'!$A$140,'Données projet'!$B$140,CT23+CS24-DB23)))</f>
        <v>139.80000000000001</v>
      </c>
      <c r="CU24" s="18">
        <f>CT24*VLOOKUP('Données projet'!$B$13,Paramètres!$A$1:$I$89,3,0)*VLOOKUP('Données projet'!$B$13,Paramètres!$A$1:$I$89,5,0)</f>
        <v>111.22488000000001</v>
      </c>
      <c r="CV24" s="14">
        <f t="shared" si="41"/>
        <v>29.619389596563099</v>
      </c>
      <c r="CW24" s="22">
        <f t="shared" si="13"/>
        <v>245.30376954734746</v>
      </c>
      <c r="CX24" s="62">
        <f t="shared" si="14"/>
        <v>538.6371028806808</v>
      </c>
      <c r="CY24" s="62">
        <f ca="1">AVERAGE(OFFSET($CX$3,0,0,'Données projet'!$E$13+1,1))-AVERAGE(OFFSET($H$3,0,0,'Données projet'!$E$13+1,1))</f>
        <v>343.37244130003143</v>
      </c>
      <c r="CZ24" s="62">
        <f t="shared" si="42"/>
        <v>318.38876834819763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81.800000000000011</v>
      </c>
      <c r="DP24" s="18">
        <f>DO24*VLOOKUP('Données projet'!$B$14,Paramètres!$A$1:$I$89,3,0)*VLOOKUP('Données projet'!$B$14,Paramètres!$A$1:$I$89,5,0)</f>
        <v>59.975760000000008</v>
      </c>
      <c r="DQ24" s="14">
        <f t="shared" si="43"/>
        <v>17.162140235844557</v>
      </c>
      <c r="DR24" s="22">
        <f t="shared" si="16"/>
        <v>134.34850957742927</v>
      </c>
      <c r="DS24" s="62">
        <f t="shared" si="17"/>
        <v>427.68184291076261</v>
      </c>
      <c r="DT24" s="62">
        <f ca="1">AVERAGE(OFFSET($DS$3,0,0,'Données projet'!$E$14+1,1))-AVERAGE(OFFSET($H$3,0,0,'Données projet'!$E$14+1,1))</f>
        <v>263.81634201637729</v>
      </c>
      <c r="DU24" s="62">
        <f t="shared" si="44"/>
        <v>302.03767435507262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24.333333333333332</v>
      </c>
      <c r="N25" s="14">
        <f>IF('Données projet'!$A$36&gt;35,N24+M25-V24,IF(A25&lt;'Données projet'!$A$36,$K$205^A25,IF(A25='Données projet'!$A$36,'Données projet'!$B$36,N24+M25-V24)))</f>
        <v>250.33333333333337</v>
      </c>
      <c r="O25" s="14">
        <f>N25*VLOOKUP('Données projet'!$B$9,Paramètres!$A$1:$I$89,3,0)*VLOOKUP('Données projet'!$B$9,Paramètres!$A$1:$I$89,5,0)</f>
        <v>139.93633333333335</v>
      </c>
      <c r="P25" s="14">
        <f t="shared" si="33"/>
        <v>36.282419969619092</v>
      </c>
      <c r="Q25" s="22">
        <f t="shared" si="2"/>
        <v>306.91432866930882</v>
      </c>
      <c r="R25" s="62">
        <f t="shared" si="0"/>
        <v>600.24766200264207</v>
      </c>
      <c r="S25" s="62">
        <f ca="1">AVERAGE(OFFSET($R$3,0,0,'Données projet'!$E$9+1,1))-AVERAGE(OFFSET($H$3,0,0,'Données projet'!$E$9+1,1))</f>
        <v>322.63846641467165</v>
      </c>
      <c r="T25" s="62">
        <f t="shared" si="34"/>
        <v>435.17386576419966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11.453421673362422</v>
      </c>
      <c r="AB25" s="23">
        <f>EXP(-LN(2)/2)*AB24+(1-EXP(-LN(2)/2))/(LN(2)/2)*V25*Y25*VLOOKUP('Données projet'!$B$9,Paramètres!$A$1:$I$89,3,0)*0.475*44/12</f>
        <v>4.9842281027486957</v>
      </c>
      <c r="AC25" s="24">
        <f t="shared" si="3"/>
        <v>16.437649776111119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</v>
      </c>
      <c r="AI25" s="14">
        <f>IF('Données projet'!$A$62&gt;35,AI24+AH25-AQ24,IF(A25&lt;'Données projet'!$A$62,$AF$205^A25,IF(A25='Données projet'!$A$62,'Données projet'!$B$62,AI24+AH25-AQ24)))</f>
        <v>136</v>
      </c>
      <c r="AJ25" s="14">
        <f>AI25*VLOOKUP('Données projet'!$B$10,Paramètres!$A$1:$I$89,3,0)*VLOOKUP('Données projet'!$B$10,Paramètres!$A$1:$I$89,5,0)</f>
        <v>84.864000000000004</v>
      </c>
      <c r="AK25" s="14">
        <f t="shared" si="35"/>
        <v>23.322341364766192</v>
      </c>
      <c r="AL25" s="22">
        <f t="shared" si="4"/>
        <v>188.42454454363443</v>
      </c>
      <c r="AM25" s="62">
        <f t="shared" si="5"/>
        <v>481.75787787696777</v>
      </c>
      <c r="AN25" s="62">
        <f ca="1">AVERAGE(OFFSET($AM$3,0,0,'Données projet'!$E$10+1,1))-AVERAGE(OFFSET($H$3,0,0,'Données projet'!$E$10+1,1))</f>
        <v>175.05987582828078</v>
      </c>
      <c r="AO25" s="62">
        <f t="shared" si="36"/>
        <v>268.54782308462387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6.2554024759620201</v>
      </c>
      <c r="AX25" s="23">
        <f t="shared" si="6"/>
        <v>6.2554024759620201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5.2912820512820513</v>
      </c>
      <c r="BD25" s="13">
        <f>IF('Données projet'!$A$88&gt;35,BD24+BC25-BL24,IF(A25&lt;'Données projet'!$A$88,$BA$205^A25,IF(A25='Données projet'!$A$88,'Données projet'!$B$88,BD24+BC25-BL24)))</f>
        <v>41.099220884180887</v>
      </c>
      <c r="BE25" s="14">
        <f>BD25*VLOOKUP('Données projet'!$B$11,Paramètres!$A$1:$I$89,3,0)*VLOOKUP('Données projet'!$B$11,Paramètres!$A$1:$I$89,5,0)</f>
        <v>19.234435373796657</v>
      </c>
      <c r="BF25" s="14">
        <f t="shared" si="37"/>
        <v>6.2829652821334729</v>
      </c>
      <c r="BG25" s="22">
        <f t="shared" si="7"/>
        <v>44.442806142411648</v>
      </c>
      <c r="BH25" s="62">
        <f t="shared" si="8"/>
        <v>337.77613947574497</v>
      </c>
      <c r="BI25" s="62">
        <f ca="1">AVERAGE(OFFSET($BH$3,0,0,'Données projet'!$E$11+1,1))-AVERAGE(OFFSET($H$3,0,0,'Données projet'!$E$11+1,1))</f>
        <v>183.46485104601493</v>
      </c>
      <c r="BJ25" s="62">
        <f t="shared" si="38"/>
        <v>127.47790120677581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84</v>
      </c>
      <c r="BW25" s="13">
        <f>VLOOKUP(A25,'Données projet'!$A$113:$I$133,9,0)</f>
        <v>3.8181818181818183</v>
      </c>
      <c r="BX25" s="13">
        <f t="array" ref="BX25">INDEX(BW:BW,MIN(IF(ISNUMBER(BW25:BW221),ROW(BW25:BW221),"")))</f>
        <v>3.8181818181818183</v>
      </c>
      <c r="BY25" s="13">
        <f>IF('Données projet'!$A$114&gt;35,BY24+BX25-CG24,IF(A25&lt;'Données projet'!$A$114,$BV$205^A25,IF(A25='Données projet'!$A$114,'Données projet'!$B$114,BY24+BX25-CG24)))</f>
        <v>84</v>
      </c>
      <c r="BZ25" s="14">
        <f>BY25*VLOOKUP('Données projet'!$B$12,Paramètres!$A$1:$I$89,3,0)*VLOOKUP('Données projet'!$B$12,Paramètres!$A$1:$I$89,5,0)</f>
        <v>48.048000000000002</v>
      </c>
      <c r="CA25" s="14">
        <f t="shared" si="39"/>
        <v>14.108484750160615</v>
      </c>
      <c r="CB25" s="22">
        <f t="shared" si="10"/>
        <v>108.25587760652974</v>
      </c>
      <c r="CC25" s="62">
        <f t="shared" si="11"/>
        <v>401.58921093986305</v>
      </c>
      <c r="CD25" s="62">
        <f ca="1">AVERAGE(OFFSET($CC$3,0,0,'Données projet'!$E$12+1,1))-AVERAGE(OFFSET($H$3,0,0,'Données projet'!$E$12+1,1))</f>
        <v>228.06050741667258</v>
      </c>
      <c r="CE25" s="62">
        <f t="shared" si="40"/>
        <v>191.94885821983536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0.22500000000000001</v>
      </c>
      <c r="CJ25" s="17">
        <f>IF(ISNA(VLOOKUP(A25,'Données projet'!$A$113:$I$133,7,0)),0%,VLOOKUP(A25,'Données projet'!$A$113:$I$133,7,0))</f>
        <v>0.5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16.8</v>
      </c>
      <c r="CT25" s="13">
        <f>IF('Données projet'!$A$140&gt;35,CT24+CS25-DB24,IF(A25&lt;'Données projet'!$A$140,$CQ$205^A25,IF(A25='Données projet'!$A$140,'Données projet'!$B$140,CT24+CS25-DB24)))</f>
        <v>156.60000000000002</v>
      </c>
      <c r="CU25" s="18">
        <f>CT25*VLOOKUP('Données projet'!$B$13,Paramètres!$A$1:$I$89,3,0)*VLOOKUP('Données projet'!$B$13,Paramètres!$A$1:$I$89,5,0)</f>
        <v>124.59096000000002</v>
      </c>
      <c r="CV25" s="14">
        <f t="shared" si="41"/>
        <v>32.743414410340328</v>
      </c>
      <c r="CW25" s="22">
        <f t="shared" si="13"/>
        <v>274.02403543134278</v>
      </c>
      <c r="CX25" s="62">
        <f t="shared" si="14"/>
        <v>567.35736876467604</v>
      </c>
      <c r="CY25" s="62">
        <f ca="1">AVERAGE(OFFSET($CX$3,0,0,'Données projet'!$E$13+1,1))-AVERAGE(OFFSET($H$3,0,0,'Données projet'!$E$13+1,1))</f>
        <v>343.37244130003143</v>
      </c>
      <c r="CZ25" s="62">
        <f t="shared" si="42"/>
        <v>318.38876834819763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96.600000000000009</v>
      </c>
      <c r="DP25" s="18">
        <f>DO25*VLOOKUP('Données projet'!$B$14,Paramètres!$A$1:$I$89,3,0)*VLOOKUP('Données projet'!$B$14,Paramètres!$A$1:$I$89,5,0)</f>
        <v>70.827120000000008</v>
      </c>
      <c r="DQ25" s="14">
        <f t="shared" si="43"/>
        <v>19.878719982140034</v>
      </c>
      <c r="DR25" s="22">
        <f t="shared" si="16"/>
        <v>157.97933796889393</v>
      </c>
      <c r="DS25" s="62">
        <f t="shared" si="17"/>
        <v>451.31267130222727</v>
      </c>
      <c r="DT25" s="62">
        <f ca="1">AVERAGE(OFFSET($DS$3,0,0,'Données projet'!$E$14+1,1))-AVERAGE(OFFSET($H$3,0,0,'Données projet'!$E$14+1,1))</f>
        <v>263.81634201637729</v>
      </c>
      <c r="DU25" s="62">
        <f t="shared" si="44"/>
        <v>302.03767435507262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24.333333333333332</v>
      </c>
      <c r="N26" s="14">
        <f>IF('Données projet'!$A$36&gt;35,N25+M26-V25,IF(A26&lt;'Données projet'!$A$36,$K$205^A26,IF(A26='Données projet'!$A$36,'Données projet'!$B$36,N25+M26-V25)))</f>
        <v>274.66666666666669</v>
      </c>
      <c r="O26" s="14">
        <f>N26*VLOOKUP('Données projet'!$B$9,Paramètres!$A$1:$I$89,3,0)*VLOOKUP('Données projet'!$B$9,Paramètres!$A$1:$I$89,5,0)</f>
        <v>153.53866666666667</v>
      </c>
      <c r="P26" s="14">
        <f t="shared" si="33"/>
        <v>39.381665758867094</v>
      </c>
      <c r="Q26" s="22">
        <f t="shared" si="2"/>
        <v>336.00291230780459</v>
      </c>
      <c r="R26" s="62">
        <f t="shared" si="0"/>
        <v>629.33624564113791</v>
      </c>
      <c r="S26" s="62">
        <f ca="1">AVERAGE(OFFSET($R$3,0,0,'Données projet'!$E$9+1,1))-AVERAGE(OFFSET($H$3,0,0,'Données projet'!$E$9+1,1))</f>
        <v>322.63846641467165</v>
      </c>
      <c r="T26" s="62">
        <f t="shared" si="34"/>
        <v>435.17386576419966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11.140227255395057</v>
      </c>
      <c r="AB26" s="23">
        <f>EXP(-LN(2)/2)*AB25+(1-EXP(-LN(2)/2))/(LN(2)/2)*V26*Y26*VLOOKUP('Données projet'!$B$9,Paramètres!$A$1:$I$89,3,0)*0.475*44/12</f>
        <v>3.524381490434163</v>
      </c>
      <c r="AC26" s="24">
        <f t="shared" si="3"/>
        <v>14.66460874582922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</v>
      </c>
      <c r="AI26" s="14">
        <f>IF('Données projet'!$A$62&gt;35,AI25+AH26-AQ25,IF(A26&lt;'Données projet'!$A$62,$AF$205^A26,IF(A26='Données projet'!$A$62,'Données projet'!$B$62,AI25+AH26-AQ25)))</f>
        <v>152</v>
      </c>
      <c r="AJ26" s="14">
        <f>AI26*VLOOKUP('Données projet'!$B$10,Paramètres!$A$1:$I$89,3,0)*VLOOKUP('Données projet'!$B$10,Paramètres!$A$1:$I$89,5,0)</f>
        <v>94.847999999999999</v>
      </c>
      <c r="AK26" s="14">
        <f t="shared" si="35"/>
        <v>25.730851751939202</v>
      </c>
      <c r="AL26" s="22">
        <f t="shared" si="4"/>
        <v>210.0081668012941</v>
      </c>
      <c r="AM26" s="62">
        <f t="shared" si="5"/>
        <v>503.34150013462738</v>
      </c>
      <c r="AN26" s="62">
        <f ca="1">AVERAGE(OFFSET($AM$3,0,0,'Données projet'!$E$10+1,1))-AVERAGE(OFFSET($H$3,0,0,'Données projet'!$E$10+1,1))</f>
        <v>175.05987582828078</v>
      </c>
      <c r="AO26" s="62">
        <f t="shared" si="36"/>
        <v>268.54782308462387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4.4232375098038643</v>
      </c>
      <c r="AX26" s="23">
        <f t="shared" si="6"/>
        <v>4.4232375098038643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5.2912820512820513</v>
      </c>
      <c r="BD26" s="13">
        <f>IF('Données projet'!$A$88&gt;35,BD25+BC26-BL25,IF(A26&lt;'Données projet'!$A$88,$BA$205^A26,IF(A26='Données projet'!$A$88,'Données projet'!$B$88,BD25+BC26-BL25)))</f>
        <v>48.661967157964739</v>
      </c>
      <c r="BE26" s="14">
        <f>BD26*VLOOKUP('Données projet'!$B$11,Paramètres!$A$1:$I$89,3,0)*VLOOKUP('Données projet'!$B$11,Paramètres!$A$1:$I$89,5,0)</f>
        <v>22.773800629927496</v>
      </c>
      <c r="BF26" s="14">
        <f t="shared" si="37"/>
        <v>7.2942742076177201</v>
      </c>
      <c r="BG26" s="22">
        <f t="shared" si="7"/>
        <v>52.36856367539125</v>
      </c>
      <c r="BH26" s="62">
        <f t="shared" si="8"/>
        <v>345.70189700872459</v>
      </c>
      <c r="BI26" s="62">
        <f ca="1">AVERAGE(OFFSET($BH$3,0,0,'Données projet'!$E$11+1,1))-AVERAGE(OFFSET($H$3,0,0,'Données projet'!$E$11+1,1))</f>
        <v>183.46485104601493</v>
      </c>
      <c r="BJ26" s="62">
        <f t="shared" si="38"/>
        <v>127.47790120677581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15.666666666666666</v>
      </c>
      <c r="BY26" s="13">
        <f>IF('Données projet'!$A$114&gt;35,BY25+BX26-CG25,IF(A26&lt;'Données projet'!$A$114,$BV$205^A26,IF(A26='Données projet'!$A$114,'Données projet'!$B$114,BY25+BX26-CG25)))</f>
        <v>99.666666666666671</v>
      </c>
      <c r="BZ26" s="14">
        <f>BY26*VLOOKUP('Données projet'!$B$12,Paramètres!$A$1:$I$89,3,0)*VLOOKUP('Données projet'!$B$12,Paramètres!$A$1:$I$89,5,0)</f>
        <v>57.009333333333345</v>
      </c>
      <c r="CA26" s="14">
        <f t="shared" si="39"/>
        <v>16.409899347168675</v>
      </c>
      <c r="CB26" s="22">
        <f t="shared" si="10"/>
        <v>127.87183025187436</v>
      </c>
      <c r="CC26" s="62">
        <f t="shared" si="11"/>
        <v>421.20516358520769</v>
      </c>
      <c r="CD26" s="62">
        <f ca="1">AVERAGE(OFFSET($CC$3,0,0,'Données projet'!$E$12+1,1))-AVERAGE(OFFSET($H$3,0,0,'Données projet'!$E$12+1,1))</f>
        <v>228.06050741667258</v>
      </c>
      <c r="CE26" s="62">
        <f t="shared" si="40"/>
        <v>191.94885821983536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16.8</v>
      </c>
      <c r="CT26" s="13">
        <f>IF('Données projet'!$A$140&gt;35,CT25+CS26-DB25,IF(A26&lt;'Données projet'!$A$140,$CQ$205^A26,IF(A26='Données projet'!$A$140,'Données projet'!$B$140,CT25+CS26-DB25)))</f>
        <v>173.40000000000003</v>
      </c>
      <c r="CU26" s="18">
        <f>CT26*VLOOKUP('Données projet'!$B$13,Paramètres!$A$1:$I$89,3,0)*VLOOKUP('Données projet'!$B$13,Paramètres!$A$1:$I$89,5,0)</f>
        <v>137.95704000000003</v>
      </c>
      <c r="CV26" s="14">
        <f t="shared" si="41"/>
        <v>35.82859239387443</v>
      </c>
      <c r="CW26" s="22">
        <f t="shared" si="13"/>
        <v>302.67664308599802</v>
      </c>
      <c r="CX26" s="62">
        <f t="shared" si="14"/>
        <v>596.00997641933134</v>
      </c>
      <c r="CY26" s="62">
        <f ca="1">AVERAGE(OFFSET($CX$3,0,0,'Données projet'!$E$13+1,1))-AVERAGE(OFFSET($H$3,0,0,'Données projet'!$E$13+1,1))</f>
        <v>343.37244130003143</v>
      </c>
      <c r="CZ26" s="62">
        <f t="shared" si="42"/>
        <v>318.38876834819763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111.4</v>
      </c>
      <c r="DP26" s="18">
        <f>DO26*VLOOKUP('Données projet'!$B$14,Paramètres!$A$1:$I$89,3,0)*VLOOKUP('Données projet'!$B$14,Paramètres!$A$1:$I$89,5,0)</f>
        <v>81.678479999999993</v>
      </c>
      <c r="DQ26" s="14">
        <f t="shared" si="43"/>
        <v>22.547083950915322</v>
      </c>
      <c r="DR26" s="22">
        <f t="shared" si="16"/>
        <v>181.52619054784418</v>
      </c>
      <c r="DS26" s="62">
        <f t="shared" si="17"/>
        <v>474.85952388117749</v>
      </c>
      <c r="DT26" s="62">
        <f ca="1">AVERAGE(OFFSET($DS$3,0,0,'Données projet'!$E$14+1,1))-AVERAGE(OFFSET($H$3,0,0,'Données projet'!$E$14+1,1))</f>
        <v>263.81634201637729</v>
      </c>
      <c r="DU26" s="62">
        <f t="shared" si="44"/>
        <v>302.03767435507262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299</v>
      </c>
      <c r="L27" s="13">
        <f>VLOOKUP(A27,'Données projet'!$A$35:$I$55,9,0)</f>
        <v>24.333333333333332</v>
      </c>
      <c r="M27" s="13">
        <f t="array" ref="M27">INDEX(L:L,MIN(IF(ISNUMBER(L27:L223),ROW(L27:L223),"")))</f>
        <v>24.333333333333332</v>
      </c>
      <c r="N27" s="14">
        <f>IF('Données projet'!$A$36&gt;35,N26+M27-V26,IF(A27&lt;'Données projet'!$A$36,$K$205^A27,IF(A27='Données projet'!$A$36,'Données projet'!$B$36,N26+M27-V26)))</f>
        <v>299</v>
      </c>
      <c r="O27" s="14">
        <f>N27*VLOOKUP('Données projet'!$B$9,Paramètres!$A$1:$I$89,3,0)*VLOOKUP('Données projet'!$B$9,Paramètres!$A$1:$I$89,5,0)</f>
        <v>167.14099999999999</v>
      </c>
      <c r="P27" s="14">
        <f t="shared" si="33"/>
        <v>42.449071996340692</v>
      </c>
      <c r="Q27" s="22">
        <f t="shared" si="2"/>
        <v>365.03604206029331</v>
      </c>
      <c r="R27" s="62">
        <f t="shared" si="0"/>
        <v>658.36937539362657</v>
      </c>
      <c r="S27" s="62">
        <f ca="1">AVERAGE(OFFSET($R$3,0,0,'Données projet'!$E$9+1,1))-AVERAGE(OFFSET($H$3,0,0,'Données projet'!$E$9+1,1))</f>
        <v>322.63846641467165</v>
      </c>
      <c r="T27" s="62">
        <f t="shared" si="34"/>
        <v>435.17386576419966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66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0.27500000000000002</v>
      </c>
      <c r="Y27" s="17">
        <f>IF(ISNA(VLOOKUP(A27,'Données projet'!$A$35:$I$55,7,0)),0%,VLOOKUP(A27,'Données projet'!$A$35:$I$55,7,0))</f>
        <v>0.5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24.241727436040023</v>
      </c>
      <c r="AB27" s="23">
        <f>EXP(-LN(2)/2)*AB26+(1-EXP(-LN(2)/2))/(LN(2)/2)*V27*Y27*VLOOKUP('Données projet'!$B$9,Paramètres!$A$1:$I$89,3,0)*0.475*44/12</f>
        <v>23.378403243845064</v>
      </c>
      <c r="AC27" s="24">
        <f t="shared" si="3"/>
        <v>47.620130679885087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168</v>
      </c>
      <c r="AG27" s="13">
        <f>VLOOKUP(A27,'Données projet'!$A$61:$I$81,9,0)</f>
        <v>16</v>
      </c>
      <c r="AH27" s="13">
        <f t="array" ref="AH27">INDEX(AG:AG,MIN(IF(ISNUMBER(AG27:AG223),ROW(AG27:AG223),"")))</f>
        <v>16</v>
      </c>
      <c r="AI27" s="14">
        <f>IF('Données projet'!$A$62&gt;35,AI26+AH27-AQ26,IF(A27&lt;'Données projet'!$A$62,$AF$205^A27,IF(A27='Données projet'!$A$62,'Données projet'!$B$62,AI26+AH27-AQ26)))</f>
        <v>168</v>
      </c>
      <c r="AJ27" s="14">
        <f>AI27*VLOOKUP('Données projet'!$B$10,Paramètres!$A$1:$I$89,3,0)*VLOOKUP('Données projet'!$B$10,Paramètres!$A$1:$I$89,5,0)</f>
        <v>104.83200000000001</v>
      </c>
      <c r="AK27" s="14">
        <f t="shared" si="35"/>
        <v>28.109974371137717</v>
      </c>
      <c r="AL27" s="22">
        <f t="shared" si="4"/>
        <v>231.54060536306486</v>
      </c>
      <c r="AM27" s="62">
        <f t="shared" si="5"/>
        <v>524.87393869639823</v>
      </c>
      <c r="AN27" s="62">
        <f ca="1">AVERAGE(OFFSET($AM$3,0,0,'Données projet'!$E$10+1,1))-AVERAGE(OFFSET($H$3,0,0,'Données projet'!$E$10+1,1))</f>
        <v>175.05987582828078</v>
      </c>
      <c r="AO27" s="62">
        <f t="shared" si="36"/>
        <v>268.54782308462387</v>
      </c>
      <c r="AP27" s="16">
        <f>IF(ISNA(VLOOKUP(A27,'Données projet'!$A$61:$I$81,3,0)),0,VLOOKUP(A27,'Données projet'!$A$61:$I$81,3,0))</f>
        <v>3</v>
      </c>
      <c r="AQ27" s="16">
        <f>IF(ISNA(VLOOKUP(A27,'Données projet'!$A$61:$I$81,4,0)),0,VLOOKUP(A27,'Données projet'!$A$61:$I$81,4,0))</f>
        <v>29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0.06</v>
      </c>
      <c r="AT27" s="17">
        <f>IF(ISNA(VLOOKUP(A27,'Données projet'!$A$61:$I$81,7,0)),0%,VLOOKUP(A27,'Données projet'!$A$61:$I$81,7,0))</f>
        <v>0.4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1.4346594926657472</v>
      </c>
      <c r="AW27" s="23">
        <f>EXP(-LN(2)/2)*AW26+(1-EXP(-LN(2)/2))/(LN(2)/2)*AQ27*AT27*VLOOKUP('Données projet'!$B$10,Paramètres!$A$1:$I$89,3,0)*0.475*44/12</f>
        <v>11.323251500396582</v>
      </c>
      <c r="AX27" s="23">
        <f t="shared" si="6"/>
        <v>12.757910993062328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5.2912820512820513</v>
      </c>
      <c r="BD27" s="13">
        <f>IF('Données projet'!$A$88&gt;35,BD26+BC27-BL26,IF(A27&lt;'Données projet'!$A$88,$BA$205^A27,IF(A27='Données projet'!$A$88,'Données projet'!$B$88,BD26+BC27-BL26)))</f>
        <v>57.616348844079376</v>
      </c>
      <c r="BE27" s="14">
        <f>BD27*VLOOKUP('Données projet'!$B$11,Paramètres!$A$1:$I$89,3,0)*VLOOKUP('Données projet'!$B$11,Paramètres!$A$1:$I$89,5,0)</f>
        <v>26.964451259029147</v>
      </c>
      <c r="BF27" s="14">
        <f t="shared" si="37"/>
        <v>8.4683638738570401</v>
      </c>
      <c r="BG27" s="22">
        <f t="shared" si="7"/>
        <v>61.712153023110119</v>
      </c>
      <c r="BH27" s="62">
        <f t="shared" si="8"/>
        <v>355.04548635644346</v>
      </c>
      <c r="BI27" s="62">
        <f ca="1">AVERAGE(OFFSET($BH$3,0,0,'Données projet'!$E$11+1,1))-AVERAGE(OFFSET($H$3,0,0,'Données projet'!$E$11+1,1))</f>
        <v>183.46485104601493</v>
      </c>
      <c r="BJ27" s="62">
        <f t="shared" si="38"/>
        <v>127.47790120677581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15.666666666666666</v>
      </c>
      <c r="BY27" s="13">
        <f>IF('Données projet'!$A$114&gt;35,BY26+BX27-CG26,IF(A27&lt;'Données projet'!$A$114,$BV$205^A27,IF(A27='Données projet'!$A$114,'Données projet'!$B$114,BY26+BX27-CG26)))</f>
        <v>115.33333333333334</v>
      </c>
      <c r="BZ27" s="14">
        <f>BY27*VLOOKUP('Données projet'!$B$12,Paramètres!$A$1:$I$89,3,0)*VLOOKUP('Données projet'!$B$12,Paramètres!$A$1:$I$89,5,0)</f>
        <v>65.970666666666673</v>
      </c>
      <c r="CA27" s="14">
        <f t="shared" si="39"/>
        <v>18.669405819805228</v>
      </c>
      <c r="CB27" s="22">
        <f t="shared" si="10"/>
        <v>147.41479291393856</v>
      </c>
      <c r="CC27" s="62">
        <f t="shared" si="11"/>
        <v>440.7481262472719</v>
      </c>
      <c r="CD27" s="62">
        <f ca="1">AVERAGE(OFFSET($CC$3,0,0,'Données projet'!$E$12+1,1))-AVERAGE(OFFSET($H$3,0,0,'Données projet'!$E$12+1,1))</f>
        <v>228.06050741667258</v>
      </c>
      <c r="CE27" s="62">
        <f t="shared" si="40"/>
        <v>191.94885821983536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16.8</v>
      </c>
      <c r="CT27" s="13">
        <f>IF('Données projet'!$A$140&gt;35,CT26+CS27-DB26,IF(A27&lt;'Données projet'!$A$140,$CQ$205^A27,IF(A27='Données projet'!$A$140,'Données projet'!$B$140,CT26+CS27-DB26)))</f>
        <v>190.20000000000005</v>
      </c>
      <c r="CU27" s="18">
        <f>CT27*VLOOKUP('Données projet'!$B$13,Paramètres!$A$1:$I$89,3,0)*VLOOKUP('Données projet'!$B$13,Paramètres!$A$1:$I$89,5,0)</f>
        <v>151.32312000000005</v>
      </c>
      <c r="CV27" s="14">
        <f t="shared" si="41"/>
        <v>38.879115530839606</v>
      </c>
      <c r="CW27" s="22">
        <f t="shared" si="13"/>
        <v>331.26889354954568</v>
      </c>
      <c r="CX27" s="62">
        <f t="shared" si="14"/>
        <v>624.60222688287899</v>
      </c>
      <c r="CY27" s="62">
        <f ca="1">AVERAGE(OFFSET($CX$3,0,0,'Données projet'!$E$13+1,1))-AVERAGE(OFFSET($H$3,0,0,'Données projet'!$E$13+1,1))</f>
        <v>343.37244130003143</v>
      </c>
      <c r="CZ27" s="62">
        <f t="shared" si="42"/>
        <v>318.38876834819763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126.2</v>
      </c>
      <c r="DP27" s="18">
        <f>DO27*VLOOKUP('Données projet'!$B$14,Paramètres!$A$1:$I$89,3,0)*VLOOKUP('Données projet'!$B$14,Paramètres!$A$1:$I$89,5,0)</f>
        <v>92.529840000000007</v>
      </c>
      <c r="DQ27" s="14">
        <f t="shared" si="43"/>
        <v>25.17437361121091</v>
      </c>
      <c r="DR27" s="22">
        <f t="shared" si="16"/>
        <v>205.00150537285901</v>
      </c>
      <c r="DS27" s="62">
        <f t="shared" si="17"/>
        <v>498.33483870619233</v>
      </c>
      <c r="DT27" s="62">
        <f ca="1">AVERAGE(OFFSET($DS$3,0,0,'Données projet'!$E$14+1,1))-AVERAGE(OFFSET($H$3,0,0,'Données projet'!$E$14+1,1))</f>
        <v>263.81634201637729</v>
      </c>
      <c r="DU27" s="62">
        <f t="shared" si="44"/>
        <v>302.03767435507262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26.166666666666668</v>
      </c>
      <c r="N28" s="14">
        <f>IF('Données projet'!$A$36&gt;35,N27+M28-V27,IF(A28&lt;'Données projet'!$A$36,$K$205^A28,IF(A28='Données projet'!$A$36,'Données projet'!$B$36,N27+M28-V27)))</f>
        <v>259.16666666666669</v>
      </c>
      <c r="O28" s="14">
        <f>N28*VLOOKUP('Données projet'!$B$9,Paramètres!$A$1:$I$89,3,0)*VLOOKUP('Données projet'!$B$9,Paramètres!$A$1:$I$89,5,0)</f>
        <v>144.8741666666667</v>
      </c>
      <c r="P28" s="14">
        <f t="shared" si="33"/>
        <v>37.411374888763902</v>
      </c>
      <c r="Q28" s="22">
        <f t="shared" si="2"/>
        <v>317.48065154237497</v>
      </c>
      <c r="R28" s="62">
        <f t="shared" si="0"/>
        <v>610.81398487570823</v>
      </c>
      <c r="S28" s="62">
        <f ca="1">AVERAGE(OFFSET($R$3,0,0,'Données projet'!$E$9+1,1))-AVERAGE(OFFSET($H$3,0,0,'Données projet'!$E$9+1,1))</f>
        <v>322.63846641467165</v>
      </c>
      <c r="T28" s="62">
        <f t="shared" si="34"/>
        <v>435.17386576419966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23.578836124484468</v>
      </c>
      <c r="AB28" s="23">
        <f>EXP(-LN(2)/2)*AB27+(1-EXP(-LN(2)/2))/(LN(2)/2)*V28*Y28*VLOOKUP('Données projet'!$B$9,Paramètres!$A$1:$I$89,3,0)*0.475*44/12</f>
        <v>16.531027467036427</v>
      </c>
      <c r="AC28" s="24">
        <f t="shared" si="3"/>
        <v>40.109863591520892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14.166666666666666</v>
      </c>
      <c r="AI28" s="14">
        <f>IF('Données projet'!$A$62&gt;35,AI27+AH28-AQ27,IF(A28&lt;'Données projet'!$A$62,$AF$205^A28,IF(A28='Données projet'!$A$62,'Données projet'!$B$62,AI27+AH28-AQ27)))</f>
        <v>153.16666666666666</v>
      </c>
      <c r="AJ28" s="14">
        <f>AI28*VLOOKUP('Données projet'!$B$10,Paramètres!$A$1:$I$89,3,0)*VLOOKUP('Données projet'!$B$10,Paramètres!$A$1:$I$89,5,0)</f>
        <v>95.575999999999993</v>
      </c>
      <c r="AK28" s="14">
        <f t="shared" si="35"/>
        <v>25.905281107545633</v>
      </c>
      <c r="AL28" s="22">
        <f t="shared" si="4"/>
        <v>211.57989792897527</v>
      </c>
      <c r="AM28" s="62">
        <f t="shared" si="5"/>
        <v>504.91323126230861</v>
      </c>
      <c r="AN28" s="62">
        <f ca="1">AVERAGE(OFFSET($AM$3,0,0,'Données projet'!$E$10+1,1))-AVERAGE(OFFSET($H$3,0,0,'Données projet'!$E$10+1,1))</f>
        <v>175.05987582828078</v>
      </c>
      <c r="AO28" s="62">
        <f t="shared" si="36"/>
        <v>268.54782308462387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1.3954286533933387</v>
      </c>
      <c r="AW28" s="23">
        <f>EXP(-LN(2)/2)*AW27+(1-EXP(-LN(2)/2))/(LN(2)/2)*AQ28*AT28*VLOOKUP('Données projet'!$B$10,Paramètres!$A$1:$I$89,3,0)*0.475*44/12</f>
        <v>8.0067479210111721</v>
      </c>
      <c r="AX28" s="23">
        <f t="shared" si="6"/>
        <v>9.4021765744045105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5.2912820512820513</v>
      </c>
      <c r="BD28" s="13">
        <f>IF('Données projet'!$A$88&gt;35,BD27+BC28-BL27,IF(A28&lt;'Données projet'!$A$88,$BA$205^A28,IF(A28='Données projet'!$A$88,'Données projet'!$B$88,BD27+BC28-BL27)))</f>
        <v>68.218443437490691</v>
      </c>
      <c r="BE28" s="14">
        <f>BD28*VLOOKUP('Données projet'!$B$11,Paramètres!$A$1:$I$89,3,0)*VLOOKUP('Données projet'!$B$11,Paramètres!$A$1:$I$89,5,0)</f>
        <v>31.926231528745642</v>
      </c>
      <c r="BF28" s="14">
        <f t="shared" si="37"/>
        <v>9.8314355422988982</v>
      </c>
      <c r="BG28" s="22">
        <f t="shared" si="7"/>
        <v>72.727936815402572</v>
      </c>
      <c r="BH28" s="62">
        <f t="shared" si="8"/>
        <v>366.0612701487359</v>
      </c>
      <c r="BI28" s="62">
        <f ca="1">AVERAGE(OFFSET($BH$3,0,0,'Données projet'!$E$11+1,1))-AVERAGE(OFFSET($H$3,0,0,'Données projet'!$E$11+1,1))</f>
        <v>183.46485104601493</v>
      </c>
      <c r="BJ28" s="62">
        <f t="shared" si="38"/>
        <v>127.47790120677581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131</v>
      </c>
      <c r="BW28" s="13">
        <f>VLOOKUP(A28,'Données projet'!$A$113:$I$133,9,0)</f>
        <v>15.666666666666666</v>
      </c>
      <c r="BX28" s="13">
        <f t="array" ref="BX28">INDEX(BW:BW,MIN(IF(ISNUMBER(BW28:BW224),ROW(BW28:BW224),"")))</f>
        <v>15.666666666666666</v>
      </c>
      <c r="BY28" s="13">
        <f>IF('Données projet'!$A$114&gt;35,BY27+BX28-CG27,IF(A28&lt;'Données projet'!$A$114,$BV$205^A28,IF(A28='Données projet'!$A$114,'Données projet'!$B$114,BY27+BX28-CG27)))</f>
        <v>131</v>
      </c>
      <c r="BZ28" s="14">
        <f>BY28*VLOOKUP('Données projet'!$B$12,Paramètres!$A$1:$I$89,3,0)*VLOOKUP('Données projet'!$B$12,Paramètres!$A$1:$I$89,5,0)</f>
        <v>74.932000000000002</v>
      </c>
      <c r="CA28" s="14">
        <f t="shared" si="39"/>
        <v>20.89335159903294</v>
      </c>
      <c r="CB28" s="22">
        <f t="shared" si="10"/>
        <v>166.89582070164903</v>
      </c>
      <c r="CC28" s="62">
        <f t="shared" si="11"/>
        <v>460.22915403498234</v>
      </c>
      <c r="CD28" s="62">
        <f ca="1">AVERAGE(OFFSET($CC$3,0,0,'Données projet'!$E$12+1,1))-AVERAGE(OFFSET($H$3,0,0,'Données projet'!$E$12+1,1))</f>
        <v>228.06050741667258</v>
      </c>
      <c r="CE28" s="62">
        <f t="shared" si="40"/>
        <v>191.94885821983536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21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0.22500000000000001</v>
      </c>
      <c r="CJ28" s="17">
        <f>IF(ISNA(VLOOKUP(A28,'Données projet'!$A$113:$I$133,7,0)),0%,VLOOKUP(A28,'Données projet'!$A$113:$I$133,7,0))</f>
        <v>0.5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3.5711890388554708</v>
      </c>
      <c r="CM28" s="23">
        <f>EXP(-LN(2)/2)*CM27+(1-EXP(-LN(2)/2))/(LN(2)/2)*CG28*CJ28*VLOOKUP('Données projet'!$B$12,Paramètres!$A$1:$I$89,3,0)*0.475*44/12</f>
        <v>6.8001871789439541</v>
      </c>
      <c r="CN28" s="24">
        <f t="shared" si="12"/>
        <v>10.371376217799424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207</v>
      </c>
      <c r="CR28" s="13">
        <f>VLOOKUP(A28,'Données projet'!$A$139:$I$159,9,0)</f>
        <v>16.8</v>
      </c>
      <c r="CS28" s="13">
        <f t="array" ref="CS28">INDEX(CR:CR,MIN(IF(ISNUMBER(CR28:CR224),ROW(CR28:CR224),"")))</f>
        <v>16.8</v>
      </c>
      <c r="CT28" s="13">
        <f>IF('Données projet'!$A$140&gt;35,CT27+CS28-DB27,IF(A28&lt;'Données projet'!$A$140,$CQ$205^A28,IF(A28='Données projet'!$A$140,'Données projet'!$B$140,CT27+CS28-DB27)))</f>
        <v>207.00000000000006</v>
      </c>
      <c r="CU28" s="18">
        <f>CT28*VLOOKUP('Données projet'!$B$13,Paramètres!$A$1:$I$89,3,0)*VLOOKUP('Données projet'!$B$13,Paramètres!$A$1:$I$89,5,0)</f>
        <v>164.68920000000006</v>
      </c>
      <c r="CV28" s="14">
        <f t="shared" si="41"/>
        <v>41.898392881067181</v>
      </c>
      <c r="CW28" s="22">
        <f t="shared" si="13"/>
        <v>359.80672426785873</v>
      </c>
      <c r="CX28" s="62">
        <f t="shared" si="14"/>
        <v>653.14005760119198</v>
      </c>
      <c r="CY28" s="62">
        <f ca="1">AVERAGE(OFFSET($CX$3,0,0,'Données projet'!$E$13+1,1))-AVERAGE(OFFSET($H$3,0,0,'Données projet'!$E$13+1,1))</f>
        <v>343.37244130003143</v>
      </c>
      <c r="CZ28" s="62">
        <f t="shared" si="42"/>
        <v>318.38876834819763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84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141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141</v>
      </c>
      <c r="DP28" s="18">
        <f>DO28*VLOOKUP('Données projet'!$B$14,Paramètres!$A$1:$I$89,3,0)*VLOOKUP('Données projet'!$B$14,Paramètres!$A$1:$I$89,5,0)</f>
        <v>103.38119999999999</v>
      </c>
      <c r="DQ28" s="14">
        <f t="shared" si="43"/>
        <v>27.765956260923325</v>
      </c>
      <c r="DR28" s="22">
        <f t="shared" si="16"/>
        <v>228.41463048777476</v>
      </c>
      <c r="DS28" s="62">
        <f t="shared" si="17"/>
        <v>521.7479638211081</v>
      </c>
      <c r="DT28" s="62">
        <f ca="1">AVERAGE(OFFSET($DS$3,0,0,'Données projet'!$E$14+1,1))-AVERAGE(OFFSET($H$3,0,0,'Données projet'!$E$14+1,1))</f>
        <v>263.81634201637729</v>
      </c>
      <c r="DU28" s="62">
        <f t="shared" si="44"/>
        <v>302.03767435507262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26.166666666666668</v>
      </c>
      <c r="N29" s="14">
        <f>IF('Données projet'!$A$36&gt;35,N28+M29-V28,IF(A29&lt;'Données projet'!$A$36,$K$205^A29,IF(A29='Données projet'!$A$36,'Données projet'!$B$36,N28+M29-V28)))</f>
        <v>285.33333333333337</v>
      </c>
      <c r="O29" s="14">
        <f>N29*VLOOKUP('Données projet'!$B$9,Paramètres!$A$1:$I$89,3,0)*VLOOKUP('Données projet'!$B$9,Paramètres!$A$1:$I$89,5,0)</f>
        <v>159.50133333333335</v>
      </c>
      <c r="P29" s="14">
        <f t="shared" si="33"/>
        <v>40.730019322422891</v>
      </c>
      <c r="Q29" s="22">
        <f t="shared" si="2"/>
        <v>348.73627254210874</v>
      </c>
      <c r="R29" s="62">
        <f t="shared" si="0"/>
        <v>642.06960587544199</v>
      </c>
      <c r="S29" s="62">
        <f ca="1">AVERAGE(OFFSET($R$3,0,0,'Données projet'!$E$9+1,1))-AVERAGE(OFFSET($H$3,0,0,'Données projet'!$E$9+1,1))</f>
        <v>322.63846641467165</v>
      </c>
      <c r="T29" s="62">
        <f t="shared" si="34"/>
        <v>435.17386576419966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22.934071610703338</v>
      </c>
      <c r="AB29" s="23">
        <f>EXP(-LN(2)/2)*AB28+(1-EXP(-LN(2)/2))/(LN(2)/2)*V29*Y29*VLOOKUP('Données projet'!$B$9,Paramètres!$A$1:$I$89,3,0)*0.475*44/12</f>
        <v>11.689201621922535</v>
      </c>
      <c r="AC29" s="24">
        <f t="shared" si="3"/>
        <v>34.623273232625877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14.166666666666666</v>
      </c>
      <c r="AI29" s="14">
        <f>IF('Données projet'!$A$62&gt;35,AI28+AH29-AQ28,IF(A29&lt;'Données projet'!$A$62,$AF$205^A29,IF(A29='Données projet'!$A$62,'Données projet'!$B$62,AI28+AH29-AQ28)))</f>
        <v>167.33333333333331</v>
      </c>
      <c r="AJ29" s="14">
        <f>AI29*VLOOKUP('Données projet'!$B$10,Paramètres!$A$1:$I$89,3,0)*VLOOKUP('Données projet'!$B$10,Paramètres!$A$1:$I$89,5,0)</f>
        <v>104.416</v>
      </c>
      <c r="AK29" s="14">
        <f t="shared" si="35"/>
        <v>28.01138818767625</v>
      </c>
      <c r="AL29" s="22">
        <f t="shared" si="4"/>
        <v>230.64436776020281</v>
      </c>
      <c r="AM29" s="62">
        <f t="shared" si="5"/>
        <v>523.9777010935361</v>
      </c>
      <c r="AN29" s="62">
        <f ca="1">AVERAGE(OFFSET($AM$3,0,0,'Données projet'!$E$10+1,1))-AVERAGE(OFFSET($H$3,0,0,'Données projet'!$E$10+1,1))</f>
        <v>175.05987582828078</v>
      </c>
      <c r="AO29" s="62">
        <f t="shared" si="36"/>
        <v>268.54782308462387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1.3572705834838943</v>
      </c>
      <c r="AW29" s="23">
        <f>EXP(-LN(2)/2)*AW28+(1-EXP(-LN(2)/2))/(LN(2)/2)*AQ29*AT29*VLOOKUP('Données projet'!$B$10,Paramètres!$A$1:$I$89,3,0)*0.475*44/12</f>
        <v>5.6616257501982918</v>
      </c>
      <c r="AX29" s="23">
        <f t="shared" si="6"/>
        <v>7.0188963336821857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5.2912820512820513</v>
      </c>
      <c r="BD29" s="13">
        <f>IF('Données projet'!$A$88&gt;35,BD28+BC29-BL28,IF(A29&lt;'Données projet'!$A$88,$BA$205^A29,IF(A29='Données projet'!$A$88,'Données projet'!$B$88,BD28+BC29-BL28)))</f>
        <v>80.771449742989631</v>
      </c>
      <c r="BE29" s="14">
        <f>BD29*VLOOKUP('Données projet'!$B$11,Paramètres!$A$1:$I$89,3,0)*VLOOKUP('Données projet'!$B$11,Paramètres!$A$1:$I$89,5,0)</f>
        <v>37.801038479719146</v>
      </c>
      <c r="BF29" s="14">
        <f t="shared" si="37"/>
        <v>11.413907841250353</v>
      </c>
      <c r="BG29" s="22">
        <f t="shared" si="7"/>
        <v>85.716031509021889</v>
      </c>
      <c r="BH29" s="62">
        <f t="shared" si="8"/>
        <v>379.0493648423552</v>
      </c>
      <c r="BI29" s="62">
        <f ca="1">AVERAGE(OFFSET($BH$3,0,0,'Données projet'!$E$11+1,1))-AVERAGE(OFFSET($H$3,0,0,'Données projet'!$E$11+1,1))</f>
        <v>183.46485104601493</v>
      </c>
      <c r="BJ29" s="62">
        <f t="shared" si="38"/>
        <v>127.47790120677581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14.4</v>
      </c>
      <c r="BY29" s="13">
        <f>IF('Données projet'!$A$114&gt;35,BY28+BX29-CG28,IF(A29&lt;'Données projet'!$A$114,$BV$205^A29,IF(A29='Données projet'!$A$114,'Données projet'!$B$114,BY28+BX29-CG28)))</f>
        <v>124.4</v>
      </c>
      <c r="BZ29" s="14">
        <f>BY29*VLOOKUP('Données projet'!$B$12,Paramètres!$A$1:$I$89,3,0)*VLOOKUP('Données projet'!$B$12,Paramètres!$A$1:$I$89,5,0)</f>
        <v>71.156800000000004</v>
      </c>
      <c r="CA29" s="14">
        <f t="shared" si="39"/>
        <v>19.960457167255548</v>
      </c>
      <c r="CB29" s="22">
        <f t="shared" si="10"/>
        <v>158.69588956630341</v>
      </c>
      <c r="CC29" s="62">
        <f t="shared" si="11"/>
        <v>452.02922289963669</v>
      </c>
      <c r="CD29" s="62">
        <f ca="1">AVERAGE(OFFSET($CC$3,0,0,'Données projet'!$E$12+1,1))-AVERAGE(OFFSET($H$3,0,0,'Données projet'!$E$12+1,1))</f>
        <v>228.06050741667258</v>
      </c>
      <c r="CE29" s="62">
        <f t="shared" si="40"/>
        <v>191.94885821983536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3.4735346867872985</v>
      </c>
      <c r="CM29" s="23">
        <f>EXP(-LN(2)/2)*CM28+(1-EXP(-LN(2)/2))/(LN(2)/2)*CG29*CJ29*VLOOKUP('Données projet'!$B$12,Paramètres!$A$1:$I$89,3,0)*0.475*44/12</f>
        <v>4.8084584675690891</v>
      </c>
      <c r="CN29" s="24">
        <f t="shared" si="12"/>
        <v>8.2819931543563872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16.399999999999999</v>
      </c>
      <c r="CT29" s="13">
        <f>IF('Données projet'!$A$140&gt;35,CT28+CS29-DB28,IF(A29&lt;'Données projet'!$A$140,$CQ$205^A29,IF(A29='Données projet'!$A$140,'Données projet'!$B$140,CT28+CS29-DB28)))</f>
        <v>139.40000000000006</v>
      </c>
      <c r="CU29" s="18">
        <f>CT29*VLOOKUP('Données projet'!$B$13,Paramètres!$A$1:$I$89,3,0)*VLOOKUP('Données projet'!$B$13,Paramètres!$A$1:$I$89,5,0)</f>
        <v>110.90664000000007</v>
      </c>
      <c r="CV29" s="14">
        <f t="shared" si="41"/>
        <v>29.544493872672952</v>
      </c>
      <c r="CW29" s="22">
        <f t="shared" si="13"/>
        <v>244.61905816157218</v>
      </c>
      <c r="CX29" s="62">
        <f t="shared" si="14"/>
        <v>537.95239149490544</v>
      </c>
      <c r="CY29" s="62">
        <f ca="1">AVERAGE(OFFSET($CX$3,0,0,'Données projet'!$E$13+1,1))-AVERAGE(OFFSET($H$3,0,0,'Données projet'!$E$13+1,1))</f>
        <v>343.37244130003143</v>
      </c>
      <c r="CZ29" s="62">
        <f t="shared" si="42"/>
        <v>318.38876834819763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155.19999999999999</v>
      </c>
      <c r="DP29" s="18">
        <f>DO29*VLOOKUP('Données projet'!$B$14,Paramètres!$A$1:$I$89,3,0)*VLOOKUP('Données projet'!$B$14,Paramètres!$A$1:$I$89,5,0)</f>
        <v>113.79263999999999</v>
      </c>
      <c r="DQ29" s="14">
        <f t="shared" si="43"/>
        <v>30.222789639068861</v>
      </c>
      <c r="DR29" s="22">
        <f t="shared" si="16"/>
        <v>250.82687328804494</v>
      </c>
      <c r="DS29" s="62">
        <f t="shared" si="17"/>
        <v>544.16020662137828</v>
      </c>
      <c r="DT29" s="62">
        <f ca="1">AVERAGE(OFFSET($DS$3,0,0,'Données projet'!$E$14+1,1))-AVERAGE(OFFSET($H$3,0,0,'Données projet'!$E$14+1,1))</f>
        <v>263.81634201637729</v>
      </c>
      <c r="DU29" s="62">
        <f t="shared" si="44"/>
        <v>302.03767435507262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26.166666666666668</v>
      </c>
      <c r="N30" s="14">
        <f>IF('Données projet'!$A$36&gt;35,N29+M30-V29,IF(A30&lt;'Données projet'!$A$36,$K$205^A30,IF(A30='Données projet'!$A$36,'Données projet'!$B$36,N29+M30-V29)))</f>
        <v>311.50000000000006</v>
      </c>
      <c r="O30" s="14">
        <f>N30*VLOOKUP('Données projet'!$B$9,Paramètres!$A$1:$I$89,3,0)*VLOOKUP('Données projet'!$B$9,Paramètres!$A$1:$I$89,5,0)</f>
        <v>174.12850000000003</v>
      </c>
      <c r="P30" s="14">
        <f t="shared" si="33"/>
        <v>44.013375010114146</v>
      </c>
      <c r="Q30" s="22">
        <f t="shared" si="2"/>
        <v>379.9304323092822</v>
      </c>
      <c r="R30" s="62">
        <f t="shared" si="0"/>
        <v>673.26376564261545</v>
      </c>
      <c r="S30" s="62">
        <f ca="1">AVERAGE(OFFSET($R$3,0,0,'Données projet'!$E$9+1,1))-AVERAGE(OFFSET($H$3,0,0,'Données projet'!$E$9+1,1))</f>
        <v>322.63846641467165</v>
      </c>
      <c r="T30" s="62">
        <f t="shared" si="34"/>
        <v>435.17386576419966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22.306938216458246</v>
      </c>
      <c r="AB30" s="23">
        <f>EXP(-LN(2)/2)*AB29+(1-EXP(-LN(2)/2))/(LN(2)/2)*V30*Y30*VLOOKUP('Données projet'!$B$9,Paramètres!$A$1:$I$89,3,0)*0.475*44/12</f>
        <v>8.2655137335182154</v>
      </c>
      <c r="AC30" s="24">
        <f t="shared" si="3"/>
        <v>30.572451949976461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14.166666666666666</v>
      </c>
      <c r="AI30" s="14">
        <f>IF('Données projet'!$A$62&gt;35,AI29+AH30-AQ29,IF(A30&lt;'Données projet'!$A$62,$AF$205^A30,IF(A30='Données projet'!$A$62,'Données projet'!$B$62,AI29+AH30-AQ29)))</f>
        <v>181.49999999999997</v>
      </c>
      <c r="AJ30" s="14">
        <f>AI30*VLOOKUP('Données projet'!$B$10,Paramètres!$A$1:$I$89,3,0)*VLOOKUP('Données projet'!$B$10,Paramètres!$A$1:$I$89,5,0)</f>
        <v>113.25599999999997</v>
      </c>
      <c r="AK30" s="14">
        <f t="shared" si="35"/>
        <v>30.096816336106439</v>
      </c>
      <c r="AL30" s="22">
        <f t="shared" si="4"/>
        <v>249.67282178538531</v>
      </c>
      <c r="AM30" s="62">
        <f t="shared" si="5"/>
        <v>543.00615511871865</v>
      </c>
      <c r="AN30" s="62">
        <f ca="1">AVERAGE(OFFSET($AM$3,0,0,'Données projet'!$E$10+1,1))-AVERAGE(OFFSET($H$3,0,0,'Données projet'!$E$10+1,1))</f>
        <v>175.05987582828078</v>
      </c>
      <c r="AO30" s="62">
        <f t="shared" si="36"/>
        <v>268.54782308462387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1.3201559480027694</v>
      </c>
      <c r="AW30" s="23">
        <f>EXP(-LN(2)/2)*AW29+(1-EXP(-LN(2)/2))/(LN(2)/2)*AQ30*AT30*VLOOKUP('Données projet'!$B$10,Paramètres!$A$1:$I$89,3,0)*0.475*44/12</f>
        <v>4.0033739605055869</v>
      </c>
      <c r="AX30" s="23">
        <f t="shared" si="6"/>
        <v>5.3235299085083563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5.2912820512820513</v>
      </c>
      <c r="BD30" s="13">
        <f>IF('Données projet'!$A$88&gt;35,BD29+BC30-BL29,IF(A30&lt;'Données projet'!$A$88,$BA$205^A30,IF(A30='Données projet'!$A$88,'Données projet'!$B$88,BD29+BC30-BL29)))</f>
        <v>95.634358757574688</v>
      </c>
      <c r="BE30" s="14">
        <f>BD30*VLOOKUP('Données projet'!$B$11,Paramètres!$A$1:$I$89,3,0)*VLOOKUP('Données projet'!$B$11,Paramètres!$A$1:$I$89,5,0)</f>
        <v>44.756879898544952</v>
      </c>
      <c r="BF30" s="14">
        <f t="shared" si="37"/>
        <v>13.251095595149819</v>
      </c>
      <c r="BG30" s="22">
        <f t="shared" si="7"/>
        <v>101.03055731818506</v>
      </c>
      <c r="BH30" s="62">
        <f t="shared" si="8"/>
        <v>394.36389065151837</v>
      </c>
      <c r="BI30" s="62">
        <f ca="1">AVERAGE(OFFSET($BH$3,0,0,'Données projet'!$E$11+1,1))-AVERAGE(OFFSET($H$3,0,0,'Données projet'!$E$11+1,1))</f>
        <v>183.46485104601493</v>
      </c>
      <c r="BJ30" s="62">
        <f t="shared" si="38"/>
        <v>127.47790120677581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14.4</v>
      </c>
      <c r="BY30" s="13">
        <f>IF('Données projet'!$A$114&gt;35,BY29+BX30-CG29,IF(A30&lt;'Données projet'!$A$114,$BV$205^A30,IF(A30='Données projet'!$A$114,'Données projet'!$B$114,BY29+BX30-CG29)))</f>
        <v>138.80000000000001</v>
      </c>
      <c r="BZ30" s="14">
        <f>BY30*VLOOKUP('Données projet'!$B$12,Paramètres!$A$1:$I$89,3,0)*VLOOKUP('Données projet'!$B$12,Paramètres!$A$1:$I$89,5,0)</f>
        <v>79.393600000000006</v>
      </c>
      <c r="CA30" s="14">
        <f t="shared" si="39"/>
        <v>21.988850581624067</v>
      </c>
      <c r="CB30" s="22">
        <f t="shared" si="10"/>
        <v>176.57443476299522</v>
      </c>
      <c r="CC30" s="62">
        <f t="shared" si="11"/>
        <v>469.90776809632854</v>
      </c>
      <c r="CD30" s="62">
        <f ca="1">AVERAGE(OFFSET($CC$3,0,0,'Données projet'!$E$12+1,1))-AVERAGE(OFFSET($H$3,0,0,'Données projet'!$E$12+1,1))</f>
        <v>228.06050741667258</v>
      </c>
      <c r="CE30" s="62">
        <f t="shared" si="40"/>
        <v>191.94885821983536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3.3785506981118494</v>
      </c>
      <c r="CM30" s="23">
        <f>EXP(-LN(2)/2)*CM29+(1-EXP(-LN(2)/2))/(LN(2)/2)*CG30*CJ30*VLOOKUP('Données projet'!$B$12,Paramètres!$A$1:$I$89,3,0)*0.475*44/12</f>
        <v>3.4000935894719779</v>
      </c>
      <c r="CN30" s="24">
        <f t="shared" si="12"/>
        <v>6.7786442875838269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16.399999999999999</v>
      </c>
      <c r="CT30" s="13">
        <f>IF('Données projet'!$A$140&gt;35,CT29+CS30-DB29,IF(A30&lt;'Données projet'!$A$140,$CQ$205^A30,IF(A30='Données projet'!$A$140,'Données projet'!$B$140,CT29+CS30-DB29)))</f>
        <v>155.80000000000007</v>
      </c>
      <c r="CU30" s="18">
        <f>CT30*VLOOKUP('Données projet'!$B$13,Paramètres!$A$1:$I$89,3,0)*VLOOKUP('Données projet'!$B$13,Paramètres!$A$1:$I$89,5,0)</f>
        <v>123.95448000000007</v>
      </c>
      <c r="CV30" s="14">
        <f t="shared" si="41"/>
        <v>32.595569202682604</v>
      </c>
      <c r="CW30" s="22">
        <f t="shared" si="13"/>
        <v>272.65800236133902</v>
      </c>
      <c r="CX30" s="62">
        <f t="shared" si="14"/>
        <v>565.99133569467233</v>
      </c>
      <c r="CY30" s="62">
        <f ca="1">AVERAGE(OFFSET($CX$3,0,0,'Données projet'!$E$13+1,1))-AVERAGE(OFFSET($H$3,0,0,'Données projet'!$E$13+1,1))</f>
        <v>343.37244130003143</v>
      </c>
      <c r="CZ30" s="62">
        <f t="shared" si="42"/>
        <v>318.38876834819763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169.39999999999998</v>
      </c>
      <c r="DP30" s="18">
        <f>DO30*VLOOKUP('Données projet'!$B$14,Paramètres!$A$1:$I$89,3,0)*VLOOKUP('Données projet'!$B$14,Paramètres!$A$1:$I$89,5,0)</f>
        <v>124.20407999999998</v>
      </c>
      <c r="DQ30" s="14">
        <f t="shared" si="43"/>
        <v>32.653558222527792</v>
      </c>
      <c r="DR30" s="22">
        <f t="shared" si="16"/>
        <v>273.19371990423588</v>
      </c>
      <c r="DS30" s="62">
        <f t="shared" si="17"/>
        <v>566.52705323756913</v>
      </c>
      <c r="DT30" s="62">
        <f ca="1">AVERAGE(OFFSET($DS$3,0,0,'Données projet'!$E$14+1,1))-AVERAGE(OFFSET($H$3,0,0,'Données projet'!$E$14+1,1))</f>
        <v>263.81634201637729</v>
      </c>
      <c r="DU30" s="62">
        <f t="shared" si="44"/>
        <v>302.03767435507262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26.166666666666668</v>
      </c>
      <c r="N31" s="14">
        <f>IF('Données projet'!$A$36&gt;35,N30+M31-V30,IF(A31&lt;'Données projet'!$A$36,$K$205^A31,IF(A31='Données projet'!$A$36,'Données projet'!$B$36,N30+M31-V30)))</f>
        <v>337.66666666666674</v>
      </c>
      <c r="O31" s="14">
        <f>N31*VLOOKUP('Données projet'!$B$9,Paramètres!$A$1:$I$89,3,0)*VLOOKUP('Données projet'!$B$9,Paramètres!$A$1:$I$89,5,0)</f>
        <v>188.75566666666671</v>
      </c>
      <c r="P31" s="14">
        <f t="shared" si="33"/>
        <v>47.264743303578236</v>
      </c>
      <c r="Q31" s="22">
        <f t="shared" si="2"/>
        <v>411.0688806981766</v>
      </c>
      <c r="R31" s="62">
        <f t="shared" si="0"/>
        <v>704.40221403150986</v>
      </c>
      <c r="S31" s="62">
        <f ca="1">AVERAGE(OFFSET($R$3,0,0,'Données projet'!$E$9+1,1))-AVERAGE(OFFSET($H$3,0,0,'Données projet'!$E$9+1,1))</f>
        <v>322.63846641467165</v>
      </c>
      <c r="T31" s="62">
        <f t="shared" si="34"/>
        <v>435.17386576419966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21.696953817858297</v>
      </c>
      <c r="AB31" s="23">
        <f>EXP(-LN(2)/2)*AB30+(1-EXP(-LN(2)/2))/(LN(2)/2)*V31*Y31*VLOOKUP('Données projet'!$B$9,Paramètres!$A$1:$I$89,3,0)*0.475*44/12</f>
        <v>5.8446008109612686</v>
      </c>
      <c r="AC31" s="24">
        <f t="shared" si="3"/>
        <v>27.541554628819565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14.166666666666666</v>
      </c>
      <c r="AI31" s="14">
        <f>IF('Données projet'!$A$62&gt;35,AI30+AH31-AQ30,IF(A31&lt;'Données projet'!$A$62,$AF$205^A31,IF(A31='Données projet'!$A$62,'Données projet'!$B$62,AI30+AH31-AQ30)))</f>
        <v>195.66666666666663</v>
      </c>
      <c r="AJ31" s="14">
        <f>AI31*VLOOKUP('Données projet'!$B$10,Paramètres!$A$1:$I$89,3,0)*VLOOKUP('Données projet'!$B$10,Paramètres!$A$1:$I$89,5,0)</f>
        <v>122.09599999999998</v>
      </c>
      <c r="AK31" s="14">
        <f t="shared" si="35"/>
        <v>32.163363121463028</v>
      </c>
      <c r="AL31" s="22">
        <f t="shared" si="4"/>
        <v>268.6683907698814</v>
      </c>
      <c r="AM31" s="62">
        <f t="shared" si="5"/>
        <v>562.00172410321466</v>
      </c>
      <c r="AN31" s="62">
        <f ca="1">AVERAGE(OFFSET($AM$3,0,0,'Données projet'!$E$10+1,1))-AVERAGE(OFFSET($H$3,0,0,'Données projet'!$E$10+1,1))</f>
        <v>175.05987582828078</v>
      </c>
      <c r="AO31" s="62">
        <f t="shared" si="36"/>
        <v>268.54782308462387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1.2840562141806495</v>
      </c>
      <c r="AW31" s="23">
        <f>EXP(-LN(2)/2)*AW30+(1-EXP(-LN(2)/2))/(LN(2)/2)*AQ31*AT31*VLOOKUP('Données projet'!$B$10,Paramètres!$A$1:$I$89,3,0)*0.475*44/12</f>
        <v>2.8308128750991464</v>
      </c>
      <c r="AX31" s="23">
        <f t="shared" si="6"/>
        <v>4.1148690892797957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5.2912820512820513</v>
      </c>
      <c r="BD31" s="13">
        <f>IF('Données projet'!$A$88&gt;35,BD30+BC31-BL30,IF(A31&lt;'Données projet'!$A$88,$BA$205^A31,IF(A31='Données projet'!$A$88,'Données projet'!$B$88,BD30+BC31-BL30)))</f>
        <v>113.23222009849215</v>
      </c>
      <c r="BE31" s="14">
        <f>BD31*VLOOKUP('Données projet'!$B$11,Paramètres!$A$1:$I$89,3,0)*VLOOKUP('Données projet'!$B$11,Paramètres!$A$1:$I$89,5,0)</f>
        <v>52.992679006094328</v>
      </c>
      <c r="BF31" s="14">
        <f t="shared" si="37"/>
        <v>15.383997918504607</v>
      </c>
      <c r="BG31" s="22">
        <f t="shared" si="7"/>
        <v>119.08937897700982</v>
      </c>
      <c r="BH31" s="62">
        <f t="shared" si="8"/>
        <v>412.42271231034312</v>
      </c>
      <c r="BI31" s="62">
        <f ca="1">AVERAGE(OFFSET($BH$3,0,0,'Données projet'!$E$11+1,1))-AVERAGE(OFFSET($H$3,0,0,'Données projet'!$E$11+1,1))</f>
        <v>183.46485104601493</v>
      </c>
      <c r="BJ31" s="62">
        <f t="shared" si="38"/>
        <v>127.47790120677581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14.4</v>
      </c>
      <c r="BY31" s="13">
        <f>IF('Données projet'!$A$114&gt;35,BY30+BX31-CG30,IF(A31&lt;'Données projet'!$A$114,$BV$205^A31,IF(A31='Données projet'!$A$114,'Données projet'!$B$114,BY30+BX31-CG30)))</f>
        <v>153.20000000000002</v>
      </c>
      <c r="BZ31" s="14">
        <f>BY31*VLOOKUP('Données projet'!$B$12,Paramètres!$A$1:$I$89,3,0)*VLOOKUP('Données projet'!$B$12,Paramètres!$A$1:$I$89,5,0)</f>
        <v>87.630400000000009</v>
      </c>
      <c r="CA31" s="14">
        <f t="shared" si="39"/>
        <v>23.992850113613226</v>
      </c>
      <c r="CB31" s="22">
        <f t="shared" si="10"/>
        <v>194.41049394787638</v>
      </c>
      <c r="CC31" s="62">
        <f t="shared" si="11"/>
        <v>487.74382728120969</v>
      </c>
      <c r="CD31" s="62">
        <f ca="1">AVERAGE(OFFSET($CC$3,0,0,'Données projet'!$E$12+1,1))-AVERAGE(OFFSET($H$3,0,0,'Données projet'!$E$12+1,1))</f>
        <v>228.06050741667258</v>
      </c>
      <c r="CE31" s="62">
        <f t="shared" si="40"/>
        <v>191.94885821983536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3.2861640516017214</v>
      </c>
      <c r="CM31" s="23">
        <f>EXP(-LN(2)/2)*CM30+(1-EXP(-LN(2)/2))/(LN(2)/2)*CG31*CJ31*VLOOKUP('Données projet'!$B$12,Paramètres!$A$1:$I$89,3,0)*0.475*44/12</f>
        <v>2.404229233784545</v>
      </c>
      <c r="CN31" s="24">
        <f t="shared" si="12"/>
        <v>5.690393285386266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16.399999999999999</v>
      </c>
      <c r="CT31" s="13">
        <f>IF('Données projet'!$A$140&gt;35,CT30+CS31-DB30,IF(A31&lt;'Données projet'!$A$140,$CQ$205^A31,IF(A31='Données projet'!$A$140,'Données projet'!$B$140,CT30+CS31-DB30)))</f>
        <v>172.20000000000007</v>
      </c>
      <c r="CU31" s="18">
        <f>CT31*VLOOKUP('Données projet'!$B$13,Paramètres!$A$1:$I$89,3,0)*VLOOKUP('Données projet'!$B$13,Paramètres!$A$1:$I$89,5,0)</f>
        <v>137.00232000000008</v>
      </c>
      <c r="CV31" s="14">
        <f t="shared" si="41"/>
        <v>35.609416420931382</v>
      </c>
      <c r="CW31" s="22">
        <f t="shared" si="13"/>
        <v>300.63210759978892</v>
      </c>
      <c r="CX31" s="62">
        <f t="shared" si="14"/>
        <v>593.96544093312218</v>
      </c>
      <c r="CY31" s="62">
        <f ca="1">AVERAGE(OFFSET($CX$3,0,0,'Données projet'!$E$13+1,1))-AVERAGE(OFFSET($H$3,0,0,'Données projet'!$E$13+1,1))</f>
        <v>343.37244130003143</v>
      </c>
      <c r="CZ31" s="62">
        <f t="shared" si="42"/>
        <v>318.38876834819763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183.59999999999997</v>
      </c>
      <c r="DP31" s="18">
        <f>DO31*VLOOKUP('Données projet'!$B$14,Paramètres!$A$1:$I$89,3,0)*VLOOKUP('Données projet'!$B$14,Paramètres!$A$1:$I$89,5,0)</f>
        <v>134.61551999999998</v>
      </c>
      <c r="DQ31" s="14">
        <f t="shared" si="43"/>
        <v>35.060695303875569</v>
      </c>
      <c r="DR31" s="22">
        <f t="shared" si="16"/>
        <v>295.51940832091657</v>
      </c>
      <c r="DS31" s="62">
        <f t="shared" si="17"/>
        <v>588.85274165424994</v>
      </c>
      <c r="DT31" s="62">
        <f ca="1">AVERAGE(OFFSET($DS$3,0,0,'Données projet'!$E$14+1,1))-AVERAGE(OFFSET($H$3,0,0,'Données projet'!$E$14+1,1))</f>
        <v>263.81634201637729</v>
      </c>
      <c r="DU31" s="62">
        <f t="shared" si="44"/>
        <v>302.03767435507262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26.166666666666668</v>
      </c>
      <c r="N32" s="14">
        <f>IF('Données projet'!$A$36&gt;35,N31+M32-V31,IF(A32&lt;'Données projet'!$A$36,$K$205^A32,IF(A32='Données projet'!$A$36,'Données projet'!$B$36,N31+M32-V31)))</f>
        <v>363.83333333333343</v>
      </c>
      <c r="O32" s="14">
        <f>N32*VLOOKUP('Données projet'!$B$9,Paramètres!$A$1:$I$89,3,0)*VLOOKUP('Données projet'!$B$9,Paramètres!$A$1:$I$89,5,0)</f>
        <v>203.38283333333339</v>
      </c>
      <c r="P32" s="14">
        <f t="shared" si="33"/>
        <v>50.486884819584603</v>
      </c>
      <c r="Q32" s="22">
        <f t="shared" si="2"/>
        <v>442.15642578299884</v>
      </c>
      <c r="R32" s="62">
        <f t="shared" si="0"/>
        <v>735.48975911633215</v>
      </c>
      <c r="S32" s="62">
        <f ca="1">AVERAGE(OFFSET($R$3,0,0,'Données projet'!$E$9+1,1))-AVERAGE(OFFSET($H$3,0,0,'Données projet'!$E$9+1,1))</f>
        <v>322.63846641467165</v>
      </c>
      <c r="T32" s="62">
        <f t="shared" si="34"/>
        <v>435.17386576419966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21.103649474715748</v>
      </c>
      <c r="AB32" s="23">
        <f>EXP(-LN(2)/2)*AB31+(1-EXP(-LN(2)/2))/(LN(2)/2)*V32*Y32*VLOOKUP('Données projet'!$B$9,Paramètres!$A$1:$I$89,3,0)*0.475*44/12</f>
        <v>4.1327568667591086</v>
      </c>
      <c r="AC32" s="24">
        <f t="shared" si="3"/>
        <v>25.236406341474858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14.166666666666666</v>
      </c>
      <c r="AI32" s="14">
        <f>IF('Données projet'!$A$62&gt;35,AI31+AH32-AQ31,IF(A32&lt;'Données projet'!$A$62,$AF$205^A32,IF(A32='Données projet'!$A$62,'Données projet'!$B$62,AI31+AH32-AQ31)))</f>
        <v>209.83333333333329</v>
      </c>
      <c r="AJ32" s="14">
        <f>AI32*VLOOKUP('Données projet'!$B$10,Paramètres!$A$1:$I$89,3,0)*VLOOKUP('Données projet'!$B$10,Paramètres!$A$1:$I$89,5,0)</f>
        <v>130.93599999999998</v>
      </c>
      <c r="AK32" s="14">
        <f t="shared" si="35"/>
        <v>34.21255106176632</v>
      </c>
      <c r="AL32" s="22">
        <f t="shared" si="4"/>
        <v>287.63372643257628</v>
      </c>
      <c r="AM32" s="62">
        <f t="shared" si="5"/>
        <v>580.96705976590965</v>
      </c>
      <c r="AN32" s="62">
        <f ca="1">AVERAGE(OFFSET($AM$3,0,0,'Données projet'!$E$10+1,1))-AVERAGE(OFFSET($H$3,0,0,'Données projet'!$E$10+1,1))</f>
        <v>175.05987582828078</v>
      </c>
      <c r="AO32" s="62">
        <f t="shared" si="36"/>
        <v>268.54782308462387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1.2489436294782981</v>
      </c>
      <c r="AW32" s="23">
        <f>EXP(-LN(2)/2)*AW31+(1-EXP(-LN(2)/2))/(LN(2)/2)*AQ32*AT32*VLOOKUP('Données projet'!$B$10,Paramètres!$A$1:$I$89,3,0)*0.475*44/12</f>
        <v>2.0016869802527939</v>
      </c>
      <c r="AX32" s="23">
        <f t="shared" si="6"/>
        <v>3.250630609731092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5.2912820512820513</v>
      </c>
      <c r="BD32" s="13">
        <f>IF('Données projet'!$A$88&gt;35,BD31+BC32-BL31,IF(A32&lt;'Données projet'!$A$88,$BA$205^A32,IF(A32='Données projet'!$A$88,'Données projet'!$B$88,BD31+BC32-BL31)))</f>
        <v>134.06829757634409</v>
      </c>
      <c r="BE32" s="14">
        <f>BD32*VLOOKUP('Données projet'!$B$11,Paramètres!$A$1:$I$89,3,0)*VLOOKUP('Données projet'!$B$11,Paramètres!$A$1:$I$89,5,0)</f>
        <v>62.743963265729036</v>
      </c>
      <c r="BF32" s="14">
        <f t="shared" si="37"/>
        <v>17.860213161784099</v>
      </c>
      <c r="BG32" s="22">
        <f t="shared" si="7"/>
        <v>140.38560727791869</v>
      </c>
      <c r="BH32" s="62">
        <f t="shared" si="8"/>
        <v>433.71894061125204</v>
      </c>
      <c r="BI32" s="62">
        <f ca="1">AVERAGE(OFFSET($BH$3,0,0,'Données projet'!$E$11+1,1))-AVERAGE(OFFSET($H$3,0,0,'Données projet'!$E$11+1,1))</f>
        <v>183.46485104601493</v>
      </c>
      <c r="BJ32" s="62">
        <f t="shared" si="38"/>
        <v>127.47790120677581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14.4</v>
      </c>
      <c r="BY32" s="13">
        <f>IF('Données projet'!$A$114&gt;35,BY31+BX32-CG31,IF(A32&lt;'Données projet'!$A$114,$BV$205^A32,IF(A32='Données projet'!$A$114,'Données projet'!$B$114,BY31+BX32-CG31)))</f>
        <v>167.60000000000002</v>
      </c>
      <c r="BZ32" s="14">
        <f>BY32*VLOOKUP('Données projet'!$B$12,Paramètres!$A$1:$I$89,3,0)*VLOOKUP('Données projet'!$B$12,Paramètres!$A$1:$I$89,5,0)</f>
        <v>95.867200000000025</v>
      </c>
      <c r="CA32" s="14">
        <f t="shared" si="39"/>
        <v>25.975009492526002</v>
      </c>
      <c r="CB32" s="22">
        <f t="shared" si="10"/>
        <v>212.20851486614947</v>
      </c>
      <c r="CC32" s="62">
        <f t="shared" si="11"/>
        <v>505.54184819948279</v>
      </c>
      <c r="CD32" s="62">
        <f ca="1">AVERAGE(OFFSET($CC$3,0,0,'Données projet'!$E$12+1,1))-AVERAGE(OFFSET($H$3,0,0,'Données projet'!$E$12+1,1))</f>
        <v>228.06050741667258</v>
      </c>
      <c r="CE32" s="62">
        <f t="shared" si="40"/>
        <v>191.94885821983536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3.1963037227988154</v>
      </c>
      <c r="CM32" s="23">
        <f>EXP(-LN(2)/2)*CM31+(1-EXP(-LN(2)/2))/(LN(2)/2)*CG32*CJ32*VLOOKUP('Données projet'!$B$12,Paramètres!$A$1:$I$89,3,0)*0.475*44/12</f>
        <v>1.7000467947359892</v>
      </c>
      <c r="CN32" s="24">
        <f t="shared" si="12"/>
        <v>4.8963505175348043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16.399999999999999</v>
      </c>
      <c r="CT32" s="13">
        <f>IF('Données projet'!$A$140&gt;35,CT31+CS32-DB31,IF(A32&lt;'Données projet'!$A$140,$CQ$205^A32,IF(A32='Données projet'!$A$140,'Données projet'!$B$140,CT31+CS32-DB31)))</f>
        <v>188.60000000000008</v>
      </c>
      <c r="CU32" s="18">
        <f>CT32*VLOOKUP('Données projet'!$B$13,Paramètres!$A$1:$I$89,3,0)*VLOOKUP('Données projet'!$B$13,Paramètres!$A$1:$I$89,5,0)</f>
        <v>150.05016000000006</v>
      </c>
      <c r="CV32" s="14">
        <f t="shared" si="41"/>
        <v>38.589984439024605</v>
      </c>
      <c r="CW32" s="22">
        <f t="shared" si="13"/>
        <v>328.5482515646346</v>
      </c>
      <c r="CX32" s="62">
        <f t="shared" si="14"/>
        <v>621.88158489796797</v>
      </c>
      <c r="CY32" s="62">
        <f ca="1">AVERAGE(OFFSET($CX$3,0,0,'Données projet'!$E$13+1,1))-AVERAGE(OFFSET($H$3,0,0,'Données projet'!$E$13+1,1))</f>
        <v>343.37244130003143</v>
      </c>
      <c r="CZ32" s="62">
        <f t="shared" si="42"/>
        <v>318.38876834819763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197.79999999999995</v>
      </c>
      <c r="DP32" s="18">
        <f>DO32*VLOOKUP('Données projet'!$B$14,Paramètres!$A$1:$I$89,3,0)*VLOOKUP('Données projet'!$B$14,Paramètres!$A$1:$I$89,5,0)</f>
        <v>145.02695999999997</v>
      </c>
      <c r="DQ32" s="14">
        <f t="shared" si="43"/>
        <v>37.446236397854975</v>
      </c>
      <c r="DR32" s="22">
        <f t="shared" si="16"/>
        <v>317.80748372626402</v>
      </c>
      <c r="DS32" s="62">
        <f t="shared" si="17"/>
        <v>611.14081705959734</v>
      </c>
      <c r="DT32" s="62">
        <f ca="1">AVERAGE(OFFSET($DS$3,0,0,'Données projet'!$E$14+1,1))-AVERAGE(OFFSET($H$3,0,0,'Données projet'!$E$14+1,1))</f>
        <v>263.81634201637729</v>
      </c>
      <c r="DU32" s="62">
        <f t="shared" si="44"/>
        <v>302.03767435507262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390</v>
      </c>
      <c r="L33" s="13">
        <f>VLOOKUP(A33,'Données projet'!$A$35:$I$55,9,0)</f>
        <v>26.166666666666668</v>
      </c>
      <c r="M33" s="13">
        <f t="array" ref="M33">INDEX(L:L,MIN(IF(ISNUMBER(L33:L229),ROW(L33:L229),"")))</f>
        <v>26.166666666666668</v>
      </c>
      <c r="N33" s="14">
        <f>IF('Données projet'!$A$36&gt;35,N32+M33-V32,IF(A33&lt;'Données projet'!$A$36,$K$205^A33,IF(A33='Données projet'!$A$36,'Données projet'!$B$36,N32+M33-V32)))</f>
        <v>390.00000000000011</v>
      </c>
      <c r="O33" s="14">
        <f>N33*VLOOKUP('Données projet'!$B$9,Paramètres!$A$1:$I$89,3,0)*VLOOKUP('Données projet'!$B$9,Paramètres!$A$1:$I$89,5,0)</f>
        <v>218.01000000000008</v>
      </c>
      <c r="P33" s="14">
        <f t="shared" si="33"/>
        <v>53.682140586224406</v>
      </c>
      <c r="Q33" s="22">
        <f t="shared" si="2"/>
        <v>473.19714485434088</v>
      </c>
      <c r="R33" s="62">
        <f t="shared" si="0"/>
        <v>766.53047818767413</v>
      </c>
      <c r="S33" s="62">
        <f ca="1">AVERAGE(OFFSET($R$3,0,0,'Données projet'!$E$9+1,1))-AVERAGE(OFFSET($H$3,0,0,'Données projet'!$E$9+1,1))</f>
        <v>322.63846641467165</v>
      </c>
      <c r="T33" s="62">
        <f t="shared" si="34"/>
        <v>435.17386576419966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79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20.526569070036953</v>
      </c>
      <c r="AB33" s="23">
        <f>EXP(-LN(2)/2)*AB32+(1-EXP(-LN(2)/2))/(LN(2)/2)*V33*Y33*VLOOKUP('Données projet'!$B$9,Paramètres!$A$1:$I$89,3,0)*0.475*44/12</f>
        <v>2.9223004054806347</v>
      </c>
      <c r="AC33" s="24">
        <f t="shared" si="3"/>
        <v>23.448869475517586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224</v>
      </c>
      <c r="AG33" s="13">
        <f>VLOOKUP(A33,'Données projet'!$A$61:$I$81,9,0)</f>
        <v>14.166666666666666</v>
      </c>
      <c r="AH33" s="13">
        <f t="array" ref="AH33">INDEX(AG:AG,MIN(IF(ISNUMBER(AG33:AG229),ROW(AG33:AG229),"")))</f>
        <v>14.166666666666666</v>
      </c>
      <c r="AI33" s="14">
        <f>IF('Données projet'!$A$62&gt;35,AI32+AH33-AQ32,IF(A33&lt;'Données projet'!$A$62,$AF$205^A33,IF(A33='Données projet'!$A$62,'Données projet'!$B$62,AI32+AH33-AQ32)))</f>
        <v>223.99999999999994</v>
      </c>
      <c r="AJ33" s="14">
        <f>AI33*VLOOKUP('Données projet'!$B$10,Paramètres!$A$1:$I$89,3,0)*VLOOKUP('Données projet'!$B$10,Paramètres!$A$1:$I$89,5,0)</f>
        <v>139.77599999999995</v>
      </c>
      <c r="AK33" s="14">
        <f t="shared" si="35"/>
        <v>36.245685459195258</v>
      </c>
      <c r="AL33" s="22">
        <f t="shared" si="4"/>
        <v>306.57110217476503</v>
      </c>
      <c r="AM33" s="62">
        <f t="shared" si="5"/>
        <v>599.90443550809835</v>
      </c>
      <c r="AN33" s="62">
        <f ca="1">AVERAGE(OFFSET($AM$3,0,0,'Données projet'!$E$10+1,1))-AVERAGE(OFFSET($H$3,0,0,'Données projet'!$E$10+1,1))</f>
        <v>175.05987582828078</v>
      </c>
      <c r="AO33" s="62">
        <f t="shared" si="36"/>
        <v>268.54782308462387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53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0.18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9.0806829014184967</v>
      </c>
      <c r="AW33" s="23">
        <f>EXP(-LN(2)/2)*AW32+(1-EXP(-LN(2)/2))/(LN(2)/2)*AQ33*AT33*VLOOKUP('Données projet'!$B$10,Paramètres!$A$1:$I$89,3,0)*0.475*44/12</f>
        <v>12.648962400688156</v>
      </c>
      <c r="AX33" s="23">
        <f t="shared" si="6"/>
        <v>21.729645302106654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158.73846153846154</v>
      </c>
      <c r="BB33" s="13">
        <f>VLOOKUP(A33,'Données projet'!$A$87:$I$107,9,0)</f>
        <v>5.2912820512820513</v>
      </c>
      <c r="BC33" s="13">
        <f t="array" ref="BC33">INDEX(BB:BB,MIN(IF(ISNUMBER(BB33:BB229),ROW(BB33:BB229),"")))</f>
        <v>5.2912820512820513</v>
      </c>
      <c r="BD33" s="13">
        <f>IF('Données projet'!$A$88&gt;35,BD32+BC33-BL32,IF(A33&lt;'Données projet'!$A$88,$BA$205^A33,IF(A33='Données projet'!$A$88,'Données projet'!$B$88,BD32+BC33-BL32)))</f>
        <v>158.73846153846154</v>
      </c>
      <c r="BE33" s="14">
        <f>BD33*VLOOKUP('Données projet'!$B$11,Paramètres!$A$1:$I$89,3,0)*VLOOKUP('Données projet'!$B$11,Paramètres!$A$1:$I$89,5,0)</f>
        <v>74.289599999999993</v>
      </c>
      <c r="BF33" s="14">
        <f t="shared" si="37"/>
        <v>20.735001127416453</v>
      </c>
      <c r="BG33" s="22">
        <f t="shared" si="7"/>
        <v>165.50118029691697</v>
      </c>
      <c r="BH33" s="62">
        <f t="shared" si="8"/>
        <v>458.83451363025029</v>
      </c>
      <c r="BI33" s="62">
        <f ca="1">AVERAGE(OFFSET($BH$3,0,0,'Données projet'!$E$11+1,1))-AVERAGE(OFFSET($H$3,0,0,'Données projet'!$E$11+1,1))</f>
        <v>183.46485104601493</v>
      </c>
      <c r="BJ33" s="62">
        <f t="shared" si="38"/>
        <v>127.47790120677581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182</v>
      </c>
      <c r="BW33" s="13">
        <f>VLOOKUP(A33,'Données projet'!$A$113:$I$133,9,0)</f>
        <v>14.4</v>
      </c>
      <c r="BX33" s="13">
        <f t="array" ref="BX33">INDEX(BW:BW,MIN(IF(ISNUMBER(BW33:BW229),ROW(BW33:BW229),"")))</f>
        <v>14.4</v>
      </c>
      <c r="BY33" s="13">
        <f>IF('Données projet'!$A$114&gt;35,BY32+BX33-CG32,IF(A33&lt;'Données projet'!$A$114,$BV$205^A33,IF(A33='Données projet'!$A$114,'Données projet'!$B$114,BY32+BX33-CG32)))</f>
        <v>182.00000000000003</v>
      </c>
      <c r="BZ33" s="14">
        <f>BY33*VLOOKUP('Données projet'!$B$12,Paramètres!$A$1:$I$89,3,0)*VLOOKUP('Données projet'!$B$12,Paramètres!$A$1:$I$89,5,0)</f>
        <v>104.10400000000001</v>
      </c>
      <c r="CA33" s="14">
        <f t="shared" si="39"/>
        <v>27.937418551182677</v>
      </c>
      <c r="CB33" s="22">
        <f t="shared" si="10"/>
        <v>229.97213730997649</v>
      </c>
      <c r="CC33" s="62">
        <f t="shared" si="11"/>
        <v>523.30547064330983</v>
      </c>
      <c r="CD33" s="62">
        <f ca="1">AVERAGE(OFFSET($CC$3,0,0,'Données projet'!$E$12+1,1))-AVERAGE(OFFSET($H$3,0,0,'Données projet'!$E$12+1,1))</f>
        <v>228.06050741667258</v>
      </c>
      <c r="CE33" s="62">
        <f t="shared" si="40"/>
        <v>191.94885821983536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0.22500000000000001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9.2309389817362391</v>
      </c>
      <c r="CM33" s="23">
        <f>EXP(-LN(2)/2)*CM32+(1-EXP(-LN(2)/2))/(LN(2)/2)*CG33*CJ33*VLOOKUP('Données projet'!$B$12,Paramètres!$A$1:$I$89,3,0)*0.475*44/12</f>
        <v>12.859578352224764</v>
      </c>
      <c r="CN33" s="24">
        <f t="shared" si="12"/>
        <v>22.090517333961003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205</v>
      </c>
      <c r="CR33" s="13">
        <f>VLOOKUP(A33,'Données projet'!$A$139:$I$159,9,0)</f>
        <v>16.399999999999999</v>
      </c>
      <c r="CS33" s="13">
        <f t="array" ref="CS33">INDEX(CR:CR,MIN(IF(ISNUMBER(CR33:CR229),ROW(CR33:CR229),"")))</f>
        <v>16.399999999999999</v>
      </c>
      <c r="CT33" s="13">
        <f>IF('Données projet'!$A$140&gt;35,CT32+CS33-DB32,IF(A33&lt;'Données projet'!$A$140,$CQ$205^A33,IF(A33='Données projet'!$A$140,'Données projet'!$B$140,CT32+CS33-DB32)))</f>
        <v>205.00000000000009</v>
      </c>
      <c r="CU33" s="18">
        <f>CT33*VLOOKUP('Données projet'!$B$13,Paramètres!$A$1:$I$89,3,0)*VLOOKUP('Données projet'!$B$13,Paramètres!$A$1:$I$89,5,0)</f>
        <v>163.09800000000007</v>
      </c>
      <c r="CV33" s="14">
        <f t="shared" si="41"/>
        <v>41.540496136845178</v>
      </c>
      <c r="CW33" s="22">
        <f t="shared" si="13"/>
        <v>356.41204743833879</v>
      </c>
      <c r="CX33" s="62">
        <f t="shared" si="14"/>
        <v>649.7453807716721</v>
      </c>
      <c r="CY33" s="62">
        <f ca="1">AVERAGE(OFFSET($CX$3,0,0,'Données projet'!$E$13+1,1))-AVERAGE(OFFSET($H$3,0,0,'Données projet'!$E$13+1,1))</f>
        <v>343.37244130003143</v>
      </c>
      <c r="CZ33" s="62">
        <f t="shared" si="42"/>
        <v>318.38876834819763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212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211.99999999999994</v>
      </c>
      <c r="DP33" s="18">
        <f>DO33*VLOOKUP('Données projet'!$B$14,Paramètres!$A$1:$I$89,3,0)*VLOOKUP('Données projet'!$B$14,Paramètres!$A$1:$I$89,5,0)</f>
        <v>155.43839999999997</v>
      </c>
      <c r="DQ33" s="14">
        <f t="shared" si="43"/>
        <v>39.811908198208918</v>
      </c>
      <c r="DR33" s="22">
        <f t="shared" si="16"/>
        <v>340.06095344521378</v>
      </c>
      <c r="DS33" s="62">
        <f t="shared" si="17"/>
        <v>633.3942867785471</v>
      </c>
      <c r="DT33" s="62">
        <f ca="1">AVERAGE(OFFSET($DS$3,0,0,'Données projet'!$E$14+1,1))-AVERAGE(OFFSET($H$3,0,0,'Données projet'!$E$14+1,1))</f>
        <v>263.81634201637729</v>
      </c>
      <c r="DU33" s="62">
        <f t="shared" si="44"/>
        <v>302.03767435507262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70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26.833333333333332</v>
      </c>
      <c r="N34" s="14">
        <f>IF('Données projet'!$A$36&gt;35,N33+M34-V33,IF(A34&lt;'Données projet'!$A$36,$K$205^A34,IF(A34='Données projet'!$A$36,'Données projet'!$B$36,N33+M34-V33)))</f>
        <v>337.83333333333343</v>
      </c>
      <c r="O34" s="14">
        <f>N34*VLOOKUP('Données projet'!$B$9,Paramètres!$A$1:$I$89,3,0)*VLOOKUP('Données projet'!$B$9,Paramètres!$A$1:$I$89,5,0)</f>
        <v>188.8488333333334</v>
      </c>
      <c r="P34" s="14">
        <f t="shared" si="33"/>
        <v>47.285356298490633</v>
      </c>
      <c r="Q34" s="22">
        <f t="shared" si="2"/>
        <v>411.26704694209349</v>
      </c>
      <c r="R34" s="62">
        <f t="shared" si="0"/>
        <v>704.6003802754268</v>
      </c>
      <c r="S34" s="62">
        <f ca="1">AVERAGE(OFFSET($R$3,0,0,'Données projet'!$E$9+1,1))-AVERAGE(OFFSET($H$3,0,0,'Données projet'!$E$9+1,1))</f>
        <v>322.63846641467165</v>
      </c>
      <c r="T34" s="62">
        <f t="shared" si="34"/>
        <v>435.17386576419966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19.965268959371439</v>
      </c>
      <c r="AB34" s="23">
        <f>EXP(-LN(2)/2)*AB33+(1-EXP(-LN(2)/2))/(LN(2)/2)*V34*Y34*VLOOKUP('Données projet'!$B$9,Paramètres!$A$1:$I$89,3,0)*0.475*44/12</f>
        <v>2.0663784333795543</v>
      </c>
      <c r="AC34" s="24">
        <f t="shared" si="3"/>
        <v>22.031647392750994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12.833333333333334</v>
      </c>
      <c r="AI34" s="14">
        <f>IF('Données projet'!$A$62&gt;35,AI33+AH34-AQ33,IF(A34&lt;'Données projet'!$A$62,$AF$205^A34,IF(A34='Données projet'!$A$62,'Données projet'!$B$62,AI33+AH34-AQ33)))</f>
        <v>183.83333333333329</v>
      </c>
      <c r="AJ34" s="14">
        <f>AI34*VLOOKUP('Données projet'!$B$10,Paramètres!$A$1:$I$89,3,0)*VLOOKUP('Données projet'!$B$10,Paramètres!$A$1:$I$89,5,0)</f>
        <v>114.71199999999997</v>
      </c>
      <c r="AK34" s="14">
        <f t="shared" si="35"/>
        <v>30.438443898016164</v>
      </c>
      <c r="AL34" s="22">
        <f t="shared" si="4"/>
        <v>252.80368978904474</v>
      </c>
      <c r="AM34" s="62">
        <f t="shared" si="5"/>
        <v>546.13702312237808</v>
      </c>
      <c r="AN34" s="62">
        <f ca="1">AVERAGE(OFFSET($AM$3,0,0,'Données projet'!$E$10+1,1))-AVERAGE(OFFSET($H$3,0,0,'Données projet'!$E$10+1,1))</f>
        <v>175.05987582828078</v>
      </c>
      <c r="AO34" s="62">
        <f t="shared" si="36"/>
        <v>268.54782308462387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8.832371149946848</v>
      </c>
      <c r="AW34" s="23">
        <f>EXP(-LN(2)/2)*AW33+(1-EXP(-LN(2)/2))/(LN(2)/2)*AQ34*AT34*VLOOKUP('Données projet'!$B$10,Paramètres!$A$1:$I$89,3,0)*0.475*44/12</f>
        <v>8.9441670885002669</v>
      </c>
      <c r="AX34" s="23">
        <f t="shared" si="6"/>
        <v>17.776538238447117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14.690384615384611</v>
      </c>
      <c r="BD34" s="13">
        <f>IF('Données projet'!$A$88&gt;35,BD33+BC34-BL33,IF(A34&lt;'Données projet'!$A$88,$BA$205^A34,IF(A34='Données projet'!$A$88,'Données projet'!$B$88,BD33+BC34-BL33)))</f>
        <v>173.42884615384614</v>
      </c>
      <c r="BE34" s="14">
        <f>BD34*VLOOKUP('Données projet'!$B$11,Paramètres!$A$1:$I$89,3,0)*VLOOKUP('Données projet'!$B$11,Paramètres!$A$1:$I$89,5,0)</f>
        <v>81.164699999999996</v>
      </c>
      <c r="BF34" s="14">
        <f t="shared" si="37"/>
        <v>22.421719335385692</v>
      </c>
      <c r="BG34" s="22">
        <f t="shared" si="7"/>
        <v>180.41301367579672</v>
      </c>
      <c r="BH34" s="62">
        <f t="shared" si="8"/>
        <v>473.74634700913003</v>
      </c>
      <c r="BI34" s="62">
        <f ca="1">AVERAGE(OFFSET($BH$3,0,0,'Données projet'!$E$11+1,1))-AVERAGE(OFFSET($H$3,0,0,'Données projet'!$E$11+1,1))</f>
        <v>183.46485104601493</v>
      </c>
      <c r="BJ34" s="62">
        <f t="shared" si="38"/>
        <v>127.47790120677581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16.600000000000001</v>
      </c>
      <c r="BY34" s="13">
        <f>IF('Données projet'!$A$114&gt;35,BY33+BX34-CG33,IF(A34&lt;'Données projet'!$A$114,$BV$205^A34,IF(A34='Données projet'!$A$114,'Données projet'!$B$114,BY33+BX34-CG33)))</f>
        <v>162.60000000000002</v>
      </c>
      <c r="BZ34" s="14">
        <f>BY34*VLOOKUP('Données projet'!$B$12,Paramètres!$A$1:$I$89,3,0)*VLOOKUP('Données projet'!$B$12,Paramètres!$A$1:$I$89,5,0)</f>
        <v>93.007200000000012</v>
      </c>
      <c r="CA34" s="14">
        <f t="shared" si="39"/>
        <v>25.289096064617418</v>
      </c>
      <c r="CB34" s="22">
        <f t="shared" si="10"/>
        <v>206.03271564587533</v>
      </c>
      <c r="CC34" s="62">
        <f t="shared" si="11"/>
        <v>499.36604897920864</v>
      </c>
      <c r="CD34" s="62">
        <f ca="1">AVERAGE(OFFSET($CC$3,0,0,'Données projet'!$E$12+1,1))-AVERAGE(OFFSET($H$3,0,0,'Données projet'!$E$12+1,1))</f>
        <v>228.06050741667258</v>
      </c>
      <c r="CE34" s="62">
        <f t="shared" si="40"/>
        <v>191.94885821983536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8.9785184698466782</v>
      </c>
      <c r="CM34" s="23">
        <f>EXP(-LN(2)/2)*CM33+(1-EXP(-LN(2)/2))/(LN(2)/2)*CG34*CJ34*VLOOKUP('Données projet'!$B$12,Paramètres!$A$1:$I$89,3,0)*0.475*44/12</f>
        <v>9.0930950560578605</v>
      </c>
      <c r="CN34" s="24">
        <f t="shared" si="12"/>
        <v>18.071613525904539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15.2</v>
      </c>
      <c r="CT34" s="13">
        <f>IF('Données projet'!$A$140&gt;35,CT33+CS34-DB33,IF(A34&lt;'Données projet'!$A$140,$CQ$205^A34,IF(A34='Données projet'!$A$140,'Données projet'!$B$140,CT33+CS34-DB33)))</f>
        <v>220.20000000000007</v>
      </c>
      <c r="CU34" s="18">
        <f>CT34*VLOOKUP('Données projet'!$B$13,Paramètres!$A$1:$I$89,3,0)*VLOOKUP('Données projet'!$B$13,Paramètres!$A$1:$I$89,5,0)</f>
        <v>175.19112000000007</v>
      </c>
      <c r="CV34" s="14">
        <f t="shared" si="41"/>
        <v>44.250618651635968</v>
      </c>
      <c r="CW34" s="22">
        <f t="shared" si="13"/>
        <v>382.1943614849327</v>
      </c>
      <c r="CX34" s="62">
        <f t="shared" si="14"/>
        <v>675.52769481826601</v>
      </c>
      <c r="CY34" s="62">
        <f ca="1">AVERAGE(OFFSET($CX$3,0,0,'Données projet'!$E$13+1,1))-AVERAGE(OFFSET($H$3,0,0,'Données projet'!$E$13+1,1))</f>
        <v>343.37244130003143</v>
      </c>
      <c r="CZ34" s="62">
        <f t="shared" si="42"/>
        <v>318.38876834819763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12.8</v>
      </c>
      <c r="DO34" s="13">
        <f>IF('Données projet'!$A$166&gt;35,DO33+DN34-DW33,IF(A34&lt;'Données projet'!$A$166,$DL$205^A34,IF(A34='Données projet'!$A$166,'Données projet'!$B$166,DO33+DN34-DW33)))</f>
        <v>154.79999999999995</v>
      </c>
      <c r="DP34" s="18">
        <f>DO34*VLOOKUP('Données projet'!$B$14,Paramètres!$A$1:$I$89,3,0)*VLOOKUP('Données projet'!$B$14,Paramètres!$A$1:$I$89,5,0)</f>
        <v>113.49935999999995</v>
      </c>
      <c r="DQ34" s="14">
        <f t="shared" si="43"/>
        <v>30.153952354273027</v>
      </c>
      <c r="DR34" s="22">
        <f t="shared" si="16"/>
        <v>250.19618568369205</v>
      </c>
      <c r="DS34" s="62">
        <f t="shared" si="17"/>
        <v>543.52951901702534</v>
      </c>
      <c r="DT34" s="62">
        <f ca="1">AVERAGE(OFFSET($DS$3,0,0,'Données projet'!$E$14+1,1))-AVERAGE(OFFSET($H$3,0,0,'Données projet'!$E$14+1,1))</f>
        <v>263.81634201637729</v>
      </c>
      <c r="DU34" s="62">
        <f t="shared" si="44"/>
        <v>302.03767435507262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26.833333333333332</v>
      </c>
      <c r="N35" s="14">
        <f>IF('Données projet'!$A$36&gt;35,N34+M35-V34,IF(A35&lt;'Données projet'!$A$36,$K$205^A35,IF(A35='Données projet'!$A$36,'Données projet'!$B$36,N34+M35-V34)))</f>
        <v>364.66666666666674</v>
      </c>
      <c r="O35" s="14">
        <f>N35*VLOOKUP('Données projet'!$B$9,Paramètres!$A$1:$I$89,3,0)*VLOOKUP('Données projet'!$B$9,Paramètres!$A$1:$I$89,5,0)</f>
        <v>203.84866666666673</v>
      </c>
      <c r="P35" s="14">
        <f t="shared" si="33"/>
        <v>50.589047599756881</v>
      </c>
      <c r="Q35" s="22">
        <f t="shared" ref="Q35:Q66" si="53">(O35+P35)*0.475*44/12</f>
        <v>443.14568568068768</v>
      </c>
      <c r="R35" s="62">
        <f t="shared" si="0"/>
        <v>736.47901901402099</v>
      </c>
      <c r="S35" s="62">
        <f ca="1">AVERAGE(OFFSET($R$3,0,0,'Données projet'!$E$9+1,1))-AVERAGE(OFFSET($H$3,0,0,'Données projet'!$E$9+1,1))</f>
        <v>322.63846641467165</v>
      </c>
      <c r="T35" s="62">
        <f t="shared" si="34"/>
        <v>435.17386576419966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19.419317629749564</v>
      </c>
      <c r="AB35" s="23">
        <f>EXP(-LN(2)/2)*AB34+(1-EXP(-LN(2)/2))/(LN(2)/2)*V35*Y35*VLOOKUP('Données projet'!$B$9,Paramètres!$A$1:$I$89,3,0)*0.475*44/12</f>
        <v>1.4611502027403174</v>
      </c>
      <c r="AC35" s="24">
        <f t="shared" si="3"/>
        <v>20.880467832489881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12.833333333333334</v>
      </c>
      <c r="AI35" s="14">
        <f>IF('Données projet'!$A$62&gt;35,AI34+AH35-AQ34,IF(A35&lt;'Données projet'!$A$62,$AF$205^A35,IF(A35='Données projet'!$A$62,'Données projet'!$B$62,AI34+AH35-AQ34)))</f>
        <v>196.66666666666663</v>
      </c>
      <c r="AJ35" s="14">
        <f>AI35*VLOOKUP('Données projet'!$B$10,Paramètres!$A$1:$I$89,3,0)*VLOOKUP('Données projet'!$B$10,Paramètres!$A$1:$I$89,5,0)</f>
        <v>122.71999999999997</v>
      </c>
      <c r="AK35" s="14">
        <f t="shared" si="35"/>
        <v>32.308564708068729</v>
      </c>
      <c r="AL35" s="22">
        <f t="shared" si="4"/>
        <v>270.00808353321963</v>
      </c>
      <c r="AM35" s="62">
        <f t="shared" si="5"/>
        <v>563.34141686655289</v>
      </c>
      <c r="AN35" s="62">
        <f ca="1">AVERAGE(OFFSET($AM$3,0,0,'Données projet'!$E$10+1,1))-AVERAGE(OFFSET($H$3,0,0,'Données projet'!$E$10+1,1))</f>
        <v>175.05987582828078</v>
      </c>
      <c r="AO35" s="62">
        <f t="shared" si="36"/>
        <v>268.54782308462387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8.5908494963773396</v>
      </c>
      <c r="AW35" s="23">
        <f>EXP(-LN(2)/2)*AW34+(1-EXP(-LN(2)/2))/(LN(2)/2)*AQ35*AT35*VLOOKUP('Données projet'!$B$10,Paramètres!$A$1:$I$89,3,0)*0.475*44/12</f>
        <v>6.3244812003440787</v>
      </c>
      <c r="AX35" s="23">
        <f t="shared" si="6"/>
        <v>14.915330696721419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14.690384615384611</v>
      </c>
      <c r="BD35" s="13">
        <f>IF('Données projet'!$A$88&gt;35,BD34+BC35-BL34,IF(A35&lt;'Données projet'!$A$88,$BA$205^A35,IF(A35='Données projet'!$A$88,'Données projet'!$B$88,BD34+BC35-BL34)))</f>
        <v>188.11923076923074</v>
      </c>
      <c r="BE35" s="14">
        <f>BD35*VLOOKUP('Données projet'!$B$11,Paramètres!$A$1:$I$89,3,0)*VLOOKUP('Données projet'!$B$11,Paramètres!$A$1:$I$89,5,0)</f>
        <v>88.039799999999985</v>
      </c>
      <c r="BF35" s="14">
        <f t="shared" si="37"/>
        <v>24.091867781781861</v>
      </c>
      <c r="BG35" s="22">
        <f t="shared" si="7"/>
        <v>195.29598805327001</v>
      </c>
      <c r="BH35" s="62">
        <f t="shared" si="8"/>
        <v>488.62932138660335</v>
      </c>
      <c r="BI35" s="62">
        <f ca="1">AVERAGE(OFFSET($BH$3,0,0,'Données projet'!$E$11+1,1))-AVERAGE(OFFSET($H$3,0,0,'Données projet'!$E$11+1,1))</f>
        <v>183.46485104601493</v>
      </c>
      <c r="BJ35" s="62">
        <f t="shared" si="38"/>
        <v>127.47790120677581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16.600000000000001</v>
      </c>
      <c r="BY35" s="13">
        <f>IF('Données projet'!$A$114&gt;35,BY34+BX35-CG34,IF(A35&lt;'Données projet'!$A$114,$BV$205^A35,IF(A35='Données projet'!$A$114,'Données projet'!$B$114,BY34+BX35-CG34)))</f>
        <v>179.20000000000002</v>
      </c>
      <c r="BZ35" s="14">
        <f>BY35*VLOOKUP('Données projet'!$B$12,Paramètres!$A$1:$I$89,3,0)*VLOOKUP('Données projet'!$B$12,Paramètres!$A$1:$I$89,5,0)</f>
        <v>102.50240000000002</v>
      </c>
      <c r="CA35" s="14">
        <f t="shared" si="39"/>
        <v>27.557299572196182</v>
      </c>
      <c r="CB35" s="22">
        <f t="shared" si="10"/>
        <v>226.52064342157504</v>
      </c>
      <c r="CC35" s="62">
        <f t="shared" si="11"/>
        <v>519.85397675490833</v>
      </c>
      <c r="CD35" s="62">
        <f ca="1">AVERAGE(OFFSET($CC$3,0,0,'Données projet'!$E$12+1,1))-AVERAGE(OFFSET($H$3,0,0,'Données projet'!$E$12+1,1))</f>
        <v>228.06050741667258</v>
      </c>
      <c r="CE35" s="62">
        <f t="shared" si="40"/>
        <v>191.94885821983536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8.7330004101289553</v>
      </c>
      <c r="CM35" s="23">
        <f>EXP(-LN(2)/2)*CM34+(1-EXP(-LN(2)/2))/(LN(2)/2)*CG35*CJ35*VLOOKUP('Données projet'!$B$12,Paramètres!$A$1:$I$89,3,0)*0.475*44/12</f>
        <v>6.4297891761123829</v>
      </c>
      <c r="CN35" s="24">
        <f t="shared" si="12"/>
        <v>15.162789586241338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15.2</v>
      </c>
      <c r="CT35" s="13">
        <f>IF('Données projet'!$A$140&gt;35,CT34+CS35-DB34,IF(A35&lt;'Données projet'!$A$140,$CQ$205^A35,IF(A35='Données projet'!$A$140,'Données projet'!$B$140,CT34+CS35-DB34)))</f>
        <v>235.40000000000006</v>
      </c>
      <c r="CU35" s="18">
        <f>CT35*VLOOKUP('Données projet'!$B$13,Paramètres!$A$1:$I$89,3,0)*VLOOKUP('Données projet'!$B$13,Paramètres!$A$1:$I$89,5,0)</f>
        <v>187.28424000000007</v>
      </c>
      <c r="CV35" s="14">
        <f t="shared" si="41"/>
        <v>46.939034723010714</v>
      </c>
      <c r="CW35" s="22">
        <f t="shared" si="13"/>
        <v>407.93887014257706</v>
      </c>
      <c r="CX35" s="62">
        <f t="shared" si="14"/>
        <v>701.27220347591037</v>
      </c>
      <c r="CY35" s="62">
        <f ca="1">AVERAGE(OFFSET($CX$3,0,0,'Données projet'!$E$13+1,1))-AVERAGE(OFFSET($H$3,0,0,'Données projet'!$E$13+1,1))</f>
        <v>343.37244130003143</v>
      </c>
      <c r="CZ35" s="62">
        <f t="shared" si="42"/>
        <v>318.38876834819763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12.8</v>
      </c>
      <c r="DO35" s="13">
        <f>IF('Données projet'!$A$166&gt;35,DO34+DN35-DW34,IF(A35&lt;'Données projet'!$A$166,$DL$205^A35,IF(A35='Données projet'!$A$166,'Données projet'!$B$166,DO34+DN35-DW34)))</f>
        <v>167.59999999999997</v>
      </c>
      <c r="DP35" s="18">
        <f>DO35*VLOOKUP('Données projet'!$B$14,Paramètres!$A$1:$I$89,3,0)*VLOOKUP('Données projet'!$B$14,Paramètres!$A$1:$I$89,5,0)</f>
        <v>122.88431999999997</v>
      </c>
      <c r="DQ35" s="14">
        <f t="shared" si="43"/>
        <v>32.346786815026803</v>
      </c>
      <c r="DR35" s="22">
        <f t="shared" si="16"/>
        <v>270.36084436950495</v>
      </c>
      <c r="DS35" s="62">
        <f t="shared" si="17"/>
        <v>563.69417770283826</v>
      </c>
      <c r="DT35" s="62">
        <f ca="1">AVERAGE(OFFSET($DS$3,0,0,'Données projet'!$E$14+1,1))-AVERAGE(OFFSET($H$3,0,0,'Données projet'!$E$14+1,1))</f>
        <v>263.81634201637729</v>
      </c>
      <c r="DU35" s="62">
        <f t="shared" si="44"/>
        <v>302.03767435507262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26.833333333333332</v>
      </c>
      <c r="N36" s="14">
        <f>IF('Données projet'!$A$36&gt;35,N35+M36-V35,IF(A36&lt;'Données projet'!$A$36,$K$205^A36,IF(A36='Données projet'!$A$36,'Données projet'!$B$36,N35+M36-V35)))</f>
        <v>391.50000000000006</v>
      </c>
      <c r="O36" s="14">
        <f>N36*VLOOKUP('Données projet'!$B$9,Paramètres!$A$1:$I$89,3,0)*VLOOKUP('Données projet'!$B$9,Paramètres!$A$1:$I$89,5,0)</f>
        <v>218.84850000000003</v>
      </c>
      <c r="P36" s="14">
        <f t="shared" si="33"/>
        <v>53.864536496889208</v>
      </c>
      <c r="Q36" s="22">
        <f t="shared" si="53"/>
        <v>474.97520523208203</v>
      </c>
      <c r="R36" s="62">
        <f t="shared" si="0"/>
        <v>768.30853856541535</v>
      </c>
      <c r="S36" s="62">
        <f ca="1">AVERAGE(OFFSET($R$3,0,0,'Données projet'!$E$9+1,1))-AVERAGE(OFFSET($H$3,0,0,'Données projet'!$E$9+1,1))</f>
        <v>322.63846641467165</v>
      </c>
      <c r="T36" s="62">
        <f t="shared" si="34"/>
        <v>435.17386576419966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18.888295367946533</v>
      </c>
      <c r="AB36" s="23">
        <f>EXP(-LN(2)/2)*AB35+(1-EXP(-LN(2)/2))/(LN(2)/2)*V36*Y36*VLOOKUP('Données projet'!$B$9,Paramètres!$A$1:$I$89,3,0)*0.475*44/12</f>
        <v>1.0331892166897771</v>
      </c>
      <c r="AC36" s="24">
        <f t="shared" si="3"/>
        <v>19.92148458463631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12.833333333333334</v>
      </c>
      <c r="AI36" s="14">
        <f>IF('Données projet'!$A$62&gt;35,AI35+AH36-AQ35,IF(A36&lt;'Données projet'!$A$62,$AF$205^A36,IF(A36='Données projet'!$A$62,'Données projet'!$B$62,AI35+AH36-AQ35)))</f>
        <v>209.49999999999997</v>
      </c>
      <c r="AJ36" s="14">
        <f>AI36*VLOOKUP('Données projet'!$B$10,Paramètres!$A$1:$I$89,3,0)*VLOOKUP('Données projet'!$B$10,Paramètres!$A$1:$I$89,5,0)</f>
        <v>130.72799999999998</v>
      </c>
      <c r="AK36" s="14">
        <f t="shared" si="35"/>
        <v>34.164524045585857</v>
      </c>
      <c r="AL36" s="22">
        <f t="shared" si="4"/>
        <v>287.18781271272866</v>
      </c>
      <c r="AM36" s="62">
        <f t="shared" si="5"/>
        <v>580.52114604606197</v>
      </c>
      <c r="AN36" s="62">
        <f ca="1">AVERAGE(OFFSET($AM$3,0,0,'Données projet'!$E$10+1,1))-AVERAGE(OFFSET($H$3,0,0,'Données projet'!$E$10+1,1))</f>
        <v>175.05987582828078</v>
      </c>
      <c r="AO36" s="62">
        <f t="shared" si="36"/>
        <v>268.54782308462387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8.3559322651257606</v>
      </c>
      <c r="AW36" s="23">
        <f>EXP(-LN(2)/2)*AW35+(1-EXP(-LN(2)/2))/(LN(2)/2)*AQ36*AT36*VLOOKUP('Données projet'!$B$10,Paramètres!$A$1:$I$89,3,0)*0.475*44/12</f>
        <v>4.4720835442501343</v>
      </c>
      <c r="AX36" s="23">
        <f t="shared" si="6"/>
        <v>12.828015809375895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14.690384615384611</v>
      </c>
      <c r="BD36" s="13">
        <f>IF('Données projet'!$A$88&gt;35,BD35+BC36-BL35,IF(A36&lt;'Données projet'!$A$88,$BA$205^A36,IF(A36='Données projet'!$A$88,'Données projet'!$B$88,BD35+BC36-BL35)))</f>
        <v>202.80961538461534</v>
      </c>
      <c r="BE36" s="14">
        <f>BD36*VLOOKUP('Données projet'!$B$11,Paramètres!$A$1:$I$89,3,0)*VLOOKUP('Données projet'!$B$11,Paramètres!$A$1:$I$89,5,0)</f>
        <v>94.914899999999975</v>
      </c>
      <c r="BF36" s="14">
        <f t="shared" si="37"/>
        <v>25.74688752812763</v>
      </c>
      <c r="BG36" s="22">
        <f t="shared" si="7"/>
        <v>210.1526132781556</v>
      </c>
      <c r="BH36" s="62">
        <f t="shared" si="8"/>
        <v>503.48594661148888</v>
      </c>
      <c r="BI36" s="62">
        <f ca="1">AVERAGE(OFFSET($BH$3,0,0,'Données projet'!$E$11+1,1))-AVERAGE(OFFSET($H$3,0,0,'Données projet'!$E$11+1,1))</f>
        <v>183.46485104601493</v>
      </c>
      <c r="BJ36" s="62">
        <f t="shared" si="38"/>
        <v>127.47790120677581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16.600000000000001</v>
      </c>
      <c r="BY36" s="13">
        <f>IF('Données projet'!$A$114&gt;35,BY35+BX36-CG35,IF(A36&lt;'Données projet'!$A$114,$BV$205^A36,IF(A36='Données projet'!$A$114,'Données projet'!$B$114,BY35+BX36-CG35)))</f>
        <v>195.8</v>
      </c>
      <c r="BZ36" s="14">
        <f>BY36*VLOOKUP('Données projet'!$B$12,Paramètres!$A$1:$I$89,3,0)*VLOOKUP('Données projet'!$B$12,Paramètres!$A$1:$I$89,5,0)</f>
        <v>111.99760000000001</v>
      </c>
      <c r="CA36" s="14">
        <f t="shared" si="39"/>
        <v>29.801140607184838</v>
      </c>
      <c r="CB36" s="22">
        <f t="shared" si="10"/>
        <v>246.96613989084696</v>
      </c>
      <c r="CC36" s="62">
        <f t="shared" si="11"/>
        <v>540.29947322418025</v>
      </c>
      <c r="CD36" s="62">
        <f ca="1">AVERAGE(OFFSET($CC$3,0,0,'Données projet'!$E$12+1,1))-AVERAGE(OFFSET($H$3,0,0,'Données projet'!$E$12+1,1))</f>
        <v>228.06050741667258</v>
      </c>
      <c r="CE36" s="62">
        <f t="shared" si="40"/>
        <v>191.94885821983536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8.4941960546654478</v>
      </c>
      <c r="CM36" s="23">
        <f>EXP(-LN(2)/2)*CM35+(1-EXP(-LN(2)/2))/(LN(2)/2)*CG36*CJ36*VLOOKUP('Données projet'!$B$12,Paramètres!$A$1:$I$89,3,0)*0.475*44/12</f>
        <v>4.5465475280289311</v>
      </c>
      <c r="CN36" s="24">
        <f t="shared" si="12"/>
        <v>13.040743582694379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15.2</v>
      </c>
      <c r="CT36" s="13">
        <f>IF('Données projet'!$A$140&gt;35,CT35+CS36-DB35,IF(A36&lt;'Données projet'!$A$140,$CQ$205^A36,IF(A36='Données projet'!$A$140,'Données projet'!$B$140,CT35+CS36-DB35)))</f>
        <v>250.60000000000005</v>
      </c>
      <c r="CU36" s="18">
        <f>CT36*VLOOKUP('Données projet'!$B$13,Paramètres!$A$1:$I$89,3,0)*VLOOKUP('Données projet'!$B$13,Paramètres!$A$1:$I$89,5,0)</f>
        <v>199.37736000000004</v>
      </c>
      <c r="CV36" s="14">
        <f t="shared" si="41"/>
        <v>49.607305476717805</v>
      </c>
      <c r="CW36" s="22">
        <f t="shared" si="13"/>
        <v>433.64829237195022</v>
      </c>
      <c r="CX36" s="62">
        <f t="shared" si="14"/>
        <v>726.98162570528348</v>
      </c>
      <c r="CY36" s="62">
        <f ca="1">AVERAGE(OFFSET($CX$3,0,0,'Données projet'!$E$13+1,1))-AVERAGE(OFFSET($H$3,0,0,'Données projet'!$E$13+1,1))</f>
        <v>343.37244130003143</v>
      </c>
      <c r="CZ36" s="62">
        <f t="shared" si="42"/>
        <v>318.38876834819763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12.8</v>
      </c>
      <c r="DO36" s="13">
        <f>IF('Données projet'!$A$166&gt;35,DO35+DN36-DW35,IF(A36&lt;'Données projet'!$A$166,$DL$205^A36,IF(A36='Données projet'!$A$166,'Données projet'!$B$166,DO35+DN36-DW35)))</f>
        <v>180.39999999999998</v>
      </c>
      <c r="DP36" s="18">
        <f>DO36*VLOOKUP('Données projet'!$B$14,Paramètres!$A$1:$I$89,3,0)*VLOOKUP('Données projet'!$B$14,Paramètres!$A$1:$I$89,5,0)</f>
        <v>132.26927999999998</v>
      </c>
      <c r="DQ36" s="14">
        <f t="shared" si="43"/>
        <v>34.52019401964877</v>
      </c>
      <c r="DR36" s="22">
        <f t="shared" si="16"/>
        <v>290.49166725088827</v>
      </c>
      <c r="DS36" s="62">
        <f t="shared" si="17"/>
        <v>583.82500058422158</v>
      </c>
      <c r="DT36" s="62">
        <f ca="1">AVERAGE(OFFSET($DS$3,0,0,'Données projet'!$E$14+1,1))-AVERAGE(OFFSET($H$3,0,0,'Données projet'!$E$14+1,1))</f>
        <v>263.81634201637729</v>
      </c>
      <c r="DU36" s="62">
        <f t="shared" si="44"/>
        <v>302.03767435507262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26.833333333333332</v>
      </c>
      <c r="N37" s="14">
        <f>IF('Données projet'!$A$36&gt;35,N36+M37-V36,IF(A37&lt;'Données projet'!$A$36,$K$205^A37,IF(A37='Données projet'!$A$36,'Données projet'!$B$36,N36+M37-V36)))</f>
        <v>418.33333333333337</v>
      </c>
      <c r="O37" s="14">
        <f>N37*VLOOKUP('Données projet'!$B$9,Paramètres!$A$1:$I$89,3,0)*VLOOKUP('Données projet'!$B$9,Paramètres!$A$1:$I$89,5,0)</f>
        <v>233.84833333333336</v>
      </c>
      <c r="P37" s="14">
        <f t="shared" si="33"/>
        <v>57.113975877934628</v>
      </c>
      <c r="Q37" s="22">
        <f t="shared" si="53"/>
        <v>506.75935520962508</v>
      </c>
      <c r="R37" s="62">
        <f t="shared" si="0"/>
        <v>800.0926885429584</v>
      </c>
      <c r="S37" s="62">
        <f ca="1">AVERAGE(OFFSET($R$3,0,0,'Données projet'!$E$9+1,1))-AVERAGE(OFFSET($H$3,0,0,'Données projet'!$E$9+1,1))</f>
        <v>322.63846641467165</v>
      </c>
      <c r="T37" s="62">
        <f t="shared" si="34"/>
        <v>435.17386576419966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18.371793937817753</v>
      </c>
      <c r="AB37" s="23">
        <f>EXP(-LN(2)/2)*AB36+(1-EXP(-LN(2)/2))/(LN(2)/2)*V37*Y37*VLOOKUP('Données projet'!$B$9,Paramètres!$A$1:$I$89,3,0)*0.475*44/12</f>
        <v>0.73057510137015869</v>
      </c>
      <c r="AC37" s="24">
        <f t="shared" si="3"/>
        <v>19.102369039187913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12.833333333333334</v>
      </c>
      <c r="AI37" s="14">
        <f>IF('Données projet'!$A$62&gt;35,AI36+AH37-AQ36,IF(A37&lt;'Données projet'!$A$62,$AF$205^A37,IF(A37='Données projet'!$A$62,'Données projet'!$B$62,AI36+AH37-AQ36)))</f>
        <v>222.33333333333331</v>
      </c>
      <c r="AJ37" s="14">
        <f>AI37*VLOOKUP('Données projet'!$B$10,Paramètres!$A$1:$I$89,3,0)*VLOOKUP('Données projet'!$B$10,Paramètres!$A$1:$I$89,5,0)</f>
        <v>138.73599999999999</v>
      </c>
      <c r="AK37" s="14">
        <f t="shared" si="35"/>
        <v>36.007288175538044</v>
      </c>
      <c r="AL37" s="22">
        <f t="shared" si="4"/>
        <v>304.34456023906205</v>
      </c>
      <c r="AM37" s="62">
        <f t="shared" si="5"/>
        <v>597.67789357239531</v>
      </c>
      <c r="AN37" s="62">
        <f ca="1">AVERAGE(OFFSET($AM$3,0,0,'Données projet'!$E$10+1,1))-AVERAGE(OFFSET($H$3,0,0,'Données projet'!$E$10+1,1))</f>
        <v>175.05987582828078</v>
      </c>
      <c r="AO37" s="62">
        <f t="shared" si="36"/>
        <v>268.54782308462387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8.1274388579165162</v>
      </c>
      <c r="AW37" s="23">
        <f>EXP(-LN(2)/2)*AW36+(1-EXP(-LN(2)/2))/(LN(2)/2)*AQ37*AT37*VLOOKUP('Données projet'!$B$10,Paramètres!$A$1:$I$89,3,0)*0.475*44/12</f>
        <v>3.1622406001720398</v>
      </c>
      <c r="AX37" s="23">
        <f t="shared" si="6"/>
        <v>11.289679458088557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14.690384615384611</v>
      </c>
      <c r="BD37" s="13">
        <f>IF('Données projet'!$A$88&gt;35,BD36+BC37-BL36,IF(A37&lt;'Données projet'!$A$88,$BA$205^A37,IF(A37='Données projet'!$A$88,'Données projet'!$B$88,BD36+BC37-BL36)))</f>
        <v>217.49999999999994</v>
      </c>
      <c r="BE37" s="14">
        <f>BD37*VLOOKUP('Données projet'!$B$11,Paramètres!$A$1:$I$89,3,0)*VLOOKUP('Données projet'!$B$11,Paramètres!$A$1:$I$89,5,0)</f>
        <v>101.78999999999998</v>
      </c>
      <c r="BF37" s="14">
        <f t="shared" si="37"/>
        <v>27.38799903683508</v>
      </c>
      <c r="BG37" s="22">
        <f t="shared" si="7"/>
        <v>224.98501498915437</v>
      </c>
      <c r="BH37" s="62">
        <f t="shared" si="8"/>
        <v>518.31834832248774</v>
      </c>
      <c r="BI37" s="62">
        <f ca="1">AVERAGE(OFFSET($BH$3,0,0,'Données projet'!$E$11+1,1))-AVERAGE(OFFSET($H$3,0,0,'Données projet'!$E$11+1,1))</f>
        <v>183.46485104601493</v>
      </c>
      <c r="BJ37" s="62">
        <f t="shared" si="38"/>
        <v>127.47790120677581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16.600000000000001</v>
      </c>
      <c r="BY37" s="13">
        <f>IF('Données projet'!$A$114&gt;35,BY36+BX37-CG36,IF(A37&lt;'Données projet'!$A$114,$BV$205^A37,IF(A37='Données projet'!$A$114,'Données projet'!$B$114,BY36+BX37-CG36)))</f>
        <v>212.4</v>
      </c>
      <c r="BZ37" s="14">
        <f>BY37*VLOOKUP('Données projet'!$B$12,Paramètres!$A$1:$I$89,3,0)*VLOOKUP('Données projet'!$B$12,Paramètres!$A$1:$I$89,5,0)</f>
        <v>121.4928</v>
      </c>
      <c r="CA37" s="14">
        <f t="shared" si="39"/>
        <v>32.02291946024841</v>
      </c>
      <c r="CB37" s="22">
        <f t="shared" si="10"/>
        <v>267.37321139326599</v>
      </c>
      <c r="CC37" s="62">
        <f t="shared" si="11"/>
        <v>560.7065447265993</v>
      </c>
      <c r="CD37" s="62">
        <f ca="1">AVERAGE(OFFSET($CC$3,0,0,'Données projet'!$E$12+1,1))-AVERAGE(OFFSET($H$3,0,0,'Données projet'!$E$12+1,1))</f>
        <v>228.06050741667258</v>
      </c>
      <c r="CE37" s="62">
        <f t="shared" si="40"/>
        <v>191.94885821983536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8.2619218168602639</v>
      </c>
      <c r="CM37" s="23">
        <f>EXP(-LN(2)/2)*CM36+(1-EXP(-LN(2)/2))/(LN(2)/2)*CG37*CJ37*VLOOKUP('Données projet'!$B$12,Paramètres!$A$1:$I$89,3,0)*0.475*44/12</f>
        <v>3.2148945880561923</v>
      </c>
      <c r="CN37" s="24">
        <f t="shared" si="12"/>
        <v>11.476816404916455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15.2</v>
      </c>
      <c r="CT37" s="13">
        <f>IF('Données projet'!$A$140&gt;35,CT36+CS37-DB36,IF(A37&lt;'Données projet'!$A$140,$CQ$205^A37,IF(A37='Données projet'!$A$140,'Données projet'!$B$140,CT36+CS37-DB36)))</f>
        <v>265.80000000000007</v>
      </c>
      <c r="CU37" s="18">
        <f>CT37*VLOOKUP('Données projet'!$B$13,Paramètres!$A$1:$I$89,3,0)*VLOOKUP('Données projet'!$B$13,Paramètres!$A$1:$I$89,5,0)</f>
        <v>211.47048000000009</v>
      </c>
      <c r="CV37" s="14">
        <f t="shared" si="41"/>
        <v>52.256791959630839</v>
      </c>
      <c r="CW37" s="22">
        <f t="shared" si="13"/>
        <v>459.32499866302379</v>
      </c>
      <c r="CX37" s="62">
        <f t="shared" si="14"/>
        <v>752.65833199635711</v>
      </c>
      <c r="CY37" s="62">
        <f ca="1">AVERAGE(OFFSET($CX$3,0,0,'Données projet'!$E$13+1,1))-AVERAGE(OFFSET($H$3,0,0,'Données projet'!$E$13+1,1))</f>
        <v>343.37244130003143</v>
      </c>
      <c r="CZ37" s="62">
        <f t="shared" si="42"/>
        <v>318.38876834819763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12.8</v>
      </c>
      <c r="DO37" s="13">
        <f>IF('Données projet'!$A$166&gt;35,DO36+DN37-DW36,IF(A37&lt;'Données projet'!$A$166,$DL$205^A37,IF(A37='Données projet'!$A$166,'Données projet'!$B$166,DO36+DN37-DW36)))</f>
        <v>193.2</v>
      </c>
      <c r="DP37" s="18">
        <f>DO37*VLOOKUP('Données projet'!$B$14,Paramètres!$A$1:$I$89,3,0)*VLOOKUP('Données projet'!$B$14,Paramètres!$A$1:$I$89,5,0)</f>
        <v>141.65423999999999</v>
      </c>
      <c r="DQ37" s="14">
        <f t="shared" si="43"/>
        <v>36.675709178601963</v>
      </c>
      <c r="DR37" s="22">
        <f t="shared" si="16"/>
        <v>310.59132815273171</v>
      </c>
      <c r="DS37" s="62">
        <f t="shared" si="17"/>
        <v>603.92466148606502</v>
      </c>
      <c r="DT37" s="62">
        <f ca="1">AVERAGE(OFFSET($DS$3,0,0,'Données projet'!$E$14+1,1))-AVERAGE(OFFSET($H$3,0,0,'Données projet'!$E$14+1,1))</f>
        <v>263.81634201637729</v>
      </c>
      <c r="DU37" s="62">
        <f t="shared" si="44"/>
        <v>302.03767435507262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26.833333333333332</v>
      </c>
      <c r="N38" s="14">
        <f>IF('Données projet'!$A$36&gt;35,N37+M38-V37,IF(A38&lt;'Données projet'!$A$36,$K$205^A38,IF(A38='Données projet'!$A$36,'Données projet'!$B$36,N37+M38-V37)))</f>
        <v>445.16666666666669</v>
      </c>
      <c r="O38" s="14">
        <f>N38*VLOOKUP('Données projet'!$B$9,Paramètres!$A$1:$I$89,3,0)*VLOOKUP('Données projet'!$B$9,Paramètres!$A$1:$I$89,5,0)</f>
        <v>248.84816666666669</v>
      </c>
      <c r="P38" s="14">
        <f t="shared" si="33"/>
        <v>60.339226828369291</v>
      </c>
      <c r="Q38" s="22">
        <f t="shared" si="53"/>
        <v>538.50137700385426</v>
      </c>
      <c r="R38" s="62">
        <f t="shared" si="0"/>
        <v>831.83471033718752</v>
      </c>
      <c r="S38" s="62">
        <f ca="1">AVERAGE(OFFSET($R$3,0,0,'Données projet'!$E$9+1,1))-AVERAGE(OFFSET($H$3,0,0,'Données projet'!$E$9+1,1))</f>
        <v>322.63846641467165</v>
      </c>
      <c r="T38" s="62">
        <f t="shared" si="34"/>
        <v>435.17386576419966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17.86941626645747</v>
      </c>
      <c r="AB38" s="23">
        <f>EXP(-LN(2)/2)*AB37+(1-EXP(-LN(2)/2))/(LN(2)/2)*V38*Y38*VLOOKUP('Données projet'!$B$9,Paramètres!$A$1:$I$89,3,0)*0.475*44/12</f>
        <v>0.51659460834488857</v>
      </c>
      <c r="AC38" s="24">
        <f t="shared" si="3"/>
        <v>18.386010874802359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12.833333333333334</v>
      </c>
      <c r="AI38" s="14">
        <f>IF('Données projet'!$A$62&gt;35,AI37+AH38-AQ37,IF(A38&lt;'Données projet'!$A$62,$AF$205^A38,IF(A38='Données projet'!$A$62,'Données projet'!$B$62,AI37+AH38-AQ37)))</f>
        <v>235.16666666666666</v>
      </c>
      <c r="AJ38" s="14">
        <f>AI38*VLOOKUP('Données projet'!$B$10,Paramètres!$A$1:$I$89,3,0)*VLOOKUP('Données projet'!$B$10,Paramètres!$A$1:$I$89,5,0)</f>
        <v>146.744</v>
      </c>
      <c r="AK38" s="14">
        <f t="shared" si="35"/>
        <v>37.837705514258651</v>
      </c>
      <c r="AL38" s="22">
        <f t="shared" si="4"/>
        <v>321.47980377066716</v>
      </c>
      <c r="AM38" s="62">
        <f t="shared" si="5"/>
        <v>614.81313710400048</v>
      </c>
      <c r="AN38" s="62">
        <f ca="1">AVERAGE(OFFSET($AM$3,0,0,'Données projet'!$E$10+1,1))-AVERAGE(OFFSET($H$3,0,0,'Données projet'!$E$10+1,1))</f>
        <v>175.05987582828078</v>
      </c>
      <c r="AO38" s="62">
        <f t="shared" si="36"/>
        <v>268.54782308462387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7.9051936149433555</v>
      </c>
      <c r="AW38" s="23">
        <f>EXP(-LN(2)/2)*AW37+(1-EXP(-LN(2)/2))/(LN(2)/2)*AQ38*AT38*VLOOKUP('Données projet'!$B$10,Paramètres!$A$1:$I$89,3,0)*0.475*44/12</f>
        <v>2.2360417721250676</v>
      </c>
      <c r="AX38" s="23">
        <f t="shared" si="6"/>
        <v>10.141235387068424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14.690384615384611</v>
      </c>
      <c r="BD38" s="13">
        <f>IF('Données projet'!$A$88&gt;35,BD37+BC38-BL37,IF(A38&lt;'Données projet'!$A$88,$BA$205^A38,IF(A38='Données projet'!$A$88,'Données projet'!$B$88,BD37+BC38-BL37)))</f>
        <v>232.19038461538454</v>
      </c>
      <c r="BE38" s="14">
        <f>BD38*VLOOKUP('Données projet'!$B$11,Paramètres!$A$1:$I$89,3,0)*VLOOKUP('Données projet'!$B$11,Paramètres!$A$1:$I$89,5,0)</f>
        <v>108.66509999999997</v>
      </c>
      <c r="BF38" s="14">
        <f t="shared" si="37"/>
        <v>29.016248575845495</v>
      </c>
      <c r="BG38" s="22">
        <f t="shared" si="7"/>
        <v>239.79501543626409</v>
      </c>
      <c r="BH38" s="62">
        <f t="shared" si="8"/>
        <v>533.12834876959744</v>
      </c>
      <c r="BI38" s="62">
        <f ca="1">AVERAGE(OFFSET($BH$3,0,0,'Données projet'!$E$11+1,1))-AVERAGE(OFFSET($H$3,0,0,'Données projet'!$E$11+1,1))</f>
        <v>183.46485104601493</v>
      </c>
      <c r="BJ38" s="62">
        <f t="shared" si="38"/>
        <v>127.47790120677581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229</v>
      </c>
      <c r="BW38" s="13">
        <f>VLOOKUP(A38,'Données projet'!$A$113:$I$133,9,0)</f>
        <v>16.600000000000001</v>
      </c>
      <c r="BX38" s="13">
        <f t="array" ref="BX38">INDEX(BW:BW,MIN(IF(ISNUMBER(BW38:BW234),ROW(BW38:BW234),"")))</f>
        <v>16.600000000000001</v>
      </c>
      <c r="BY38" s="13">
        <f>IF('Données projet'!$A$114&gt;35,BY37+BX38-CG37,IF(A38&lt;'Données projet'!$A$114,$BV$205^A38,IF(A38='Données projet'!$A$114,'Données projet'!$B$114,BY37+BX38-CG37)))</f>
        <v>229</v>
      </c>
      <c r="BZ38" s="14">
        <f>BY38*VLOOKUP('Données projet'!$B$12,Paramètres!$A$1:$I$89,3,0)*VLOOKUP('Données projet'!$B$12,Paramètres!$A$1:$I$89,5,0)</f>
        <v>130.988</v>
      </c>
      <c r="CA38" s="14">
        <f t="shared" si="39"/>
        <v>34.224556427728572</v>
      </c>
      <c r="CB38" s="22">
        <f t="shared" si="10"/>
        <v>287.74520244496057</v>
      </c>
      <c r="CC38" s="62">
        <f t="shared" si="11"/>
        <v>581.07853577829383</v>
      </c>
      <c r="CD38" s="62">
        <f ca="1">AVERAGE(OFFSET($CC$3,0,0,'Données projet'!$E$12+1,1))-AVERAGE(OFFSET($H$3,0,0,'Données projet'!$E$12+1,1))</f>
        <v>228.06050741667258</v>
      </c>
      <c r="CE38" s="62">
        <f t="shared" si="40"/>
        <v>191.94885821983536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49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8.0359991303026348</v>
      </c>
      <c r="CM38" s="23">
        <f>EXP(-LN(2)/2)*CM37+(1-EXP(-LN(2)/2))/(LN(2)/2)*CG38*CJ38*VLOOKUP('Données projet'!$B$12,Paramètres!$A$1:$I$89,3,0)*0.475*44/12</f>
        <v>2.273273764014466</v>
      </c>
      <c r="CN38" s="24">
        <f t="shared" si="12"/>
        <v>10.3092728943171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281</v>
      </c>
      <c r="CR38" s="13">
        <f>VLOOKUP(A38,'Données projet'!$A$139:$I$159,9,0)</f>
        <v>15.2</v>
      </c>
      <c r="CS38" s="13">
        <f t="array" ref="CS38">INDEX(CR:CR,MIN(IF(ISNUMBER(CR38:CR234),ROW(CR38:CR234),"")))</f>
        <v>15.2</v>
      </c>
      <c r="CT38" s="13">
        <f>IF('Données projet'!$A$140&gt;35,CT37+CS38-DB37,IF(A38&lt;'Données projet'!$A$140,$CQ$205^A38,IF(A38='Données projet'!$A$140,'Données projet'!$B$140,CT37+CS38-DB37)))</f>
        <v>281.00000000000006</v>
      </c>
      <c r="CU38" s="18">
        <f>CT38*VLOOKUP('Données projet'!$B$13,Paramètres!$A$1:$I$89,3,0)*VLOOKUP('Données projet'!$B$13,Paramètres!$A$1:$I$89,5,0)</f>
        <v>223.56360000000006</v>
      </c>
      <c r="CV38" s="14">
        <f t="shared" si="41"/>
        <v>54.888690760904986</v>
      </c>
      <c r="CW38" s="22">
        <f t="shared" si="13"/>
        <v>484.97107307524294</v>
      </c>
      <c r="CX38" s="62">
        <f t="shared" si="14"/>
        <v>778.30440640857626</v>
      </c>
      <c r="CY38" s="62">
        <f ca="1">AVERAGE(OFFSET($CX$3,0,0,'Données projet'!$E$13+1,1))-AVERAGE(OFFSET($H$3,0,0,'Données projet'!$E$13+1,1))</f>
        <v>343.37244130003143</v>
      </c>
      <c r="CZ38" s="62">
        <f t="shared" si="42"/>
        <v>318.38876834819763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84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12.8</v>
      </c>
      <c r="DN38" s="13">
        <f t="array" ref="DN38">INDEX(DM:DM,MIN(IF(ISNUMBER(DM38:DM234),ROW(DM38:DM234),"")))</f>
        <v>12.8</v>
      </c>
      <c r="DO38" s="13">
        <f>IF('Données projet'!$A$166&gt;35,DO37+DN38-DW37,IF(A38&lt;'Données projet'!$A$166,$DL$205^A38,IF(A38='Données projet'!$A$166,'Données projet'!$B$166,DO37+DN38-DW37)))</f>
        <v>206</v>
      </c>
      <c r="DP38" s="18">
        <f>DO38*VLOOKUP('Données projet'!$B$14,Paramètres!$A$1:$I$89,3,0)*VLOOKUP('Données projet'!$B$14,Paramètres!$A$1:$I$89,5,0)</f>
        <v>151.03919999999999</v>
      </c>
      <c r="DQ38" s="14">
        <f t="shared" si="43"/>
        <v>38.814652571726079</v>
      </c>
      <c r="DR38" s="22">
        <f t="shared" si="16"/>
        <v>330.66212656242288</v>
      </c>
      <c r="DS38" s="62">
        <f t="shared" si="17"/>
        <v>623.9954598957562</v>
      </c>
      <c r="DT38" s="62">
        <f ca="1">AVERAGE(OFFSET($DS$3,0,0,'Données projet'!$E$14+1,1))-AVERAGE(OFFSET($H$3,0,0,'Données projet'!$E$14+1,1))</f>
        <v>263.81634201637729</v>
      </c>
      <c r="DU38" s="62">
        <f t="shared" si="44"/>
        <v>302.03767435507262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472</v>
      </c>
      <c r="L39" s="13">
        <f>VLOOKUP(A39,'Données projet'!$A$35:$I$55,9,0)</f>
        <v>26.833333333333332</v>
      </c>
      <c r="M39" s="13">
        <f t="array" ref="M39">INDEX(L:L,MIN(IF(ISNUMBER(L39:L235),ROW(L39:L235),"")))</f>
        <v>26.833333333333332</v>
      </c>
      <c r="N39" s="14">
        <f>IF('Données projet'!$A$36&gt;35,N38+M39-V38,IF(A39&lt;'Données projet'!$A$36,$K$205^A39,IF(A39='Données projet'!$A$36,'Données projet'!$B$36,N38+M39-V38)))</f>
        <v>472</v>
      </c>
      <c r="O39" s="14">
        <f>N39*VLOOKUP('Données projet'!$B$9,Paramètres!$A$1:$I$89,3,0)*VLOOKUP('Données projet'!$B$9,Paramètres!$A$1:$I$89,5,0)</f>
        <v>263.84800000000001</v>
      </c>
      <c r="P39" s="14">
        <f t="shared" si="33"/>
        <v>63.541913395692205</v>
      </c>
      <c r="Q39" s="22">
        <f t="shared" si="53"/>
        <v>570.20409916416395</v>
      </c>
      <c r="R39" s="62">
        <f t="shared" si="0"/>
        <v>863.53743249749732</v>
      </c>
      <c r="S39" s="62">
        <f ca="1">AVERAGE(OFFSET($R$3,0,0,'Données projet'!$E$9+1,1))-AVERAGE(OFFSET($H$3,0,0,'Données projet'!$E$9+1,1))</f>
        <v>322.63846641467165</v>
      </c>
      <c r="T39" s="62">
        <f t="shared" si="34"/>
        <v>435.17386576419966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92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17.380776138939432</v>
      </c>
      <c r="AB39" s="23">
        <f>EXP(-LN(2)/2)*AB38+(1-EXP(-LN(2)/2))/(LN(2)/2)*V39*Y39*VLOOKUP('Données projet'!$B$9,Paramètres!$A$1:$I$89,3,0)*0.475*44/12</f>
        <v>0.36528755068507934</v>
      </c>
      <c r="AC39" s="24">
        <f t="shared" si="3"/>
        <v>17.74606368962451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248</v>
      </c>
      <c r="AG39" s="13">
        <f>VLOOKUP(A39,'Données projet'!$A$61:$I$81,9,0)</f>
        <v>12.833333333333334</v>
      </c>
      <c r="AH39" s="13">
        <f t="array" ref="AH39">INDEX(AG:AG,MIN(IF(ISNUMBER(AG39:AG235),ROW(AG39:AG235),"")))</f>
        <v>12.833333333333334</v>
      </c>
      <c r="AI39" s="14">
        <f>IF('Données projet'!$A$62&gt;35,AI38+AH39-AQ38,IF(A39&lt;'Données projet'!$A$62,$AF$205^A39,IF(A39='Données projet'!$A$62,'Données projet'!$B$62,AI38+AH39-AQ38)))</f>
        <v>248</v>
      </c>
      <c r="AJ39" s="14">
        <f>AI39*VLOOKUP('Données projet'!$B$10,Paramètres!$A$1:$I$89,3,0)*VLOOKUP('Données projet'!$B$10,Paramètres!$A$1:$I$89,5,0)</f>
        <v>154.75199999999998</v>
      </c>
      <c r="AK39" s="14">
        <f t="shared" si="35"/>
        <v>39.656526650076415</v>
      </c>
      <c r="AL39" s="22">
        <f t="shared" si="4"/>
        <v>338.5948505822164</v>
      </c>
      <c r="AM39" s="62">
        <f t="shared" si="5"/>
        <v>631.92818391554965</v>
      </c>
      <c r="AN39" s="62">
        <f ca="1">AVERAGE(OFFSET($AM$3,0,0,'Données projet'!$E$10+1,1))-AVERAGE(OFFSET($H$3,0,0,'Données projet'!$E$10+1,1))</f>
        <v>175.05987582828078</v>
      </c>
      <c r="AO39" s="62">
        <f t="shared" si="36"/>
        <v>268.54782308462387</v>
      </c>
      <c r="AP39" s="16">
        <f>IF(ISNA(VLOOKUP(A39,'Données projet'!$A$61:$I$81,3,0)),0,VLOOKUP(A39,'Données projet'!$A$61:$I$81,3,0))</f>
        <v>5</v>
      </c>
      <c r="AQ39" s="16">
        <f>IF(ISNA(VLOOKUP(A39,'Données projet'!$A$61:$I$81,4,0)),0,VLOOKUP(A39,'Données projet'!$A$61:$I$81,4,0))</f>
        <v>62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7.6890256798266652</v>
      </c>
      <c r="AW39" s="23">
        <f>EXP(-LN(2)/2)*AW38+(1-EXP(-LN(2)/2))/(LN(2)/2)*AQ39*AT39*VLOOKUP('Données projet'!$B$10,Paramètres!$A$1:$I$89,3,0)*0.475*44/12</f>
        <v>1.5811203000860203</v>
      </c>
      <c r="AX39" s="23">
        <f t="shared" si="6"/>
        <v>9.2701459799126855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14.690384615384611</v>
      </c>
      <c r="BD39" s="13">
        <f>IF('Données projet'!$A$88&gt;35,BD38+BC39-BL38,IF(A39&lt;'Données projet'!$A$88,$BA$205^A39,IF(A39='Données projet'!$A$88,'Données projet'!$B$88,BD38+BC39-BL38)))</f>
        <v>246.88076923076915</v>
      </c>
      <c r="BE39" s="14">
        <f>BD39*VLOOKUP('Données projet'!$B$11,Paramètres!$A$1:$I$89,3,0)*VLOOKUP('Données projet'!$B$11,Paramètres!$A$1:$I$89,5,0)</f>
        <v>115.54019999999996</v>
      </c>
      <c r="BF39" s="14">
        <f t="shared" si="37"/>
        <v>30.632542537140463</v>
      </c>
      <c r="BG39" s="22">
        <f t="shared" si="7"/>
        <v>254.5841932521862</v>
      </c>
      <c r="BH39" s="62">
        <f t="shared" si="8"/>
        <v>547.91752658551945</v>
      </c>
      <c r="BI39" s="62">
        <f ca="1">AVERAGE(OFFSET($BH$3,0,0,'Données projet'!$E$11+1,1))-AVERAGE(OFFSET($H$3,0,0,'Données projet'!$E$11+1,1))</f>
        <v>183.46485104601493</v>
      </c>
      <c r="BJ39" s="62">
        <f t="shared" si="38"/>
        <v>127.47790120677581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15.2</v>
      </c>
      <c r="BY39" s="13">
        <f>IF('Données projet'!$A$114&gt;35,BY38+BX39-CG38,IF(A39&lt;'Données projet'!$A$114,$BV$205^A39,IF(A39='Données projet'!$A$114,'Données projet'!$B$114,BY38+BX39-CG38)))</f>
        <v>195.2</v>
      </c>
      <c r="BZ39" s="14">
        <f>BY39*VLOOKUP('Données projet'!$B$12,Paramètres!$A$1:$I$89,3,0)*VLOOKUP('Données projet'!$B$12,Paramètres!$A$1:$I$89,5,0)</f>
        <v>111.6544</v>
      </c>
      <c r="CA39" s="14">
        <f t="shared" si="39"/>
        <v>29.720434817267506</v>
      </c>
      <c r="CB39" s="22">
        <f t="shared" si="10"/>
        <v>246.22783730674089</v>
      </c>
      <c r="CC39" s="62">
        <f t="shared" si="11"/>
        <v>539.56117064007424</v>
      </c>
      <c r="CD39" s="62">
        <f ca="1">AVERAGE(OFFSET($CC$3,0,0,'Données projet'!$E$12+1,1))-AVERAGE(OFFSET($H$3,0,0,'Données projet'!$E$12+1,1))</f>
        <v>228.06050741667258</v>
      </c>
      <c r="CE39" s="62">
        <f t="shared" si="40"/>
        <v>191.94885821983536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7.8162543114896819</v>
      </c>
      <c r="CM39" s="23">
        <f>EXP(-LN(2)/2)*CM38+(1-EXP(-LN(2)/2))/(LN(2)/2)*CG39*CJ39*VLOOKUP('Données projet'!$B$12,Paramètres!$A$1:$I$89,3,0)*0.475*44/12</f>
        <v>1.6074472940280964</v>
      </c>
      <c r="CN39" s="24">
        <f t="shared" si="12"/>
        <v>9.4237016055177776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13.2</v>
      </c>
      <c r="CT39" s="13">
        <f>IF('Données projet'!$A$140&gt;35,CT38+CS39-DB38,IF(A39&lt;'Données projet'!$A$140,$CQ$205^A39,IF(A39='Données projet'!$A$140,'Données projet'!$B$140,CT38+CS39-DB38)))</f>
        <v>210.20000000000005</v>
      </c>
      <c r="CU39" s="18">
        <f>CT39*VLOOKUP('Données projet'!$B$13,Paramètres!$A$1:$I$89,3,0)*VLOOKUP('Données projet'!$B$13,Paramètres!$A$1:$I$89,5,0)</f>
        <v>167.23512000000005</v>
      </c>
      <c r="CV39" s="14">
        <f t="shared" si="41"/>
        <v>42.47019271051164</v>
      </c>
      <c r="CW39" s="22">
        <f t="shared" si="13"/>
        <v>365.23675297080786</v>
      </c>
      <c r="CX39" s="62">
        <f t="shared" si="14"/>
        <v>658.57008630414111</v>
      </c>
      <c r="CY39" s="62">
        <f ca="1">AVERAGE(OFFSET($CX$3,0,0,'Données projet'!$E$13+1,1))-AVERAGE(OFFSET($H$3,0,0,'Données projet'!$E$13+1,1))</f>
        <v>343.37244130003143</v>
      </c>
      <c r="CZ39" s="62">
        <f t="shared" si="42"/>
        <v>318.38876834819763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217.4</v>
      </c>
      <c r="DP39" s="18">
        <f>DO39*VLOOKUP('Données projet'!$B$14,Paramètres!$A$1:$I$89,3,0)*VLOOKUP('Données projet'!$B$14,Paramètres!$A$1:$I$89,5,0)</f>
        <v>159.39768000000001</v>
      </c>
      <c r="DQ39" s="14">
        <f t="shared" si="43"/>
        <v>40.706630642646523</v>
      </c>
      <c r="DR39" s="22">
        <f t="shared" si="16"/>
        <v>348.51500770260941</v>
      </c>
      <c r="DS39" s="62">
        <f t="shared" si="17"/>
        <v>641.84834103594267</v>
      </c>
      <c r="DT39" s="62">
        <f ca="1">AVERAGE(OFFSET($DS$3,0,0,'Données projet'!$E$14+1,1))-AVERAGE(OFFSET($H$3,0,0,'Données projet'!$E$14+1,1))</f>
        <v>263.81634201637729</v>
      </c>
      <c r="DU39" s="62">
        <f t="shared" si="44"/>
        <v>302.03767435507262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26.333333333333332</v>
      </c>
      <c r="N40" s="14">
        <f>IF('Données projet'!$A$36&gt;35,N39+M40-V39,IF(A40&lt;'Données projet'!$A$36,$K$205^A40,IF(A40='Données projet'!$A$36,'Données projet'!$B$36,N39+M40-V39)))</f>
        <v>406.33333333333331</v>
      </c>
      <c r="O40" s="14">
        <f>N40*VLOOKUP('Données projet'!$B$9,Paramètres!$A$1:$I$89,3,0)*VLOOKUP('Données projet'!$B$9,Paramètres!$A$1:$I$89,5,0)</f>
        <v>227.14033333333333</v>
      </c>
      <c r="P40" s="14">
        <f t="shared" si="33"/>
        <v>55.663905221219039</v>
      </c>
      <c r="Q40" s="22">
        <f t="shared" si="53"/>
        <v>492.55071548251203</v>
      </c>
      <c r="R40" s="62">
        <f t="shared" si="0"/>
        <v>785.88404881584529</v>
      </c>
      <c r="S40" s="62">
        <f ca="1">AVERAGE(OFFSET($R$3,0,0,'Données projet'!$E$9+1,1))-AVERAGE(OFFSET($H$3,0,0,'Données projet'!$E$9+1,1))</f>
        <v>322.63846641467165</v>
      </c>
      <c r="T40" s="62">
        <f t="shared" si="34"/>
        <v>435.17386576419966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16.905497901404839</v>
      </c>
      <c r="AB40" s="23">
        <f>EXP(-LN(2)/2)*AB39+(1-EXP(-LN(2)/2))/(LN(2)/2)*V40*Y40*VLOOKUP('Données projet'!$B$9,Paramètres!$A$1:$I$89,3,0)*0.475*44/12</f>
        <v>0.25829730417244429</v>
      </c>
      <c r="AC40" s="24">
        <f t="shared" si="3"/>
        <v>17.163795205577284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197.5</v>
      </c>
      <c r="AJ40" s="14">
        <f>AI40*VLOOKUP('Données projet'!$B$10,Paramètres!$A$1:$I$89,3,0)*VLOOKUP('Données projet'!$B$10,Paramètres!$A$1:$I$89,5,0)</f>
        <v>123.24</v>
      </c>
      <c r="AK40" s="14">
        <f t="shared" si="35"/>
        <v>32.429500380369056</v>
      </c>
      <c r="AL40" s="22">
        <f t="shared" si="4"/>
        <v>271.12437982914275</v>
      </c>
      <c r="AM40" s="62">
        <f t="shared" si="5"/>
        <v>564.45771316247601</v>
      </c>
      <c r="AN40" s="62">
        <f ca="1">AVERAGE(OFFSET($AM$3,0,0,'Données projet'!$E$10+1,1))-AVERAGE(OFFSET($H$3,0,0,'Données projet'!$E$10+1,1))</f>
        <v>175.05987582828078</v>
      </c>
      <c r="AO40" s="62">
        <f t="shared" si="36"/>
        <v>268.54782308462387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7.4787688682635176</v>
      </c>
      <c r="AW40" s="23">
        <f>EXP(-LN(2)/2)*AW39+(1-EXP(-LN(2)/2))/(LN(2)/2)*AQ40*AT40*VLOOKUP('Données projet'!$B$10,Paramètres!$A$1:$I$89,3,0)*0.475*44/12</f>
        <v>1.118020886062534</v>
      </c>
      <c r="AX40" s="23">
        <f t="shared" si="6"/>
        <v>8.5967897543260516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14.690384615384611</v>
      </c>
      <c r="BD40" s="13">
        <f>IF('Données projet'!$A$88&gt;35,BD39+BC40-BL39,IF(A40&lt;'Données projet'!$A$88,$BA$205^A40,IF(A40='Données projet'!$A$88,'Données projet'!$B$88,BD39+BC40-BL39)))</f>
        <v>261.57115384615378</v>
      </c>
      <c r="BE40" s="14">
        <f>BD40*VLOOKUP('Données projet'!$B$11,Paramètres!$A$1:$I$89,3,0)*VLOOKUP('Données projet'!$B$11,Paramètres!$A$1:$I$89,5,0)</f>
        <v>122.41529999999996</v>
      </c>
      <c r="BF40" s="14">
        <f t="shared" si="37"/>
        <v>32.23767335088813</v>
      </c>
      <c r="BG40" s="22">
        <f t="shared" si="7"/>
        <v>269.35392858613005</v>
      </c>
      <c r="BH40" s="62">
        <f t="shared" si="8"/>
        <v>562.68726191946337</v>
      </c>
      <c r="BI40" s="62">
        <f ca="1">AVERAGE(OFFSET($BH$3,0,0,'Données projet'!$E$11+1,1))-AVERAGE(OFFSET($H$3,0,0,'Données projet'!$E$11+1,1))</f>
        <v>183.46485104601493</v>
      </c>
      <c r="BJ40" s="62">
        <f t="shared" si="38"/>
        <v>127.47790120677581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15.2</v>
      </c>
      <c r="BY40" s="13">
        <f>IF('Données projet'!$A$114&gt;35,BY39+BX40-CG39,IF(A40&lt;'Données projet'!$A$114,$BV$205^A40,IF(A40='Données projet'!$A$114,'Données projet'!$B$114,BY39+BX40-CG39)))</f>
        <v>210.39999999999998</v>
      </c>
      <c r="BZ40" s="14">
        <f>BY40*VLOOKUP('Données projet'!$B$12,Paramètres!$A$1:$I$89,3,0)*VLOOKUP('Données projet'!$B$12,Paramètres!$A$1:$I$89,5,0)</f>
        <v>120.3488</v>
      </c>
      <c r="CA40" s="14">
        <f t="shared" si="39"/>
        <v>31.756337418906501</v>
      </c>
      <c r="CB40" s="22">
        <f t="shared" si="10"/>
        <v>264.91644767126212</v>
      </c>
      <c r="CC40" s="62">
        <f t="shared" si="11"/>
        <v>558.24978100459543</v>
      </c>
      <c r="CD40" s="62">
        <f ca="1">AVERAGE(OFFSET($CC$3,0,0,'Données projet'!$E$12+1,1))-AVERAGE(OFFSET($H$3,0,0,'Données projet'!$E$12+1,1))</f>
        <v>228.06050741667258</v>
      </c>
      <c r="CE40" s="62">
        <f t="shared" si="40"/>
        <v>191.94885821983536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7.602518426303047</v>
      </c>
      <c r="CM40" s="23">
        <f>EXP(-LN(2)/2)*CM39+(1-EXP(-LN(2)/2))/(LN(2)/2)*CG40*CJ40*VLOOKUP('Données projet'!$B$12,Paramètres!$A$1:$I$89,3,0)*0.475*44/12</f>
        <v>1.1366368820072332</v>
      </c>
      <c r="CN40" s="24">
        <f t="shared" si="12"/>
        <v>8.7391553083102806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13.2</v>
      </c>
      <c r="CT40" s="13">
        <f>IF('Données projet'!$A$140&gt;35,CT39+CS40-DB39,IF(A40&lt;'Données projet'!$A$140,$CQ$205^A40,IF(A40='Données projet'!$A$140,'Données projet'!$B$140,CT39+CS40-DB39)))</f>
        <v>223.40000000000003</v>
      </c>
      <c r="CU40" s="18">
        <f>CT40*VLOOKUP('Données projet'!$B$13,Paramètres!$A$1:$I$89,3,0)*VLOOKUP('Données projet'!$B$13,Paramètres!$A$1:$I$89,5,0)</f>
        <v>177.73704000000004</v>
      </c>
      <c r="CV40" s="14">
        <f t="shared" si="41"/>
        <v>44.818349142210366</v>
      </c>
      <c r="CW40" s="22">
        <f t="shared" si="13"/>
        <v>387.61730275601644</v>
      </c>
      <c r="CX40" s="62">
        <f t="shared" si="14"/>
        <v>680.9506360893497</v>
      </c>
      <c r="CY40" s="62">
        <f ca="1">AVERAGE(OFFSET($CX$3,0,0,'Données projet'!$E$13+1,1))-AVERAGE(OFFSET($H$3,0,0,'Données projet'!$E$13+1,1))</f>
        <v>343.37244130003143</v>
      </c>
      <c r="CZ40" s="62">
        <f t="shared" si="42"/>
        <v>318.38876834819763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228.8</v>
      </c>
      <c r="DP40" s="18">
        <f>DO40*VLOOKUP('Données projet'!$B$14,Paramètres!$A$1:$I$89,3,0)*VLOOKUP('Données projet'!$B$14,Paramètres!$A$1:$I$89,5,0)</f>
        <v>167.75615999999999</v>
      </c>
      <c r="DQ40" s="14">
        <f t="shared" si="43"/>
        <v>42.587090110514616</v>
      </c>
      <c r="DR40" s="22">
        <f t="shared" si="16"/>
        <v>366.34782727581296</v>
      </c>
      <c r="DS40" s="62">
        <f t="shared" si="17"/>
        <v>659.68116060914622</v>
      </c>
      <c r="DT40" s="62">
        <f ca="1">AVERAGE(OFFSET($DS$3,0,0,'Données projet'!$E$14+1,1))-AVERAGE(OFFSET($H$3,0,0,'Données projet'!$E$14+1,1))</f>
        <v>263.81634201637729</v>
      </c>
      <c r="DU40" s="62">
        <f t="shared" si="44"/>
        <v>302.03767435507262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26.333333333333332</v>
      </c>
      <c r="N41" s="14">
        <f>IF('Données projet'!$A$36&gt;35,N40+M41-V40,IF(A41&lt;'Données projet'!$A$36,$K$205^A41,IF(A41='Données projet'!$A$36,'Données projet'!$B$36,N40+M41-V40)))</f>
        <v>432.66666666666663</v>
      </c>
      <c r="O41" s="14">
        <f>N41*VLOOKUP('Données projet'!$B$9,Paramètres!$A$1:$I$89,3,0)*VLOOKUP('Données projet'!$B$9,Paramètres!$A$1:$I$89,5,0)</f>
        <v>241.86066666666665</v>
      </c>
      <c r="P41" s="14">
        <f t="shared" si="33"/>
        <v>58.839681864356905</v>
      </c>
      <c r="Q41" s="22">
        <f t="shared" si="53"/>
        <v>523.71977369153274</v>
      </c>
      <c r="R41" s="62">
        <f t="shared" si="0"/>
        <v>817.05310702486599</v>
      </c>
      <c r="S41" s="62">
        <f ca="1">AVERAGE(OFFSET($R$3,0,0,'Données projet'!$E$9+1,1))-AVERAGE(OFFSET($H$3,0,0,'Données projet'!$E$9+1,1))</f>
        <v>322.63846641467165</v>
      </c>
      <c r="T41" s="62">
        <f t="shared" si="34"/>
        <v>435.17386576419966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16.443216172269427</v>
      </c>
      <c r="AB41" s="23">
        <f>EXP(-LN(2)/2)*AB40+(1-EXP(-LN(2)/2))/(LN(2)/2)*V41*Y41*VLOOKUP('Données projet'!$B$9,Paramètres!$A$1:$I$89,3,0)*0.475*44/12</f>
        <v>0.18264377534253967</v>
      </c>
      <c r="AC41" s="24">
        <f t="shared" si="3"/>
        <v>16.625859947611968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11.5</v>
      </c>
      <c r="AI41" s="14">
        <f>IF('Données projet'!$A$62&gt;35,AI40+AH41-AQ40,IF(A41&lt;'Données projet'!$A$62,$AF$205^A41,IF(A41='Données projet'!$A$62,'Données projet'!$B$62,AI40+AH41-AQ40)))</f>
        <v>209</v>
      </c>
      <c r="AJ41" s="14">
        <f>AI41*VLOOKUP('Données projet'!$B$10,Paramètres!$A$1:$I$89,3,0)*VLOOKUP('Données projet'!$B$10,Paramètres!$A$1:$I$89,5,0)</f>
        <v>130.416</v>
      </c>
      <c r="AK41" s="14">
        <f t="shared" si="35"/>
        <v>34.092466837179941</v>
      </c>
      <c r="AL41" s="22">
        <f t="shared" si="4"/>
        <v>286.51891307475506</v>
      </c>
      <c r="AM41" s="62">
        <f t="shared" si="5"/>
        <v>579.85224640808838</v>
      </c>
      <c r="AN41" s="62">
        <f ca="1">AVERAGE(OFFSET($AM$3,0,0,'Données projet'!$E$10+1,1))-AVERAGE(OFFSET($H$3,0,0,'Données projet'!$E$10+1,1))</f>
        <v>175.05987582828078</v>
      </c>
      <c r="AO41" s="62">
        <f t="shared" si="36"/>
        <v>268.54782308462387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7.2742615402694897</v>
      </c>
      <c r="AW41" s="23">
        <f>EXP(-LN(2)/2)*AW40+(1-EXP(-LN(2)/2))/(LN(2)/2)*AQ41*AT41*VLOOKUP('Données projet'!$B$10,Paramètres!$A$1:$I$89,3,0)*0.475*44/12</f>
        <v>0.79056015004301028</v>
      </c>
      <c r="AX41" s="23">
        <f t="shared" si="6"/>
        <v>8.0648216903125007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14.690384615384611</v>
      </c>
      <c r="BD41" s="13">
        <f>IF('Données projet'!$A$88&gt;35,BD40+BC41-BL40,IF(A41&lt;'Données projet'!$A$88,$BA$205^A41,IF(A41='Données projet'!$A$88,'Données projet'!$B$88,BD40+BC41-BL40)))</f>
        <v>276.26153846153841</v>
      </c>
      <c r="BE41" s="14">
        <f>BD41*VLOOKUP('Données projet'!$B$11,Paramètres!$A$1:$I$89,3,0)*VLOOKUP('Données projet'!$B$11,Paramètres!$A$1:$I$89,5,0)</f>
        <v>129.29039999999998</v>
      </c>
      <c r="BF41" s="14">
        <f t="shared" si="37"/>
        <v>33.832339410932718</v>
      </c>
      <c r="BG41" s="22">
        <f t="shared" si="7"/>
        <v>284.10543780737447</v>
      </c>
      <c r="BH41" s="62">
        <f t="shared" si="8"/>
        <v>577.43877114070779</v>
      </c>
      <c r="BI41" s="62">
        <f ca="1">AVERAGE(OFFSET($BH$3,0,0,'Données projet'!$E$11+1,1))-AVERAGE(OFFSET($H$3,0,0,'Données projet'!$E$11+1,1))</f>
        <v>183.46485104601493</v>
      </c>
      <c r="BJ41" s="62">
        <f t="shared" si="38"/>
        <v>127.47790120677581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15.2</v>
      </c>
      <c r="BY41" s="13">
        <f>IF('Données projet'!$A$114&gt;35,BY40+BX41-CG40,IF(A41&lt;'Données projet'!$A$114,$BV$205^A41,IF(A41='Données projet'!$A$114,'Données projet'!$B$114,BY40+BX41-CG40)))</f>
        <v>225.59999999999997</v>
      </c>
      <c r="BZ41" s="14">
        <f>BY41*VLOOKUP('Données projet'!$B$12,Paramètres!$A$1:$I$89,3,0)*VLOOKUP('Données projet'!$B$12,Paramètres!$A$1:$I$89,5,0)</f>
        <v>129.04319999999998</v>
      </c>
      <c r="CA41" s="14">
        <f t="shared" si="39"/>
        <v>33.775175980637393</v>
      </c>
      <c r="CB41" s="22">
        <f t="shared" si="10"/>
        <v>283.57533816627671</v>
      </c>
      <c r="CC41" s="62">
        <f t="shared" si="11"/>
        <v>576.90867149961002</v>
      </c>
      <c r="CD41" s="62">
        <f ca="1">AVERAGE(OFFSET($CC$3,0,0,'Données projet'!$E$12+1,1))-AVERAGE(OFFSET($H$3,0,0,'Données projet'!$E$12+1,1))</f>
        <v>228.06050741667258</v>
      </c>
      <c r="CE41" s="62">
        <f t="shared" si="40"/>
        <v>191.94885821983536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7.3946271601367215</v>
      </c>
      <c r="CM41" s="23">
        <f>EXP(-LN(2)/2)*CM40+(1-EXP(-LN(2)/2))/(LN(2)/2)*CG41*CJ41*VLOOKUP('Données projet'!$B$12,Paramètres!$A$1:$I$89,3,0)*0.475*44/12</f>
        <v>0.8037236470140483</v>
      </c>
      <c r="CN41" s="24">
        <f t="shared" si="12"/>
        <v>8.1983508071507707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13.2</v>
      </c>
      <c r="CT41" s="13">
        <f>IF('Données projet'!$A$140&gt;35,CT40+CS41-DB40,IF(A41&lt;'Données projet'!$A$140,$CQ$205^A41,IF(A41='Données projet'!$A$140,'Données projet'!$B$140,CT40+CS41-DB40)))</f>
        <v>236.60000000000002</v>
      </c>
      <c r="CU41" s="18">
        <f>CT41*VLOOKUP('Données projet'!$B$13,Paramètres!$A$1:$I$89,3,0)*VLOOKUP('Données projet'!$B$13,Paramètres!$A$1:$I$89,5,0)</f>
        <v>188.23896000000002</v>
      </c>
      <c r="CV41" s="14">
        <f t="shared" si="41"/>
        <v>47.15040115899005</v>
      </c>
      <c r="CW41" s="22">
        <f t="shared" si="13"/>
        <v>409.96980401857439</v>
      </c>
      <c r="CX41" s="62">
        <f t="shared" si="14"/>
        <v>703.30313735190771</v>
      </c>
      <c r="CY41" s="62">
        <f ca="1">AVERAGE(OFFSET($CX$3,0,0,'Données projet'!$E$13+1,1))-AVERAGE(OFFSET($H$3,0,0,'Données projet'!$E$13+1,1))</f>
        <v>343.37244130003143</v>
      </c>
      <c r="CZ41" s="62">
        <f t="shared" si="42"/>
        <v>318.38876834819763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240.20000000000002</v>
      </c>
      <c r="DP41" s="18">
        <f>DO41*VLOOKUP('Données projet'!$B$14,Paramètres!$A$1:$I$89,3,0)*VLOOKUP('Données projet'!$B$14,Paramètres!$A$1:$I$89,5,0)</f>
        <v>176.11464000000001</v>
      </c>
      <c r="DQ41" s="14">
        <f t="shared" si="43"/>
        <v>44.456670383041981</v>
      </c>
      <c r="DR41" s="22">
        <f t="shared" si="16"/>
        <v>384.16169891713145</v>
      </c>
      <c r="DS41" s="62">
        <f t="shared" si="17"/>
        <v>677.49503225046476</v>
      </c>
      <c r="DT41" s="62">
        <f ca="1">AVERAGE(OFFSET($DS$3,0,0,'Données projet'!$E$14+1,1))-AVERAGE(OFFSET($H$3,0,0,'Données projet'!$E$14+1,1))</f>
        <v>263.81634201637729</v>
      </c>
      <c r="DU41" s="62">
        <f t="shared" si="44"/>
        <v>302.03767435507262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26.333333333333332</v>
      </c>
      <c r="N42" s="14">
        <f>IF('Données projet'!$A$36&gt;35,N41+M42-V41,IF(A42&lt;'Données projet'!$A$36,$K$205^A42,IF(A42='Données projet'!$A$36,'Données projet'!$B$36,N41+M42-V41)))</f>
        <v>458.99999999999994</v>
      </c>
      <c r="O42" s="14">
        <f>N42*VLOOKUP('Données projet'!$B$9,Paramètres!$A$1:$I$89,3,0)*VLOOKUP('Données projet'!$B$9,Paramètres!$A$1:$I$89,5,0)</f>
        <v>256.58099999999996</v>
      </c>
      <c r="P42" s="14">
        <f t="shared" si="33"/>
        <v>61.993024805604456</v>
      </c>
      <c r="Q42" s="22">
        <f t="shared" si="53"/>
        <v>554.84975986976099</v>
      </c>
      <c r="R42" s="62">
        <f t="shared" si="0"/>
        <v>848.18309320309436</v>
      </c>
      <c r="S42" s="62">
        <f ca="1">AVERAGE(OFFSET($R$3,0,0,'Données projet'!$E$9+1,1))-AVERAGE(OFFSET($H$3,0,0,'Données projet'!$E$9+1,1))</f>
        <v>322.63846641467165</v>
      </c>
      <c r="T42" s="62">
        <f t="shared" si="34"/>
        <v>435.17386576419966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15.993575561327562</v>
      </c>
      <c r="AB42" s="23">
        <f>EXP(-LN(2)/2)*AB41+(1-EXP(-LN(2)/2))/(LN(2)/2)*V42*Y42*VLOOKUP('Données projet'!$B$9,Paramètres!$A$1:$I$89,3,0)*0.475*44/12</f>
        <v>0.12914865208622214</v>
      </c>
      <c r="AC42" s="24">
        <f t="shared" si="3"/>
        <v>16.122724213413782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11.5</v>
      </c>
      <c r="AI42" s="14">
        <f>IF('Données projet'!$A$62&gt;35,AI41+AH42-AQ41,IF(A42&lt;'Données projet'!$A$62,$AF$205^A42,IF(A42='Données projet'!$A$62,'Données projet'!$B$62,AI41+AH42-AQ41)))</f>
        <v>220.5</v>
      </c>
      <c r="AJ42" s="14">
        <f>AI42*VLOOKUP('Données projet'!$B$10,Paramètres!$A$1:$I$89,3,0)*VLOOKUP('Données projet'!$B$10,Paramètres!$A$1:$I$89,5,0)</f>
        <v>137.59199999999998</v>
      </c>
      <c r="AK42" s="14">
        <f t="shared" si="35"/>
        <v>35.744810729505772</v>
      </c>
      <c r="AL42" s="22">
        <f t="shared" si="4"/>
        <v>301.89494535388923</v>
      </c>
      <c r="AM42" s="62">
        <f t="shared" si="5"/>
        <v>595.22827868722254</v>
      </c>
      <c r="AN42" s="62">
        <f ca="1">AVERAGE(OFFSET($AM$3,0,0,'Données projet'!$E$10+1,1))-AVERAGE(OFFSET($H$3,0,0,'Données projet'!$E$10+1,1))</f>
        <v>175.05987582828078</v>
      </c>
      <c r="AO42" s="62">
        <f t="shared" si="36"/>
        <v>268.54782308462387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7.0753464759140314</v>
      </c>
      <c r="AW42" s="23">
        <f>EXP(-LN(2)/2)*AW41+(1-EXP(-LN(2)/2))/(LN(2)/2)*AQ42*AT42*VLOOKUP('Données projet'!$B$10,Paramètres!$A$1:$I$89,3,0)*0.475*44/12</f>
        <v>0.55901044303126712</v>
      </c>
      <c r="AX42" s="23">
        <f t="shared" si="6"/>
        <v>7.6343569189452989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14.690384615384611</v>
      </c>
      <c r="BD42" s="13">
        <f>IF('Données projet'!$A$88&gt;35,BD41+BC42-BL41,IF(A42&lt;'Données projet'!$A$88,$BA$205^A42,IF(A42='Données projet'!$A$88,'Données projet'!$B$88,BD41+BC42-BL41)))</f>
        <v>290.95192307692304</v>
      </c>
      <c r="BE42" s="14">
        <f>BD42*VLOOKUP('Données projet'!$B$11,Paramètres!$A$1:$I$89,3,0)*VLOOKUP('Données projet'!$B$11,Paramètres!$A$1:$I$89,5,0)</f>
        <v>136.16549999999998</v>
      </c>
      <c r="BF42" s="14">
        <f t="shared" si="37"/>
        <v>35.417160641070218</v>
      </c>
      <c r="BG42" s="22">
        <f t="shared" si="7"/>
        <v>298.83980061653057</v>
      </c>
      <c r="BH42" s="62">
        <f t="shared" si="8"/>
        <v>592.17313394986388</v>
      </c>
      <c r="BI42" s="62">
        <f ca="1">AVERAGE(OFFSET($BH$3,0,0,'Données projet'!$E$11+1,1))-AVERAGE(OFFSET($H$3,0,0,'Données projet'!$E$11+1,1))</f>
        <v>183.46485104601493</v>
      </c>
      <c r="BJ42" s="62">
        <f t="shared" si="38"/>
        <v>127.47790120677581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15.2</v>
      </c>
      <c r="BY42" s="13">
        <f>IF('Données projet'!$A$114&gt;35,BY41+BX42-CG41,IF(A42&lt;'Données projet'!$A$114,$BV$205^A42,IF(A42='Données projet'!$A$114,'Données projet'!$B$114,BY41+BX42-CG41)))</f>
        <v>240.79999999999995</v>
      </c>
      <c r="BZ42" s="14">
        <f>BY42*VLOOKUP('Données projet'!$B$12,Paramètres!$A$1:$I$89,3,0)*VLOOKUP('Données projet'!$B$12,Paramètres!$A$1:$I$89,5,0)</f>
        <v>137.73759999999999</v>
      </c>
      <c r="CA42" s="14">
        <f t="shared" si="39"/>
        <v>35.778231015585945</v>
      </c>
      <c r="CB42" s="22">
        <f t="shared" si="10"/>
        <v>302.20673901881219</v>
      </c>
      <c r="CC42" s="62">
        <f t="shared" si="11"/>
        <v>595.54007235214544</v>
      </c>
      <c r="CD42" s="62">
        <f ca="1">AVERAGE(OFFSET($CC$3,0,0,'Données projet'!$E$12+1,1))-AVERAGE(OFFSET($H$3,0,0,'Données projet'!$E$12+1,1))</f>
        <v>228.06050741667258</v>
      </c>
      <c r="CE42" s="62">
        <f t="shared" si="40"/>
        <v>191.94885821983536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7.192420691576241</v>
      </c>
      <c r="CM42" s="23">
        <f>EXP(-LN(2)/2)*CM41+(1-EXP(-LN(2)/2))/(LN(2)/2)*CG42*CJ42*VLOOKUP('Données projet'!$B$12,Paramètres!$A$1:$I$89,3,0)*0.475*44/12</f>
        <v>0.56831844100361661</v>
      </c>
      <c r="CN42" s="24">
        <f t="shared" si="12"/>
        <v>7.7607391325798574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13.2</v>
      </c>
      <c r="CT42" s="13">
        <f>IF('Données projet'!$A$140&gt;35,CT41+CS42-DB41,IF(A42&lt;'Données projet'!$A$140,$CQ$205^A42,IF(A42='Données projet'!$A$140,'Données projet'!$B$140,CT41+CS42-DB41)))</f>
        <v>249.8</v>
      </c>
      <c r="CU42" s="18">
        <f>CT42*VLOOKUP('Données projet'!$B$13,Paramètres!$A$1:$I$89,3,0)*VLOOKUP('Données projet'!$B$13,Paramètres!$A$1:$I$89,5,0)</f>
        <v>198.74088000000003</v>
      </c>
      <c r="CV42" s="14">
        <f t="shared" si="41"/>
        <v>49.467349630825638</v>
      </c>
      <c r="CW42" s="22">
        <f t="shared" si="13"/>
        <v>432.29599994035465</v>
      </c>
      <c r="CX42" s="62">
        <f t="shared" si="14"/>
        <v>725.62933327368796</v>
      </c>
      <c r="CY42" s="62">
        <f ca="1">AVERAGE(OFFSET($CX$3,0,0,'Données projet'!$E$13+1,1))-AVERAGE(OFFSET($H$3,0,0,'Données projet'!$E$13+1,1))</f>
        <v>343.37244130003143</v>
      </c>
      <c r="CZ42" s="62">
        <f t="shared" si="42"/>
        <v>318.38876834819763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251.60000000000002</v>
      </c>
      <c r="DP42" s="18">
        <f>DO42*VLOOKUP('Données projet'!$B$14,Paramètres!$A$1:$I$89,3,0)*VLOOKUP('Données projet'!$B$14,Paramètres!$A$1:$I$89,5,0)</f>
        <v>184.47312000000002</v>
      </c>
      <c r="DQ42" s="14">
        <f t="shared" si="43"/>
        <v>46.315946745200151</v>
      </c>
      <c r="DR42" s="22">
        <f t="shared" si="16"/>
        <v>401.95762458122357</v>
      </c>
      <c r="DS42" s="62">
        <f t="shared" si="17"/>
        <v>695.29095791455688</v>
      </c>
      <c r="DT42" s="62">
        <f ca="1">AVERAGE(OFFSET($DS$3,0,0,'Données projet'!$E$14+1,1))-AVERAGE(OFFSET($H$3,0,0,'Données projet'!$E$14+1,1))</f>
        <v>263.81634201637729</v>
      </c>
      <c r="DU42" s="62">
        <f t="shared" si="44"/>
        <v>302.03767435507262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26.333333333333332</v>
      </c>
      <c r="N43" s="14">
        <f>IF('Données projet'!$A$36&gt;35,N42+M43-V42,IF(A43&lt;'Données projet'!$A$36,$K$205^A43,IF(A43='Données projet'!$A$36,'Données projet'!$B$36,N42+M43-V42)))</f>
        <v>485.33333333333326</v>
      </c>
      <c r="O43" s="14">
        <f>N43*VLOOKUP('Données projet'!$B$9,Paramètres!$A$1:$I$89,3,0)*VLOOKUP('Données projet'!$B$9,Paramètres!$A$1:$I$89,5,0)</f>
        <v>271.30133333333328</v>
      </c>
      <c r="P43" s="14">
        <f t="shared" si="33"/>
        <v>65.125367733252759</v>
      </c>
      <c r="Q43" s="22">
        <f t="shared" si="53"/>
        <v>585.94317102430398</v>
      </c>
      <c r="R43" s="62">
        <f t="shared" si="0"/>
        <v>879.27650435763735</v>
      </c>
      <c r="S43" s="62">
        <f ca="1">AVERAGE(OFFSET($R$3,0,0,'Données projet'!$E$9+1,1))-AVERAGE(OFFSET($H$3,0,0,'Données projet'!$E$9+1,1))</f>
        <v>322.63846641467165</v>
      </c>
      <c r="T43" s="62">
        <f t="shared" si="34"/>
        <v>435.17386576419966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15.556230396537474</v>
      </c>
      <c r="AB43" s="23">
        <f>EXP(-LN(2)/2)*AB42+(1-EXP(-LN(2)/2))/(LN(2)/2)*V43*Y43*VLOOKUP('Données projet'!$B$9,Paramètres!$A$1:$I$89,3,0)*0.475*44/12</f>
        <v>9.1321887671269836E-2</v>
      </c>
      <c r="AC43" s="24">
        <f t="shared" si="3"/>
        <v>15.647552284208745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11.5</v>
      </c>
      <c r="AI43" s="14">
        <f>IF('Données projet'!$A$62&gt;35,AI42+AH43-AQ42,IF(A43&lt;'Données projet'!$A$62,$AF$205^A43,IF(A43='Données projet'!$A$62,'Données projet'!$B$62,AI42+AH43-AQ42)))</f>
        <v>232</v>
      </c>
      <c r="AJ43" s="14">
        <f>AI43*VLOOKUP('Données projet'!$B$10,Paramètres!$A$1:$I$89,3,0)*VLOOKUP('Données projet'!$B$10,Paramètres!$A$1:$I$89,5,0)</f>
        <v>144.768</v>
      </c>
      <c r="AK43" s="14">
        <f t="shared" si="35"/>
        <v>37.387149255707826</v>
      </c>
      <c r="AL43" s="22">
        <f t="shared" si="4"/>
        <v>317.25355162035777</v>
      </c>
      <c r="AM43" s="62">
        <f t="shared" si="5"/>
        <v>610.58688495369108</v>
      </c>
      <c r="AN43" s="62">
        <f ca="1">AVERAGE(OFFSET($AM$3,0,0,'Données projet'!$E$10+1,1))-AVERAGE(OFFSET($H$3,0,0,'Données projet'!$E$10+1,1))</f>
        <v>175.05987582828078</v>
      </c>
      <c r="AO43" s="62">
        <f t="shared" si="36"/>
        <v>268.54782308462387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6.8818707544538622</v>
      </c>
      <c r="AW43" s="23">
        <f>EXP(-LN(2)/2)*AW42+(1-EXP(-LN(2)/2))/(LN(2)/2)*AQ43*AT43*VLOOKUP('Données projet'!$B$10,Paramètres!$A$1:$I$89,3,0)*0.475*44/12</f>
        <v>0.3952800750215052</v>
      </c>
      <c r="AX43" s="23">
        <f t="shared" si="6"/>
        <v>7.2771508294753673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14.690384615384611</v>
      </c>
      <c r="BD43" s="13">
        <f>IF('Données projet'!$A$88&gt;35,BD42+BC43-BL42,IF(A43&lt;'Données projet'!$A$88,$BA$205^A43,IF(A43='Données projet'!$A$88,'Données projet'!$B$88,BD42+BC43-BL42)))</f>
        <v>305.64230769230767</v>
      </c>
      <c r="BE43" s="14">
        <f>BD43*VLOOKUP('Données projet'!$B$11,Paramètres!$A$1:$I$89,3,0)*VLOOKUP('Données projet'!$B$11,Paramètres!$A$1:$I$89,5,0)</f>
        <v>143.04059999999998</v>
      </c>
      <c r="BF43" s="14">
        <f t="shared" si="37"/>
        <v>36.992690828109559</v>
      </c>
      <c r="BG43" s="22">
        <f t="shared" si="7"/>
        <v>313.55798152562414</v>
      </c>
      <c r="BH43" s="62">
        <f t="shared" si="8"/>
        <v>606.89131485895746</v>
      </c>
      <c r="BI43" s="62">
        <f ca="1">AVERAGE(OFFSET($BH$3,0,0,'Données projet'!$E$11+1,1))-AVERAGE(OFFSET($H$3,0,0,'Données projet'!$E$11+1,1))</f>
        <v>183.46485104601493</v>
      </c>
      <c r="BJ43" s="62">
        <f t="shared" si="38"/>
        <v>127.47790120677581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256</v>
      </c>
      <c r="BW43" s="13">
        <f>VLOOKUP(A43,'Données projet'!$A$113:$I$133,9,0)</f>
        <v>15.2</v>
      </c>
      <c r="BX43" s="13">
        <f t="array" ref="BX43">INDEX(BW:BW,MIN(IF(ISNUMBER(BW43:BW239),ROW(BW43:BW239),"")))</f>
        <v>15.2</v>
      </c>
      <c r="BY43" s="13">
        <f>IF('Données projet'!$A$114&gt;35,BY42+BX43-CG42,IF(A43&lt;'Données projet'!$A$114,$BV$205^A43,IF(A43='Données projet'!$A$114,'Données projet'!$B$114,BY42+BX43-CG42)))</f>
        <v>255.99999999999994</v>
      </c>
      <c r="BZ43" s="14">
        <f>BY43*VLOOKUP('Données projet'!$B$12,Paramètres!$A$1:$I$89,3,0)*VLOOKUP('Données projet'!$B$12,Paramètres!$A$1:$I$89,5,0)</f>
        <v>146.43199999999996</v>
      </c>
      <c r="CA43" s="14">
        <f t="shared" si="39"/>
        <v>37.766612239306838</v>
      </c>
      <c r="CB43" s="22">
        <f t="shared" si="10"/>
        <v>320.81258298345932</v>
      </c>
      <c r="CC43" s="62">
        <f t="shared" si="11"/>
        <v>614.14591631679264</v>
      </c>
      <c r="CD43" s="62">
        <f ca="1">AVERAGE(OFFSET($CC$3,0,0,'Données projet'!$E$12+1,1))-AVERAGE(OFFSET($H$3,0,0,'Données projet'!$E$12+1,1))</f>
        <v>228.06050741667258</v>
      </c>
      <c r="CE43" s="62">
        <f t="shared" si="40"/>
        <v>191.94885821983536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6.9957435695321228</v>
      </c>
      <c r="CM43" s="23">
        <f>EXP(-LN(2)/2)*CM42+(1-EXP(-LN(2)/2))/(LN(2)/2)*CG43*CJ43*VLOOKUP('Données projet'!$B$12,Paramètres!$A$1:$I$89,3,0)*0.475*44/12</f>
        <v>0.40186182350702415</v>
      </c>
      <c r="CN43" s="24">
        <f t="shared" si="12"/>
        <v>7.3976053930391465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</v>
      </c>
      <c r="CR43" s="13">
        <f>VLOOKUP(A43,'Données projet'!$A$139:$I$159,9,0)</f>
        <v>13.2</v>
      </c>
      <c r="CS43" s="13">
        <f t="array" ref="CS43">INDEX(CR:CR,MIN(IF(ISNUMBER(CR43:CR239),ROW(CR43:CR239),"")))</f>
        <v>13.2</v>
      </c>
      <c r="CT43" s="13">
        <f>IF('Données projet'!$A$140&gt;35,CT42+CS43-DB42,IF(A43&lt;'Données projet'!$A$140,$CQ$205^A43,IF(A43='Données projet'!$A$140,'Données projet'!$B$140,CT42+CS43-DB42)))</f>
        <v>263</v>
      </c>
      <c r="CU43" s="18">
        <f>CT43*VLOOKUP('Données projet'!$B$13,Paramètres!$A$1:$I$89,3,0)*VLOOKUP('Données projet'!$B$13,Paramètres!$A$1:$I$89,5,0)</f>
        <v>209.24279999999999</v>
      </c>
      <c r="CV43" s="14">
        <f t="shared" si="41"/>
        <v>51.770083677016814</v>
      </c>
      <c r="CW43" s="22">
        <f t="shared" si="13"/>
        <v>454.59743907080428</v>
      </c>
      <c r="CX43" s="62">
        <f t="shared" si="14"/>
        <v>747.93077240413754</v>
      </c>
      <c r="CY43" s="62">
        <f ca="1">AVERAGE(OFFSET($CX$3,0,0,'Données projet'!$E$13+1,1))-AVERAGE(OFFSET($H$3,0,0,'Données projet'!$E$13+1,1))</f>
        <v>343.37244130003143</v>
      </c>
      <c r="CZ43" s="62">
        <f t="shared" si="42"/>
        <v>318.38876834819763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263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263</v>
      </c>
      <c r="DP43" s="18">
        <f>DO43*VLOOKUP('Données projet'!$B$14,Paramètres!$A$1:$I$89,3,0)*VLOOKUP('Données projet'!$B$14,Paramètres!$A$1:$I$89,5,0)</f>
        <v>192.83160000000001</v>
      </c>
      <c r="DQ43" s="14">
        <f t="shared" si="43"/>
        <v>48.165439402688818</v>
      </c>
      <c r="DR43" s="22">
        <f t="shared" si="16"/>
        <v>419.73651029301635</v>
      </c>
      <c r="DS43" s="62">
        <f t="shared" si="17"/>
        <v>713.06984362634967</v>
      </c>
      <c r="DT43" s="62">
        <f ca="1">AVERAGE(OFFSET($DS$3,0,0,'Données projet'!$E$14+1,1))-AVERAGE(OFFSET($H$3,0,0,'Données projet'!$E$14+1,1))</f>
        <v>263.81634201637729</v>
      </c>
      <c r="DU43" s="62">
        <f t="shared" si="44"/>
        <v>302.03767435507262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70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26.333333333333332</v>
      </c>
      <c r="N44" s="14">
        <f>IF('Données projet'!$A$36&gt;35,N43+M44-V43,IF(A44&lt;'Données projet'!$A$36,$K$205^A44,IF(A44='Données projet'!$A$36,'Données projet'!$B$36,N43+M44-V43)))</f>
        <v>511.66666666666657</v>
      </c>
      <c r="O44" s="14">
        <f>N44*VLOOKUP('Données projet'!$B$9,Paramètres!$A$1:$I$89,3,0)*VLOOKUP('Données projet'!$B$9,Paramètres!$A$1:$I$89,5,0)</f>
        <v>286.02166666666665</v>
      </c>
      <c r="P44" s="14">
        <f t="shared" si="33"/>
        <v>68.237979970003394</v>
      </c>
      <c r="Q44" s="22">
        <f t="shared" si="53"/>
        <v>617.00221789220029</v>
      </c>
      <c r="R44" s="62">
        <f t="shared" si="0"/>
        <v>910.33555122553366</v>
      </c>
      <c r="S44" s="62">
        <f ca="1">AVERAGE(OFFSET($R$3,0,0,'Données projet'!$E$9+1,1))-AVERAGE(OFFSET($H$3,0,0,'Données projet'!$E$9+1,1))</f>
        <v>322.63846641467165</v>
      </c>
      <c r="T44" s="62">
        <f t="shared" si="34"/>
        <v>435.17386576419966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15.130844458277554</v>
      </c>
      <c r="AB44" s="23">
        <f>EXP(-LN(2)/2)*AB43+(1-EXP(-LN(2)/2))/(LN(2)/2)*V44*Y44*VLOOKUP('Données projet'!$B$9,Paramètres!$A$1:$I$89,3,0)*0.475*44/12</f>
        <v>6.4574326043111072E-2</v>
      </c>
      <c r="AC44" s="24">
        <f t="shared" si="3"/>
        <v>15.195418784320665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243.5</v>
      </c>
      <c r="AJ44" s="14">
        <f>AI44*VLOOKUP('Données projet'!$B$10,Paramètres!$A$1:$I$89,3,0)*VLOOKUP('Données projet'!$B$10,Paramètres!$A$1:$I$89,5,0)</f>
        <v>151.94399999999999</v>
      </c>
      <c r="AK44" s="14">
        <f t="shared" si="35"/>
        <v>39.02003496976517</v>
      </c>
      <c r="AL44" s="22">
        <f t="shared" si="4"/>
        <v>332.59569423900763</v>
      </c>
      <c r="AM44" s="62">
        <f t="shared" si="5"/>
        <v>625.92902757234094</v>
      </c>
      <c r="AN44" s="62">
        <f ca="1">AVERAGE(OFFSET($AM$3,0,0,'Données projet'!$E$10+1,1))-AVERAGE(OFFSET($H$3,0,0,'Données projet'!$E$10+1,1))</f>
        <v>175.05987582828078</v>
      </c>
      <c r="AO44" s="62">
        <f t="shared" si="36"/>
        <v>268.54782308462387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6.693685636771467</v>
      </c>
      <c r="AW44" s="23">
        <f>EXP(-LN(2)/2)*AW43+(1-EXP(-LN(2)/2))/(LN(2)/2)*AQ44*AT44*VLOOKUP('Données projet'!$B$10,Paramètres!$A$1:$I$89,3,0)*0.475*44/12</f>
        <v>0.27950522151563356</v>
      </c>
      <c r="AX44" s="23">
        <f t="shared" si="6"/>
        <v>6.9731908582871007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14.690384615384611</v>
      </c>
      <c r="BD44" s="13">
        <f>IF('Données projet'!$A$88&gt;35,BD43+BC44-BL43,IF(A44&lt;'Données projet'!$A$88,$BA$205^A44,IF(A44='Données projet'!$A$88,'Données projet'!$B$88,BD43+BC44-BL43)))</f>
        <v>320.3326923076923</v>
      </c>
      <c r="BE44" s="14">
        <f>BD44*VLOOKUP('Données projet'!$B$11,Paramètres!$A$1:$I$89,3,0)*VLOOKUP('Données projet'!$B$11,Paramètres!$A$1:$I$89,5,0)</f>
        <v>149.91569999999999</v>
      </c>
      <c r="BF44" s="14">
        <f t="shared" si="37"/>
        <v>38.559427516613091</v>
      </c>
      <c r="BG44" s="22">
        <f t="shared" si="7"/>
        <v>328.26084709143441</v>
      </c>
      <c r="BH44" s="62">
        <f t="shared" si="8"/>
        <v>621.59418042476773</v>
      </c>
      <c r="BI44" s="62">
        <f ca="1">AVERAGE(OFFSET($BH$3,0,0,'Données projet'!$E$11+1,1))-AVERAGE(OFFSET($H$3,0,0,'Données projet'!$E$11+1,1))</f>
        <v>183.46485104601493</v>
      </c>
      <c r="BJ44" s="62">
        <f t="shared" si="38"/>
        <v>127.47790120677581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13.8</v>
      </c>
      <c r="BY44" s="13">
        <f>IF('Données projet'!$A$114&gt;35,BY43+BX44-CG43,IF(A44&lt;'Données projet'!$A$114,$BV$205^A44,IF(A44='Données projet'!$A$114,'Données projet'!$B$114,BY43+BX44-CG43)))</f>
        <v>227.79999999999995</v>
      </c>
      <c r="BZ44" s="14">
        <f>BY44*VLOOKUP('Données projet'!$B$12,Paramètres!$A$1:$I$89,3,0)*VLOOKUP('Données projet'!$B$12,Paramètres!$A$1:$I$89,5,0)</f>
        <v>130.30159999999998</v>
      </c>
      <c r="CA44" s="14">
        <f t="shared" si="39"/>
        <v>34.066040835325218</v>
      </c>
      <c r="CB44" s="22">
        <f t="shared" si="10"/>
        <v>286.27364112152469</v>
      </c>
      <c r="CC44" s="62">
        <f t="shared" si="11"/>
        <v>579.606974454858</v>
      </c>
      <c r="CD44" s="62">
        <f ca="1">AVERAGE(OFFSET($CC$3,0,0,'Données projet'!$E$12+1,1))-AVERAGE(OFFSET($H$3,0,0,'Données projet'!$E$12+1,1))</f>
        <v>228.06050741667258</v>
      </c>
      <c r="CE44" s="62">
        <f t="shared" si="40"/>
        <v>191.94885821983536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6.804444593733102</v>
      </c>
      <c r="CM44" s="23">
        <f>EXP(-LN(2)/2)*CM43+(1-EXP(-LN(2)/2))/(LN(2)/2)*CG44*CJ44*VLOOKUP('Données projet'!$B$12,Paramètres!$A$1:$I$89,3,0)*0.475*44/12</f>
        <v>0.28415922050180831</v>
      </c>
      <c r="CN44" s="24">
        <f t="shared" si="12"/>
        <v>7.0886038142349106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274.39999999999998</v>
      </c>
      <c r="CU44" s="18">
        <f>CT44*VLOOKUP('Données projet'!$B$13,Paramètres!$A$1:$I$89,3,0)*VLOOKUP('Données projet'!$B$13,Paramètres!$A$1:$I$89,5,0)</f>
        <v>218.31263999999999</v>
      </c>
      <c r="CV44" s="14">
        <f t="shared" si="41"/>
        <v>53.74798218599026</v>
      </c>
      <c r="CW44" s="22">
        <f t="shared" si="13"/>
        <v>473.83891697393301</v>
      </c>
      <c r="CX44" s="62">
        <f t="shared" si="14"/>
        <v>767.17225030726627</v>
      </c>
      <c r="CY44" s="62">
        <f ca="1">AVERAGE(OFFSET($CX$3,0,0,'Données projet'!$E$13+1,1))-AVERAGE(OFFSET($H$3,0,0,'Données projet'!$E$13+1,1))</f>
        <v>343.37244130003143</v>
      </c>
      <c r="CZ44" s="62">
        <f t="shared" si="42"/>
        <v>318.38876834819763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202.8</v>
      </c>
      <c r="DP44" s="18">
        <f>DO44*VLOOKUP('Données projet'!$B$14,Paramètres!$A$1:$I$89,3,0)*VLOOKUP('Données projet'!$B$14,Paramètres!$A$1:$I$89,5,0)</f>
        <v>148.69296</v>
      </c>
      <c r="DQ44" s="14">
        <f t="shared" si="43"/>
        <v>38.281404966971365</v>
      </c>
      <c r="DR44" s="22">
        <f t="shared" si="16"/>
        <v>325.64701898414177</v>
      </c>
      <c r="DS44" s="62">
        <f t="shared" si="17"/>
        <v>618.98035231747508</v>
      </c>
      <c r="DT44" s="62">
        <f ca="1">AVERAGE(OFFSET($DS$3,0,0,'Données projet'!$E$14+1,1))-AVERAGE(OFFSET($H$3,0,0,'Données projet'!$E$14+1,1))</f>
        <v>263.81634201637729</v>
      </c>
      <c r="DU44" s="62">
        <f t="shared" si="44"/>
        <v>302.03767435507262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538</v>
      </c>
      <c r="L45" s="13">
        <f>VLOOKUP(A45,'Données projet'!$A$35:$I$55,9,0)</f>
        <v>26.333333333333332</v>
      </c>
      <c r="M45" s="13">
        <f t="array" ref="M45">INDEX(L:L,MIN(IF(ISNUMBER(L45:L241),ROW(L45:L241),"")))</f>
        <v>26.333333333333332</v>
      </c>
      <c r="N45" s="14">
        <f>IF('Données projet'!$A$36&gt;35,N44+M45-V44,IF(A45&lt;'Données projet'!$A$36,$K$205^A45,IF(A45='Données projet'!$A$36,'Données projet'!$B$36,N44+M45-V44)))</f>
        <v>537.99999999999989</v>
      </c>
      <c r="O45" s="14">
        <f>N45*VLOOKUP('Données projet'!$B$9,Paramètres!$A$1:$I$89,3,0)*VLOOKUP('Données projet'!$B$9,Paramètres!$A$1:$I$89,5,0)</f>
        <v>300.74199999999996</v>
      </c>
      <c r="P45" s="14">
        <f t="shared" si="33"/>
        <v>71.331992805448834</v>
      </c>
      <c r="Q45" s="22">
        <f t="shared" si="53"/>
        <v>648.02887080282335</v>
      </c>
      <c r="R45" s="62">
        <f t="shared" si="0"/>
        <v>941.36220413615661</v>
      </c>
      <c r="S45" s="62">
        <f ca="1">AVERAGE(OFFSET($R$3,0,0,'Données projet'!$E$9+1,1))-AVERAGE(OFFSET($H$3,0,0,'Données projet'!$E$9+1,1))</f>
        <v>322.63846641467165</v>
      </c>
      <c r="T45" s="62">
        <f t="shared" si="34"/>
        <v>435.17386576419966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88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14.717090720869427</v>
      </c>
      <c r="AB45" s="23">
        <f>EXP(-LN(2)/2)*AB44+(1-EXP(-LN(2)/2))/(LN(2)/2)*V45*Y45*VLOOKUP('Données projet'!$B$9,Paramètres!$A$1:$I$89,3,0)*0.475*44/12</f>
        <v>4.5660943835634918E-2</v>
      </c>
      <c r="AC45" s="24">
        <f t="shared" si="3"/>
        <v>14.762751664705062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255</v>
      </c>
      <c r="AG45" s="13">
        <f>VLOOKUP(A45,'Données projet'!$A$61:$I$81,9,0)</f>
        <v>11.5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255</v>
      </c>
      <c r="AJ45" s="14">
        <f>AI45*VLOOKUP('Données projet'!$B$10,Paramètres!$A$1:$I$89,3,0)*VLOOKUP('Données projet'!$B$10,Paramètres!$A$1:$I$89,5,0)</f>
        <v>159.12</v>
      </c>
      <c r="AK45" s="14">
        <f t="shared" si="35"/>
        <v>40.643965284387697</v>
      </c>
      <c r="AL45" s="22">
        <f t="shared" si="4"/>
        <v>347.92223953697521</v>
      </c>
      <c r="AM45" s="62">
        <f t="shared" si="5"/>
        <v>641.25557287030847</v>
      </c>
      <c r="AN45" s="62">
        <f ca="1">AVERAGE(OFFSET($AM$3,0,0,'Données projet'!$E$10+1,1))-AVERAGE(OFFSET($H$3,0,0,'Données projet'!$E$10+1,1))</f>
        <v>175.05987582828078</v>
      </c>
      <c r="AO45" s="62">
        <f t="shared" si="36"/>
        <v>268.54782308462387</v>
      </c>
      <c r="AP45" s="16">
        <f>IF(ISNA(VLOOKUP(A45,'Données projet'!$A$61:$I$81,3,0)),0,VLOOKUP(A45,'Données projet'!$A$61:$I$81,3,0))</f>
        <v>6</v>
      </c>
      <c r="AQ45" s="16">
        <f>IF(ISNA(VLOOKUP(A45,'Données projet'!$A$61:$I$81,4,0)),0,VLOOKUP(A45,'Données projet'!$A$61:$I$81,4,0))</f>
        <v>67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6.5106464510283226</v>
      </c>
      <c r="AW45" s="23">
        <f>EXP(-LN(2)/2)*AW44+(1-EXP(-LN(2)/2))/(LN(2)/2)*AQ45*AT45*VLOOKUP('Données projet'!$B$10,Paramètres!$A$1:$I$89,3,0)*0.475*44/12</f>
        <v>0.1976400375107526</v>
      </c>
      <c r="AX45" s="23">
        <f t="shared" si="6"/>
        <v>6.7082864885390752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335.02307692307687</v>
      </c>
      <c r="BB45" s="13">
        <f>VLOOKUP(A45,'Données projet'!$A$87:$I$107,9,0)</f>
        <v>14.690384615384611</v>
      </c>
      <c r="BC45" s="13">
        <f t="array" ref="BC45">INDEX(BB:BB,MIN(IF(ISNUMBER(BB45:BB241),ROW(BB45:BB241),"")))</f>
        <v>14.690384615384611</v>
      </c>
      <c r="BD45" s="13">
        <f>IF('Données projet'!$A$88&gt;35,BD44+BC45-BL44,IF(A45&lt;'Données projet'!$A$88,$BA$205^A45,IF(A45='Données projet'!$A$88,'Données projet'!$B$88,BD44+BC45-BL44)))</f>
        <v>335.02307692307693</v>
      </c>
      <c r="BE45" s="14">
        <f>BD45*VLOOKUP('Données projet'!$B$11,Paramètres!$A$1:$I$89,3,0)*VLOOKUP('Données projet'!$B$11,Paramètres!$A$1:$I$89,5,0)</f>
        <v>156.79079999999999</v>
      </c>
      <c r="BF45" s="14">
        <f t="shared" si="37"/>
        <v>40.117820037225911</v>
      </c>
      <c r="BG45" s="22">
        <f t="shared" si="7"/>
        <v>342.94917989816844</v>
      </c>
      <c r="BH45" s="62">
        <f t="shared" si="8"/>
        <v>636.28251323150175</v>
      </c>
      <c r="BI45" s="62">
        <f ca="1">AVERAGE(OFFSET($BH$3,0,0,'Données projet'!$E$11+1,1))-AVERAGE(OFFSET($H$3,0,0,'Données projet'!$E$11+1,1))</f>
        <v>183.46485104601493</v>
      </c>
      <c r="BJ45" s="62">
        <f t="shared" si="38"/>
        <v>127.47790120677581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104.98461538461535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13.8</v>
      </c>
      <c r="BY45" s="13">
        <f>IF('Données projet'!$A$114&gt;35,BY44+BX45-CG44,IF(A45&lt;'Données projet'!$A$114,$BV$205^A45,IF(A45='Données projet'!$A$114,'Données projet'!$B$114,BY44+BX45-CG44)))</f>
        <v>241.59999999999997</v>
      </c>
      <c r="BZ45" s="14">
        <f>BY45*VLOOKUP('Données projet'!$B$12,Paramètres!$A$1:$I$89,3,0)*VLOOKUP('Données projet'!$B$12,Paramètres!$A$1:$I$89,5,0)</f>
        <v>138.1952</v>
      </c>
      <c r="CA45" s="14">
        <f t="shared" si="39"/>
        <v>35.883239453452433</v>
      </c>
      <c r="CB45" s="22">
        <f t="shared" si="10"/>
        <v>303.18661538142965</v>
      </c>
      <c r="CC45" s="62">
        <f t="shared" si="11"/>
        <v>596.5199487147629</v>
      </c>
      <c r="CD45" s="62">
        <f ca="1">AVERAGE(OFFSET($CC$3,0,0,'Données projet'!$E$12+1,1))-AVERAGE(OFFSET($H$3,0,0,'Données projet'!$E$12+1,1))</f>
        <v>228.06050741667258</v>
      </c>
      <c r="CE45" s="62">
        <f t="shared" si="40"/>
        <v>191.94885821983536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6.6183766984872809</v>
      </c>
      <c r="CM45" s="23">
        <f>EXP(-LN(2)/2)*CM44+(1-EXP(-LN(2)/2))/(LN(2)/2)*CG45*CJ45*VLOOKUP('Données projet'!$B$12,Paramètres!$A$1:$I$89,3,0)*0.475*44/12</f>
        <v>0.20093091175351208</v>
      </c>
      <c r="CN45" s="24">
        <f t="shared" si="12"/>
        <v>6.8193076102407932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285.79999999999995</v>
      </c>
      <c r="CU45" s="18">
        <f>CT45*VLOOKUP('Données projet'!$B$13,Paramètres!$A$1:$I$89,3,0)*VLOOKUP('Données projet'!$B$13,Paramètres!$A$1:$I$89,5,0)</f>
        <v>227.38247999999999</v>
      </c>
      <c r="CV45" s="14">
        <f t="shared" si="41"/>
        <v>55.716336044770017</v>
      </c>
      <c r="CW45" s="22">
        <f t="shared" si="13"/>
        <v>493.06377127797441</v>
      </c>
      <c r="CX45" s="62">
        <f t="shared" si="14"/>
        <v>786.39710461130767</v>
      </c>
      <c r="CY45" s="62">
        <f ca="1">AVERAGE(OFFSET($CX$3,0,0,'Données projet'!$E$13+1,1))-AVERAGE(OFFSET($H$3,0,0,'Données projet'!$E$13+1,1))</f>
        <v>343.37244130003143</v>
      </c>
      <c r="CZ45" s="62">
        <f t="shared" si="42"/>
        <v>318.38876834819763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212.60000000000002</v>
      </c>
      <c r="DP45" s="18">
        <f>DO45*VLOOKUP('Données projet'!$B$14,Paramètres!$A$1:$I$89,3,0)*VLOOKUP('Données projet'!$B$14,Paramètres!$A$1:$I$89,5,0)</f>
        <v>155.87832000000003</v>
      </c>
      <c r="DQ45" s="14">
        <f t="shared" si="43"/>
        <v>39.911451633481022</v>
      </c>
      <c r="DR45" s="22">
        <f t="shared" si="16"/>
        <v>341.00051892831283</v>
      </c>
      <c r="DS45" s="62">
        <f t="shared" si="17"/>
        <v>634.33385226164614</v>
      </c>
      <c r="DT45" s="62">
        <f ca="1">AVERAGE(OFFSET($DS$3,0,0,'Données projet'!$E$14+1,1))-AVERAGE(OFFSET($H$3,0,0,'Données projet'!$E$14+1,1))</f>
        <v>263.81634201637729</v>
      </c>
      <c r="DU45" s="62">
        <f t="shared" si="44"/>
        <v>302.03767435507262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25.166666666666668</v>
      </c>
      <c r="N46" s="14">
        <f>IF('Données projet'!$A$36&gt;35,N45+M46-V45,IF(A46&lt;'Données projet'!$A$36,$K$205^A46,IF(A46='Données projet'!$A$36,'Données projet'!$B$36,N45+M46-V45)))</f>
        <v>475.16666666666652</v>
      </c>
      <c r="O46" s="14">
        <f>N46*VLOOKUP('Données projet'!$B$9,Paramètres!$A$1:$I$89,3,0)*VLOOKUP('Données projet'!$B$9,Paramètres!$A$1:$I$89,5,0)</f>
        <v>265.61816666666658</v>
      </c>
      <c r="P46" s="14">
        <f t="shared" si="33"/>
        <v>63.918449963047308</v>
      </c>
      <c r="Q46" s="22">
        <f t="shared" si="53"/>
        <v>573.94294063008499</v>
      </c>
      <c r="R46" s="62">
        <f t="shared" si="0"/>
        <v>867.27627396341836</v>
      </c>
      <c r="S46" s="62">
        <f ca="1">AVERAGE(OFFSET($R$3,0,0,'Données projet'!$E$9+1,1))-AVERAGE(OFFSET($H$3,0,0,'Données projet'!$E$9+1,1))</f>
        <v>322.63846641467165</v>
      </c>
      <c r="T46" s="62">
        <f t="shared" si="34"/>
        <v>435.17386576419966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14.314651101169089</v>
      </c>
      <c r="AB46" s="23">
        <f>EXP(-LN(2)/2)*AB45+(1-EXP(-LN(2)/2))/(LN(2)/2)*V46*Y46*VLOOKUP('Données projet'!$B$9,Paramètres!$A$1:$I$89,3,0)*0.475*44/12</f>
        <v>3.2287163021555536E-2</v>
      </c>
      <c r="AC46" s="24">
        <f t="shared" si="3"/>
        <v>14.346938264190644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10.666666666666666</v>
      </c>
      <c r="AI46" s="14">
        <f>IF('Données projet'!$A$62&gt;35,AI45+AH46-AQ45,IF(A46&lt;'Données projet'!$A$62,$AF$205^A46,IF(A46='Données projet'!$A$62,'Données projet'!$B$62,AI45+AH46-AQ45)))</f>
        <v>198.66666666666669</v>
      </c>
      <c r="AJ46" s="14">
        <f>AI46*VLOOKUP('Données projet'!$B$10,Paramètres!$A$1:$I$89,3,0)*VLOOKUP('Données projet'!$B$10,Paramètres!$A$1:$I$89,5,0)</f>
        <v>123.968</v>
      </c>
      <c r="AK46" s="14">
        <f t="shared" si="35"/>
        <v>32.598710622532096</v>
      </c>
      <c r="AL46" s="22">
        <f t="shared" si="4"/>
        <v>272.68702100091008</v>
      </c>
      <c r="AM46" s="62">
        <f t="shared" si="5"/>
        <v>566.02035433424339</v>
      </c>
      <c r="AN46" s="62">
        <f ca="1">AVERAGE(OFFSET($AM$3,0,0,'Données projet'!$E$10+1,1))-AVERAGE(OFFSET($H$3,0,0,'Données projet'!$E$10+1,1))</f>
        <v>175.05987582828078</v>
      </c>
      <c r="AO46" s="62">
        <f t="shared" si="36"/>
        <v>268.54782308462387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6.3326124814449365</v>
      </c>
      <c r="AW46" s="23">
        <f>EXP(-LN(2)/2)*AW45+(1-EXP(-LN(2)/2))/(LN(2)/2)*AQ46*AT46*VLOOKUP('Données projet'!$B$10,Paramètres!$A$1:$I$89,3,0)*0.475*44/12</f>
        <v>0.13975261075781678</v>
      </c>
      <c r="AX46" s="23">
        <f t="shared" si="6"/>
        <v>6.4723650922027529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14.989423076923078</v>
      </c>
      <c r="BD46" s="13">
        <f>IF('Données projet'!$A$88&gt;35,BD45+BC46-BL45,IF(A46&lt;'Données projet'!$A$88,$BA$205^A46,IF(A46='Données projet'!$A$88,'Données projet'!$B$88,BD45+BC46-BL45)))</f>
        <v>245.02788461538464</v>
      </c>
      <c r="BE46" s="14">
        <f>BD46*VLOOKUP('Données projet'!$B$11,Paramètres!$A$1:$I$89,3,0)*VLOOKUP('Données projet'!$B$11,Paramètres!$A$1:$I$89,5,0)</f>
        <v>114.67305</v>
      </c>
      <c r="BF46" s="14">
        <f t="shared" si="37"/>
        <v>30.429311489148546</v>
      </c>
      <c r="BG46" s="22">
        <f t="shared" si="7"/>
        <v>252.71994626026705</v>
      </c>
      <c r="BH46" s="62">
        <f t="shared" si="8"/>
        <v>546.05327959360034</v>
      </c>
      <c r="BI46" s="62">
        <f ca="1">AVERAGE(OFFSET($BH$3,0,0,'Données projet'!$E$11+1,1))-AVERAGE(OFFSET($H$3,0,0,'Données projet'!$E$11+1,1))</f>
        <v>183.46485104601493</v>
      </c>
      <c r="BJ46" s="62">
        <f t="shared" si="38"/>
        <v>127.47790120677581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13.8</v>
      </c>
      <c r="BY46" s="13">
        <f>IF('Données projet'!$A$114&gt;35,BY45+BX46-CG45,IF(A46&lt;'Données projet'!$A$114,$BV$205^A46,IF(A46='Données projet'!$A$114,'Données projet'!$B$114,BY45+BX46-CG45)))</f>
        <v>255.39999999999998</v>
      </c>
      <c r="BZ46" s="14">
        <f>BY46*VLOOKUP('Données projet'!$B$12,Paramètres!$A$1:$I$89,3,0)*VLOOKUP('Données projet'!$B$12,Paramètres!$A$1:$I$89,5,0)</f>
        <v>146.08879999999999</v>
      </c>
      <c r="CA46" s="14">
        <f t="shared" si="39"/>
        <v>37.688389267810216</v>
      </c>
      <c r="CB46" s="22">
        <f t="shared" si="10"/>
        <v>320.07860464143613</v>
      </c>
      <c r="CC46" s="62">
        <f t="shared" si="11"/>
        <v>613.41193797476944</v>
      </c>
      <c r="CD46" s="62">
        <f ca="1">AVERAGE(OFFSET($CC$3,0,0,'Données projet'!$E$12+1,1))-AVERAGE(OFFSET($H$3,0,0,'Données projet'!$E$12+1,1))</f>
        <v>228.06050741667258</v>
      </c>
      <c r="CE46" s="62">
        <f t="shared" si="40"/>
        <v>191.94885821983536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6.4373968396218419</v>
      </c>
      <c r="CM46" s="23">
        <f>EXP(-LN(2)/2)*CM45+(1-EXP(-LN(2)/2))/(LN(2)/2)*CG46*CJ46*VLOOKUP('Données projet'!$B$12,Paramètres!$A$1:$I$89,3,0)*0.475*44/12</f>
        <v>0.14207961025090415</v>
      </c>
      <c r="CN46" s="24">
        <f t="shared" si="12"/>
        <v>6.5794764498727458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297.19999999999993</v>
      </c>
      <c r="CU46" s="18">
        <f>CT46*VLOOKUP('Données projet'!$B$13,Paramètres!$A$1:$I$89,3,0)*VLOOKUP('Données projet'!$B$13,Paramètres!$A$1:$I$89,5,0)</f>
        <v>236.45231999999996</v>
      </c>
      <c r="CV46" s="14">
        <f t="shared" si="41"/>
        <v>57.675569530260624</v>
      </c>
      <c r="CW46" s="22">
        <f t="shared" si="13"/>
        <v>512.27274093187054</v>
      </c>
      <c r="CX46" s="62">
        <f t="shared" si="14"/>
        <v>805.60607426520392</v>
      </c>
      <c r="CY46" s="62">
        <f ca="1">AVERAGE(OFFSET($CX$3,0,0,'Données projet'!$E$13+1,1))-AVERAGE(OFFSET($H$3,0,0,'Données projet'!$E$13+1,1))</f>
        <v>343.37244130003143</v>
      </c>
      <c r="CZ46" s="62">
        <f t="shared" si="42"/>
        <v>318.38876834819763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222.40000000000003</v>
      </c>
      <c r="DP46" s="18">
        <f>DO46*VLOOKUP('Données projet'!$B$14,Paramètres!$A$1:$I$89,3,0)*VLOOKUP('Données projet'!$B$14,Paramètres!$A$1:$I$89,5,0)</f>
        <v>163.06368000000001</v>
      </c>
      <c r="DQ46" s="14">
        <f t="shared" si="43"/>
        <v>41.532772330984628</v>
      </c>
      <c r="DR46" s="22">
        <f t="shared" si="16"/>
        <v>356.33882114313155</v>
      </c>
      <c r="DS46" s="62">
        <f t="shared" si="17"/>
        <v>649.67215447646481</v>
      </c>
      <c r="DT46" s="62">
        <f ca="1">AVERAGE(OFFSET($DS$3,0,0,'Données projet'!$E$14+1,1))-AVERAGE(OFFSET($H$3,0,0,'Données projet'!$E$14+1,1))</f>
        <v>263.81634201637729</v>
      </c>
      <c r="DU46" s="62">
        <f t="shared" si="44"/>
        <v>302.03767435507262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25.166666666666668</v>
      </c>
      <c r="N47" s="14">
        <f>IF('Données projet'!$A$36&gt;35,N46+M47-V46,IF(A47&lt;'Données projet'!$A$36,$K$205^A47,IF(A47='Données projet'!$A$36,'Données projet'!$B$36,N46+M47-V46)))</f>
        <v>500.3333333333332</v>
      </c>
      <c r="O47" s="14">
        <f>N47*VLOOKUP('Données projet'!$B$9,Paramètres!$A$1:$I$89,3,0)*VLOOKUP('Données projet'!$B$9,Paramètres!$A$1:$I$89,5,0)</f>
        <v>279.68633333333327</v>
      </c>
      <c r="P47" s="14">
        <f t="shared" si="33"/>
        <v>66.900717774032884</v>
      </c>
      <c r="Q47" s="22">
        <f t="shared" si="53"/>
        <v>603.63911401199607</v>
      </c>
      <c r="R47" s="62">
        <f t="shared" si="0"/>
        <v>896.97244734532933</v>
      </c>
      <c r="S47" s="62">
        <f ca="1">AVERAGE(OFFSET($R$3,0,0,'Données projet'!$E$9+1,1))-AVERAGE(OFFSET($H$3,0,0,'Données projet'!$E$9+1,1))</f>
        <v>322.63846641467165</v>
      </c>
      <c r="T47" s="62">
        <f t="shared" si="34"/>
        <v>435.17386576419966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13.923216214032836</v>
      </c>
      <c r="AB47" s="23">
        <f>EXP(-LN(2)/2)*AB46+(1-EXP(-LN(2)/2))/(LN(2)/2)*V47*Y47*VLOOKUP('Données projet'!$B$9,Paramètres!$A$1:$I$89,3,0)*0.475*44/12</f>
        <v>2.2830471917817459E-2</v>
      </c>
      <c r="AC47" s="24">
        <f t="shared" si="3"/>
        <v>13.946046685950654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10.666666666666666</v>
      </c>
      <c r="AI47" s="14">
        <f>IF('Données projet'!$A$62&gt;35,AI46+AH47-AQ46,IF(A47&lt;'Données projet'!$A$62,$AF$205^A47,IF(A47='Données projet'!$A$62,'Données projet'!$B$62,AI46+AH47-AQ46)))</f>
        <v>209.33333333333334</v>
      </c>
      <c r="AJ47" s="14">
        <f>AI47*VLOOKUP('Données projet'!$B$10,Paramètres!$A$1:$I$89,3,0)*VLOOKUP('Données projet'!$B$10,Paramètres!$A$1:$I$89,5,0)</f>
        <v>130.62400000000002</v>
      </c>
      <c r="AK47" s="14">
        <f t="shared" si="35"/>
        <v>34.140507202645395</v>
      </c>
      <c r="AL47" s="22">
        <f t="shared" si="4"/>
        <v>286.96485004460743</v>
      </c>
      <c r="AM47" s="62">
        <f t="shared" si="5"/>
        <v>580.29818337794075</v>
      </c>
      <c r="AN47" s="62">
        <f ca="1">AVERAGE(OFFSET($AM$3,0,0,'Données projet'!$E$10+1,1))-AVERAGE(OFFSET($H$3,0,0,'Données projet'!$E$10+1,1))</f>
        <v>175.05987582828078</v>
      </c>
      <c r="AO47" s="62">
        <f t="shared" si="36"/>
        <v>268.54782308462387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6.1594468601222081</v>
      </c>
      <c r="AW47" s="23">
        <f>EXP(-LN(2)/2)*AW46+(1-EXP(-LN(2)/2))/(LN(2)/2)*AQ47*AT47*VLOOKUP('Données projet'!$B$10,Paramètres!$A$1:$I$89,3,0)*0.475*44/12</f>
        <v>9.8820018755376299E-2</v>
      </c>
      <c r="AX47" s="23">
        <f t="shared" si="6"/>
        <v>6.2582668788775848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14.989423076923078</v>
      </c>
      <c r="BD47" s="13">
        <f>IF('Données projet'!$A$88&gt;35,BD46+BC47-BL46,IF(A47&lt;'Données projet'!$A$88,$BA$205^A47,IF(A47='Données projet'!$A$88,'Données projet'!$B$88,BD46+BC47-BL46)))</f>
        <v>260.01730769230772</v>
      </c>
      <c r="BE47" s="14">
        <f>BD47*VLOOKUP('Données projet'!$B$11,Paramètres!$A$1:$I$89,3,0)*VLOOKUP('Données projet'!$B$11,Paramètres!$A$1:$I$89,5,0)</f>
        <v>121.68810000000002</v>
      </c>
      <c r="BF47" s="14">
        <f t="shared" si="37"/>
        <v>32.068400221328496</v>
      </c>
      <c r="BG47" s="22">
        <f t="shared" si="7"/>
        <v>267.79257121881386</v>
      </c>
      <c r="BH47" s="62">
        <f t="shared" si="8"/>
        <v>561.12590455214718</v>
      </c>
      <c r="BI47" s="62">
        <f ca="1">AVERAGE(OFFSET($BH$3,0,0,'Données projet'!$E$11+1,1))-AVERAGE(OFFSET($H$3,0,0,'Données projet'!$E$11+1,1))</f>
        <v>183.46485104601493</v>
      </c>
      <c r="BJ47" s="62">
        <f t="shared" si="38"/>
        <v>127.47790120677581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13.8</v>
      </c>
      <c r="BY47" s="13">
        <f>IF('Données projet'!$A$114&gt;35,BY46+BX47-CG46,IF(A47&lt;'Données projet'!$A$114,$BV$205^A47,IF(A47='Données projet'!$A$114,'Données projet'!$B$114,BY46+BX47-CG46)))</f>
        <v>269.2</v>
      </c>
      <c r="BZ47" s="14">
        <f>BY47*VLOOKUP('Données projet'!$B$12,Paramètres!$A$1:$I$89,3,0)*VLOOKUP('Données projet'!$B$12,Paramètres!$A$1:$I$89,5,0)</f>
        <v>153.98239999999998</v>
      </c>
      <c r="CA47" s="14">
        <f t="shared" si="39"/>
        <v>39.482215533662355</v>
      </c>
      <c r="CB47" s="22">
        <f t="shared" si="10"/>
        <v>336.95087205446191</v>
      </c>
      <c r="CC47" s="62">
        <f t="shared" si="11"/>
        <v>630.28420538779528</v>
      </c>
      <c r="CD47" s="62">
        <f ca="1">AVERAGE(OFFSET($CC$3,0,0,'Données projet'!$E$12+1,1))-AVERAGE(OFFSET($H$3,0,0,'Données projet'!$E$12+1,1))</f>
        <v>228.06050741667258</v>
      </c>
      <c r="CE47" s="62">
        <f t="shared" si="40"/>
        <v>191.94885821983536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6.2613658845143956</v>
      </c>
      <c r="CM47" s="23">
        <f>EXP(-LN(2)/2)*CM46+(1-EXP(-LN(2)/2))/(LN(2)/2)*CG47*CJ47*VLOOKUP('Données projet'!$B$12,Paramètres!$A$1:$I$89,3,0)*0.475*44/12</f>
        <v>0.10046545587675604</v>
      </c>
      <c r="CN47" s="24">
        <f t="shared" si="12"/>
        <v>6.3618313403911513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308.59999999999991</v>
      </c>
      <c r="CU47" s="18">
        <f>CT47*VLOOKUP('Données projet'!$B$13,Paramètres!$A$1:$I$89,3,0)*VLOOKUP('Données projet'!$B$13,Paramètres!$A$1:$I$89,5,0)</f>
        <v>245.52215999999996</v>
      </c>
      <c r="CV47" s="14">
        <f t="shared" si="41"/>
        <v>59.626072527186594</v>
      </c>
      <c r="CW47" s="22">
        <f t="shared" si="13"/>
        <v>531.46650498484996</v>
      </c>
      <c r="CX47" s="62">
        <f t="shared" si="14"/>
        <v>824.79983831818322</v>
      </c>
      <c r="CY47" s="62">
        <f ca="1">AVERAGE(OFFSET($CX$3,0,0,'Données projet'!$E$13+1,1))-AVERAGE(OFFSET($H$3,0,0,'Données projet'!$E$13+1,1))</f>
        <v>343.37244130003143</v>
      </c>
      <c r="CZ47" s="62">
        <f t="shared" si="42"/>
        <v>318.38876834819763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232.20000000000005</v>
      </c>
      <c r="DP47" s="18">
        <f>DO47*VLOOKUP('Données projet'!$B$14,Paramètres!$A$1:$I$89,3,0)*VLOOKUP('Données projet'!$B$14,Paramètres!$A$1:$I$89,5,0)</f>
        <v>170.24904000000004</v>
      </c>
      <c r="DQ47" s="14">
        <f t="shared" si="43"/>
        <v>43.145795507930117</v>
      </c>
      <c r="DR47" s="22">
        <f t="shared" si="16"/>
        <v>371.6626718429784</v>
      </c>
      <c r="DS47" s="62">
        <f t="shared" si="17"/>
        <v>664.99600517631166</v>
      </c>
      <c r="DT47" s="62">
        <f ca="1">AVERAGE(OFFSET($DS$3,0,0,'Données projet'!$E$14+1,1))-AVERAGE(OFFSET($H$3,0,0,'Données projet'!$E$14+1,1))</f>
        <v>263.81634201637729</v>
      </c>
      <c r="DU47" s="62">
        <f t="shared" si="44"/>
        <v>302.03767435507262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25.166666666666668</v>
      </c>
      <c r="N48" s="14">
        <f>IF('Données projet'!$A$36&gt;35,N47+M48-V47,IF(A48&lt;'Données projet'!$A$36,$K$205^A48,IF(A48='Données projet'!$A$36,'Données projet'!$B$36,N47+M48-V47)))</f>
        <v>525.49999999999989</v>
      </c>
      <c r="O48" s="14">
        <f>N48*VLOOKUP('Données projet'!$B$9,Paramètres!$A$1:$I$89,3,0)*VLOOKUP('Données projet'!$B$9,Paramètres!$A$1:$I$89,5,0)</f>
        <v>293.75449999999995</v>
      </c>
      <c r="P48" s="14">
        <f t="shared" si="33"/>
        <v>69.865567977016994</v>
      </c>
      <c r="Q48" s="22">
        <f t="shared" si="53"/>
        <v>633.3049517266378</v>
      </c>
      <c r="R48" s="62">
        <f t="shared" si="0"/>
        <v>926.63828505997117</v>
      </c>
      <c r="S48" s="62">
        <f ca="1">AVERAGE(OFFSET($R$3,0,0,'Données projet'!$E$9+1,1))-AVERAGE(OFFSET($H$3,0,0,'Données projet'!$E$9+1,1))</f>
        <v>322.63846641467165</v>
      </c>
      <c r="T48" s="62">
        <f t="shared" si="34"/>
        <v>435.17386576419966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13.54248513446999</v>
      </c>
      <c r="AB48" s="23">
        <f>EXP(-LN(2)/2)*AB47+(1-EXP(-LN(2)/2))/(LN(2)/2)*V48*Y48*VLOOKUP('Données projet'!$B$9,Paramètres!$A$1:$I$89,3,0)*0.475*44/12</f>
        <v>1.6143581510777768E-2</v>
      </c>
      <c r="AC48" s="24">
        <f t="shared" si="3"/>
        <v>13.558628715980767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10.666666666666666</v>
      </c>
      <c r="AI48" s="14">
        <f>IF('Données projet'!$A$62&gt;35,AI47+AH48-AQ47,IF(A48&lt;'Données projet'!$A$62,$AF$205^A48,IF(A48='Données projet'!$A$62,'Données projet'!$B$62,AI47+AH48-AQ47)))</f>
        <v>220</v>
      </c>
      <c r="AJ48" s="14">
        <f>AI48*VLOOKUP('Données projet'!$B$10,Paramètres!$A$1:$I$89,3,0)*VLOOKUP('Données projet'!$B$10,Paramètres!$A$1:$I$89,5,0)</f>
        <v>137.28</v>
      </c>
      <c r="AK48" s="14">
        <f t="shared" si="35"/>
        <v>35.673181961873446</v>
      </c>
      <c r="AL48" s="22">
        <f t="shared" si="4"/>
        <v>301.22679191692959</v>
      </c>
      <c r="AM48" s="62">
        <f t="shared" si="5"/>
        <v>594.5601252502629</v>
      </c>
      <c r="AN48" s="62">
        <f ca="1">AVERAGE(OFFSET($AM$3,0,0,'Données projet'!$E$10+1,1))-AVERAGE(OFFSET($H$3,0,0,'Données projet'!$E$10+1,1))</f>
        <v>175.05987582828078</v>
      </c>
      <c r="AO48" s="62">
        <f t="shared" si="36"/>
        <v>268.54782308462387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5.9910164618209336</v>
      </c>
      <c r="AW48" s="23">
        <f>EXP(-LN(2)/2)*AW47+(1-EXP(-LN(2)/2))/(LN(2)/2)*AQ48*AT48*VLOOKUP('Données projet'!$B$10,Paramètres!$A$1:$I$89,3,0)*0.475*44/12</f>
        <v>6.987630537890839E-2</v>
      </c>
      <c r="AX48" s="23">
        <f t="shared" si="6"/>
        <v>6.0608927671998423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14.989423076923078</v>
      </c>
      <c r="BD48" s="13">
        <f>IF('Données projet'!$A$88&gt;35,BD47+BC48-BL47,IF(A48&lt;'Données projet'!$A$88,$BA$205^A48,IF(A48='Données projet'!$A$88,'Données projet'!$B$88,BD47+BC48-BL47)))</f>
        <v>275.00673076923078</v>
      </c>
      <c r="BE48" s="14">
        <f>BD48*VLOOKUP('Données projet'!$B$11,Paramètres!$A$1:$I$89,3,0)*VLOOKUP('Données projet'!$B$11,Paramètres!$A$1:$I$89,5,0)</f>
        <v>128.70315000000002</v>
      </c>
      <c r="BF48" s="14">
        <f t="shared" si="37"/>
        <v>33.696520742668355</v>
      </c>
      <c r="BG48" s="22">
        <f t="shared" si="7"/>
        <v>282.84609321014739</v>
      </c>
      <c r="BH48" s="62">
        <f t="shared" si="8"/>
        <v>576.17942654348076</v>
      </c>
      <c r="BI48" s="62">
        <f ca="1">AVERAGE(OFFSET($BH$3,0,0,'Données projet'!$E$11+1,1))-AVERAGE(OFFSET($H$3,0,0,'Données projet'!$E$11+1,1))</f>
        <v>183.46485104601493</v>
      </c>
      <c r="BJ48" s="62">
        <f t="shared" si="38"/>
        <v>127.47790120677581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283</v>
      </c>
      <c r="BW48" s="13">
        <f>VLOOKUP(A48,'Données projet'!$A$113:$I$133,9,0)</f>
        <v>13.8</v>
      </c>
      <c r="BX48" s="13">
        <f t="array" ref="BX48">INDEX(BW:BW,MIN(IF(ISNUMBER(BW48:BW244),ROW(BW48:BW244),"")))</f>
        <v>13.8</v>
      </c>
      <c r="BY48" s="13">
        <f>IF('Données projet'!$A$114&gt;35,BY47+BX48-CG47,IF(A48&lt;'Données projet'!$A$114,$BV$205^A48,IF(A48='Données projet'!$A$114,'Données projet'!$B$114,BY47+BX48-CG47)))</f>
        <v>283</v>
      </c>
      <c r="BZ48" s="14">
        <f>BY48*VLOOKUP('Données projet'!$B$12,Paramètres!$A$1:$I$89,3,0)*VLOOKUP('Données projet'!$B$12,Paramètres!$A$1:$I$89,5,0)</f>
        <v>161.876</v>
      </c>
      <c r="CA48" s="14">
        <f t="shared" si="39"/>
        <v>41.2653649487576</v>
      </c>
      <c r="CB48" s="22">
        <f t="shared" si="10"/>
        <v>353.80454395241946</v>
      </c>
      <c r="CC48" s="62">
        <f t="shared" si="11"/>
        <v>647.13787728575278</v>
      </c>
      <c r="CD48" s="62">
        <f ca="1">AVERAGE(OFFSET($CC$3,0,0,'Données projet'!$E$12+1,1))-AVERAGE(OFFSET($H$3,0,0,'Données projet'!$E$12+1,1))</f>
        <v>228.06050741667258</v>
      </c>
      <c r="CE48" s="62">
        <f t="shared" si="40"/>
        <v>191.94885821983536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38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6.0901485051314284</v>
      </c>
      <c r="CM48" s="23">
        <f>EXP(-LN(2)/2)*CM47+(1-EXP(-LN(2)/2))/(LN(2)/2)*CG48*CJ48*VLOOKUP('Données projet'!$B$12,Paramètres!$A$1:$I$89,3,0)*0.475*44/12</f>
        <v>7.1039805125452077E-2</v>
      </c>
      <c r="CN48" s="24">
        <f t="shared" si="12"/>
        <v>6.1611883102568807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320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319.99999999999989</v>
      </c>
      <c r="CU48" s="18">
        <f>CT48*VLOOKUP('Données projet'!$B$13,Paramètres!$A$1:$I$89,3,0)*VLOOKUP('Données projet'!$B$13,Paramètres!$A$1:$I$89,5,0)</f>
        <v>254.5919999999999</v>
      </c>
      <c r="CV48" s="14">
        <f t="shared" si="41"/>
        <v>61.568204482621567</v>
      </c>
      <c r="CW48" s="22">
        <f t="shared" si="13"/>
        <v>550.6456894738991</v>
      </c>
      <c r="CX48" s="62">
        <f t="shared" si="14"/>
        <v>843.97902280723247</v>
      </c>
      <c r="CY48" s="62">
        <f ca="1">AVERAGE(OFFSET($CX$3,0,0,'Données projet'!$E$13+1,1))-AVERAGE(OFFSET($H$3,0,0,'Données projet'!$E$13+1,1))</f>
        <v>343.37244130003143</v>
      </c>
      <c r="CZ48" s="62">
        <f t="shared" si="42"/>
        <v>318.38876834819763</v>
      </c>
      <c r="DA48" s="16">
        <f>IF(ISNA(VLOOKUP(A48,'Données projet'!$A$139:$I$159,3,0)),0,VLOOKUP(A48,'Données projet'!$A$139:$I$159,3,0))</f>
        <v>4</v>
      </c>
      <c r="DB48" s="16">
        <f>IF(ISNA(VLOOKUP(A48,'Données projet'!$A$139:$I$159,4,0)),0,VLOOKUP(A48,'Données projet'!$A$139:$I$159,4,0))</f>
        <v>66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242.00000000000006</v>
      </c>
      <c r="DP48" s="18">
        <f>DO48*VLOOKUP('Données projet'!$B$14,Paramètres!$A$1:$I$89,3,0)*VLOOKUP('Données projet'!$B$14,Paramètres!$A$1:$I$89,5,0)</f>
        <v>177.43440000000004</v>
      </c>
      <c r="DQ48" s="14">
        <f t="shared" si="43"/>
        <v>44.750911401641211</v>
      </c>
      <c r="DR48" s="22">
        <f t="shared" si="16"/>
        <v>386.97275069119183</v>
      </c>
      <c r="DS48" s="62">
        <f t="shared" si="17"/>
        <v>680.30608402452515</v>
      </c>
      <c r="DT48" s="62">
        <f ca="1">AVERAGE(OFFSET($DS$3,0,0,'Données projet'!$E$14+1,1))-AVERAGE(OFFSET($H$3,0,0,'Données projet'!$E$14+1,1))</f>
        <v>263.81634201637729</v>
      </c>
      <c r="DU48" s="62">
        <f t="shared" si="44"/>
        <v>302.03767435507262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25.166666666666668</v>
      </c>
      <c r="N49" s="14">
        <f>IF('Données projet'!$A$36&gt;35,N48+M49-V48,IF(A49&lt;'Données projet'!$A$36,$K$205^A49,IF(A49='Données projet'!$A$36,'Données projet'!$B$36,N48+M49-V48)))</f>
        <v>550.66666666666652</v>
      </c>
      <c r="O49" s="14">
        <f>N49*VLOOKUP('Données projet'!$B$9,Paramètres!$A$1:$I$89,3,0)*VLOOKUP('Données projet'!$B$9,Paramètres!$A$1:$I$89,5,0)</f>
        <v>307.82266666666658</v>
      </c>
      <c r="P49" s="14">
        <f t="shared" si="33"/>
        <v>72.813929947417051</v>
      </c>
      <c r="Q49" s="22">
        <f t="shared" si="53"/>
        <v>662.94207243619564</v>
      </c>
      <c r="R49" s="62">
        <f t="shared" si="0"/>
        <v>956.27540576952902</v>
      </c>
      <c r="S49" s="62">
        <f ca="1">AVERAGE(OFFSET($R$3,0,0,'Données projet'!$E$9+1,1))-AVERAGE(OFFSET($H$3,0,0,'Données projet'!$E$9+1,1))</f>
        <v>322.63846641467165</v>
      </c>
      <c r="T49" s="62">
        <f t="shared" si="34"/>
        <v>435.17386576419966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13.172165166299566</v>
      </c>
      <c r="AB49" s="23">
        <f>EXP(-LN(2)/2)*AB48+(1-EXP(-LN(2)/2))/(LN(2)/2)*V49*Y49*VLOOKUP('Données projet'!$B$9,Paramètres!$A$1:$I$89,3,0)*0.475*44/12</f>
        <v>1.1415235958908729E-2</v>
      </c>
      <c r="AC49" s="24">
        <f t="shared" si="3"/>
        <v>13.183580402258475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10.666666666666666</v>
      </c>
      <c r="AI49" s="14">
        <f>IF('Données projet'!$A$62&gt;35,AI48+AH49-AQ48,IF(A49&lt;'Données projet'!$A$62,$AF$205^A49,IF(A49='Données projet'!$A$62,'Données projet'!$B$62,AI48+AH49-AQ48)))</f>
        <v>230.66666666666666</v>
      </c>
      <c r="AJ49" s="14">
        <f>AI49*VLOOKUP('Données projet'!$B$10,Paramètres!$A$1:$I$89,3,0)*VLOOKUP('Données projet'!$B$10,Paramètres!$A$1:$I$89,5,0)</f>
        <v>143.93599999999998</v>
      </c>
      <c r="AK49" s="14">
        <f t="shared" si="35"/>
        <v>37.197227655019397</v>
      </c>
      <c r="AL49" s="22">
        <f t="shared" si="4"/>
        <v>315.47370483249205</v>
      </c>
      <c r="AM49" s="62">
        <f t="shared" si="5"/>
        <v>608.80703816582536</v>
      </c>
      <c r="AN49" s="62">
        <f ca="1">AVERAGE(OFFSET($AM$3,0,0,'Données projet'!$E$10+1,1))-AVERAGE(OFFSET($H$3,0,0,'Données projet'!$E$10+1,1))</f>
        <v>175.05987582828078</v>
      </c>
      <c r="AO49" s="62">
        <f t="shared" si="36"/>
        <v>268.54782308462387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5.8271918016185769</v>
      </c>
      <c r="AW49" s="23">
        <f>EXP(-LN(2)/2)*AW48+(1-EXP(-LN(2)/2))/(LN(2)/2)*AQ49*AT49*VLOOKUP('Données projet'!$B$10,Paramètres!$A$1:$I$89,3,0)*0.475*44/12</f>
        <v>4.9410009377688149E-2</v>
      </c>
      <c r="AX49" s="23">
        <f t="shared" si="6"/>
        <v>5.8766018109962648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14.989423076923078</v>
      </c>
      <c r="BD49" s="13">
        <f>IF('Données projet'!$A$88&gt;35,BD48+BC49-BL48,IF(A49&lt;'Données projet'!$A$88,$BA$205^A49,IF(A49='Données projet'!$A$88,'Données projet'!$B$88,BD48+BC49-BL48)))</f>
        <v>289.99615384615385</v>
      </c>
      <c r="BE49" s="14">
        <f>BD49*VLOOKUP('Données projet'!$B$11,Paramètres!$A$1:$I$89,3,0)*VLOOKUP('Données projet'!$B$11,Paramètres!$A$1:$I$89,5,0)</f>
        <v>135.7182</v>
      </c>
      <c r="BF49" s="14">
        <f t="shared" si="37"/>
        <v>35.314339034341074</v>
      </c>
      <c r="BG49" s="22">
        <f t="shared" si="7"/>
        <v>297.8816721514774</v>
      </c>
      <c r="BH49" s="62">
        <f t="shared" si="8"/>
        <v>591.21500548481072</v>
      </c>
      <c r="BI49" s="62">
        <f ca="1">AVERAGE(OFFSET($BH$3,0,0,'Données projet'!$E$11+1,1))-AVERAGE(OFFSET($H$3,0,0,'Données projet'!$E$11+1,1))</f>
        <v>183.46485104601493</v>
      </c>
      <c r="BJ49" s="62">
        <f t="shared" si="38"/>
        <v>127.47790120677581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13.2</v>
      </c>
      <c r="BY49" s="13">
        <f>IF('Données projet'!$A$114&gt;35,BY48+BX49-CG48,IF(A49&lt;'Données projet'!$A$114,$BV$205^A49,IF(A49='Données projet'!$A$114,'Données projet'!$B$114,BY48+BX49-CG48)))</f>
        <v>258.2</v>
      </c>
      <c r="BZ49" s="14">
        <f>BY49*VLOOKUP('Données projet'!$B$12,Paramètres!$A$1:$I$89,3,0)*VLOOKUP('Données projet'!$B$12,Paramètres!$A$1:$I$89,5,0)</f>
        <v>147.69039999999998</v>
      </c>
      <c r="CA49" s="14">
        <f t="shared" si="39"/>
        <v>38.053247671549173</v>
      </c>
      <c r="CB49" s="22">
        <f t="shared" si="10"/>
        <v>323.50351969461479</v>
      </c>
      <c r="CC49" s="62">
        <f t="shared" si="11"/>
        <v>616.83685302794811</v>
      </c>
      <c r="CD49" s="62">
        <f ca="1">AVERAGE(OFFSET($CC$3,0,0,'Données projet'!$E$12+1,1))-AVERAGE(OFFSET($H$3,0,0,'Données projet'!$E$12+1,1))</f>
        <v>228.06050741667258</v>
      </c>
      <c r="CE49" s="62">
        <f t="shared" si="40"/>
        <v>191.94885821983536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5.9236130739916186</v>
      </c>
      <c r="CM49" s="23">
        <f>EXP(-LN(2)/2)*CM48+(1-EXP(-LN(2)/2))/(LN(2)/2)*CG49*CJ49*VLOOKUP('Données projet'!$B$12,Paramètres!$A$1:$I$89,3,0)*0.475*44/12</f>
        <v>5.0232727938378019E-2</v>
      </c>
      <c r="CN49" s="24">
        <f t="shared" si="12"/>
        <v>5.9738458019299969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9.8000000000000007</v>
      </c>
      <c r="CT49" s="13">
        <f>IF('Données projet'!$A$140&gt;35,CT48+CS49-DB48,IF(A49&lt;'Données projet'!$A$140,$CQ$205^A49,IF(A49='Données projet'!$A$140,'Données projet'!$B$140,CT48+CS49-DB48)))</f>
        <v>263.7999999999999</v>
      </c>
      <c r="CU49" s="18">
        <f>CT49*VLOOKUP('Données projet'!$B$13,Paramètres!$A$1:$I$89,3,0)*VLOOKUP('Données projet'!$B$13,Paramètres!$A$1:$I$89,5,0)</f>
        <v>209.87927999999994</v>
      </c>
      <c r="CV49" s="14">
        <f t="shared" si="41"/>
        <v>51.909204458241767</v>
      </c>
      <c r="CW49" s="22">
        <f t="shared" si="13"/>
        <v>455.94827709810426</v>
      </c>
      <c r="CX49" s="62">
        <f t="shared" si="14"/>
        <v>749.28161043143757</v>
      </c>
      <c r="CY49" s="62">
        <f ca="1">AVERAGE(OFFSET($CX$3,0,0,'Données projet'!$E$13+1,1))-AVERAGE(OFFSET($H$3,0,0,'Données projet'!$E$13+1,1))</f>
        <v>343.37244130003143</v>
      </c>
      <c r="CZ49" s="62">
        <f t="shared" si="42"/>
        <v>318.38876834819763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8.6</v>
      </c>
      <c r="DO49" s="13">
        <f>IF('Données projet'!$A$166&gt;35,DO48+DN49-DW48,IF(A49&lt;'Données projet'!$A$166,$DL$205^A49,IF(A49='Données projet'!$A$166,'Données projet'!$B$166,DO48+DN49-DW48)))</f>
        <v>250.60000000000005</v>
      </c>
      <c r="DP49" s="18">
        <f>DO49*VLOOKUP('Données projet'!$B$14,Paramètres!$A$1:$I$89,3,0)*VLOOKUP('Données projet'!$B$14,Paramètres!$A$1:$I$89,5,0)</f>
        <v>183.73992000000001</v>
      </c>
      <c r="DQ49" s="14">
        <f t="shared" si="43"/>
        <v>46.153250992914103</v>
      </c>
      <c r="DR49" s="22">
        <f t="shared" si="16"/>
        <v>400.39727281265874</v>
      </c>
      <c r="DS49" s="62">
        <f t="shared" si="17"/>
        <v>693.73060614599206</v>
      </c>
      <c r="DT49" s="62">
        <f ca="1">AVERAGE(OFFSET($DS$3,0,0,'Données projet'!$E$14+1,1))-AVERAGE(OFFSET($H$3,0,0,'Données projet'!$E$14+1,1))</f>
        <v>263.81634201637729</v>
      </c>
      <c r="DU49" s="62">
        <f t="shared" si="44"/>
        <v>302.03767435507262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25.166666666666668</v>
      </c>
      <c r="N50" s="14">
        <f>IF('Données projet'!$A$36&gt;35,N49+M50-V49,IF(A50&lt;'Données projet'!$A$36,$K$205^A50,IF(A50='Données projet'!$A$36,'Données projet'!$B$36,N49+M50-V49)))</f>
        <v>575.83333333333314</v>
      </c>
      <c r="O50" s="14">
        <f>N50*VLOOKUP('Données projet'!$B$9,Paramètres!$A$1:$I$89,3,0)*VLOOKUP('Données projet'!$B$9,Paramètres!$A$1:$I$89,5,0)</f>
        <v>321.89083333333321</v>
      </c>
      <c r="P50" s="14">
        <f t="shared" si="33"/>
        <v>75.746643310063419</v>
      </c>
      <c r="Q50" s="22">
        <f t="shared" si="53"/>
        <v>692.55193848724912</v>
      </c>
      <c r="R50" s="62">
        <f t="shared" si="0"/>
        <v>985.88527182058237</v>
      </c>
      <c r="S50" s="62">
        <f ca="1">AVERAGE(OFFSET($R$3,0,0,'Données projet'!$E$9+1,1))-AVERAGE(OFFSET($H$3,0,0,'Données projet'!$E$9+1,1))</f>
        <v>322.63846641467165</v>
      </c>
      <c r="T50" s="62">
        <f t="shared" si="34"/>
        <v>435.17386576419966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12.811971617133043</v>
      </c>
      <c r="AB50" s="23">
        <f>EXP(-LN(2)/2)*AB49+(1-EXP(-LN(2)/2))/(LN(2)/2)*V50*Y50*VLOOKUP('Données projet'!$B$9,Paramètres!$A$1:$I$89,3,0)*0.475*44/12</f>
        <v>8.071790755388884E-3</v>
      </c>
      <c r="AC50" s="24">
        <f t="shared" si="3"/>
        <v>12.820043407888432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10.666666666666666</v>
      </c>
      <c r="AI50" s="14">
        <f>IF('Données projet'!$A$62&gt;35,AI49+AH50-AQ49,IF(A50&lt;'Données projet'!$A$62,$AF$205^A50,IF(A50='Données projet'!$A$62,'Données projet'!$B$62,AI49+AH50-AQ49)))</f>
        <v>241.33333333333331</v>
      </c>
      <c r="AJ50" s="14">
        <f>AI50*VLOOKUP('Données projet'!$B$10,Paramètres!$A$1:$I$89,3,0)*VLOOKUP('Données projet'!$B$10,Paramètres!$A$1:$I$89,5,0)</f>
        <v>150.59199999999998</v>
      </c>
      <c r="AK50" s="14">
        <f t="shared" si="35"/>
        <v>38.713088888505631</v>
      </c>
      <c r="AL50" s="22">
        <f t="shared" si="4"/>
        <v>329.70636314748066</v>
      </c>
      <c r="AM50" s="62">
        <f t="shared" si="5"/>
        <v>623.03969648081397</v>
      </c>
      <c r="AN50" s="62">
        <f ca="1">AVERAGE(OFFSET($AM$3,0,0,'Données projet'!$E$10+1,1))-AVERAGE(OFFSET($H$3,0,0,'Données projet'!$E$10+1,1))</f>
        <v>175.05987582828078</v>
      </c>
      <c r="AO50" s="62">
        <f t="shared" si="36"/>
        <v>268.54782308462387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5.6678469353646186</v>
      </c>
      <c r="AW50" s="23">
        <f>EXP(-LN(2)/2)*AW49+(1-EXP(-LN(2)/2))/(LN(2)/2)*AQ50*AT50*VLOOKUP('Données projet'!$B$10,Paramètres!$A$1:$I$89,3,0)*0.475*44/12</f>
        <v>3.4938152689454195E-2</v>
      </c>
      <c r="AX50" s="23">
        <f t="shared" si="6"/>
        <v>5.7027850880540729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14.989423076923078</v>
      </c>
      <c r="BD50" s="13">
        <f>IF('Données projet'!$A$88&gt;35,BD49+BC50-BL49,IF(A50&lt;'Données projet'!$A$88,$BA$205^A50,IF(A50='Données projet'!$A$88,'Données projet'!$B$88,BD49+BC50-BL49)))</f>
        <v>304.98557692307691</v>
      </c>
      <c r="BE50" s="14">
        <f>BD50*VLOOKUP('Données projet'!$B$11,Paramètres!$A$1:$I$89,3,0)*VLOOKUP('Données projet'!$B$11,Paramètres!$A$1:$I$89,5,0)</f>
        <v>142.73325</v>
      </c>
      <c r="BF50" s="14">
        <f t="shared" si="37"/>
        <v>36.922448341951835</v>
      </c>
      <c r="BG50" s="22">
        <f t="shared" si="7"/>
        <v>312.90034127889948</v>
      </c>
      <c r="BH50" s="62">
        <f t="shared" si="8"/>
        <v>606.23367461223279</v>
      </c>
      <c r="BI50" s="62">
        <f ca="1">AVERAGE(OFFSET($BH$3,0,0,'Données projet'!$E$11+1,1))-AVERAGE(OFFSET($H$3,0,0,'Données projet'!$E$11+1,1))</f>
        <v>183.46485104601493</v>
      </c>
      <c r="BJ50" s="62">
        <f t="shared" si="38"/>
        <v>127.47790120677581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13.2</v>
      </c>
      <c r="BY50" s="13">
        <f>IF('Données projet'!$A$114&gt;35,BY49+BX50-CG49,IF(A50&lt;'Données projet'!$A$114,$BV$205^A50,IF(A50='Données projet'!$A$114,'Données projet'!$B$114,BY49+BX50-CG49)))</f>
        <v>271.39999999999998</v>
      </c>
      <c r="BZ50" s="14">
        <f>BY50*VLOOKUP('Données projet'!$B$12,Paramètres!$A$1:$I$89,3,0)*VLOOKUP('Données projet'!$B$12,Paramètres!$A$1:$I$89,5,0)</f>
        <v>155.24080000000001</v>
      </c>
      <c r="CA50" s="14">
        <f t="shared" si="39"/>
        <v>39.767185348358026</v>
      </c>
      <c r="CB50" s="22">
        <f t="shared" si="10"/>
        <v>339.63890781505688</v>
      </c>
      <c r="CC50" s="62">
        <f t="shared" si="11"/>
        <v>632.97224114839014</v>
      </c>
      <c r="CD50" s="62">
        <f ca="1">AVERAGE(OFFSET($CC$3,0,0,'Données projet'!$E$12+1,1))-AVERAGE(OFFSET($H$3,0,0,'Données projet'!$E$12+1,1))</f>
        <v>228.06050741667258</v>
      </c>
      <c r="CE50" s="62">
        <f t="shared" si="40"/>
        <v>191.94885821983536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5.7616315629740447</v>
      </c>
      <c r="CM50" s="23">
        <f>EXP(-LN(2)/2)*CM49+(1-EXP(-LN(2)/2))/(LN(2)/2)*CG50*CJ50*VLOOKUP('Données projet'!$B$12,Paramètres!$A$1:$I$89,3,0)*0.475*44/12</f>
        <v>3.5519902562726038E-2</v>
      </c>
      <c r="CN50" s="24">
        <f t="shared" si="12"/>
        <v>5.7971514655367704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9.8000000000000007</v>
      </c>
      <c r="CT50" s="13">
        <f>IF('Données projet'!$A$140&gt;35,CT49+CS50-DB49,IF(A50&lt;'Données projet'!$A$140,$CQ$205^A50,IF(A50='Données projet'!$A$140,'Données projet'!$B$140,CT49+CS50-DB49)))</f>
        <v>273.59999999999991</v>
      </c>
      <c r="CU50" s="18">
        <f>CT50*VLOOKUP('Données projet'!$B$13,Paramètres!$A$1:$I$89,3,0)*VLOOKUP('Données projet'!$B$13,Paramètres!$A$1:$I$89,5,0)</f>
        <v>217.67615999999992</v>
      </c>
      <c r="CV50" s="14">
        <f t="shared" si="41"/>
        <v>53.609498850196708</v>
      </c>
      <c r="CW50" s="22">
        <f t="shared" si="13"/>
        <v>472.48918916409235</v>
      </c>
      <c r="CX50" s="62">
        <f t="shared" si="14"/>
        <v>765.82252249742567</v>
      </c>
      <c r="CY50" s="62">
        <f ca="1">AVERAGE(OFFSET($CX$3,0,0,'Données projet'!$E$13+1,1))-AVERAGE(OFFSET($H$3,0,0,'Données projet'!$E$13+1,1))</f>
        <v>343.37244130003143</v>
      </c>
      <c r="CZ50" s="62">
        <f t="shared" si="42"/>
        <v>318.38876834819763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8.6</v>
      </c>
      <c r="DO50" s="13">
        <f>IF('Données projet'!$A$166&gt;35,DO49+DN50-DW49,IF(A50&lt;'Données projet'!$A$166,$DL$205^A50,IF(A50='Données projet'!$A$166,'Données projet'!$B$166,DO49+DN50-DW49)))</f>
        <v>259.20000000000005</v>
      </c>
      <c r="DP50" s="18">
        <f>DO50*VLOOKUP('Données projet'!$B$14,Paramètres!$A$1:$I$89,3,0)*VLOOKUP('Données projet'!$B$14,Paramètres!$A$1:$I$89,5,0)</f>
        <v>190.04544000000001</v>
      </c>
      <c r="DQ50" s="14">
        <f t="shared" si="43"/>
        <v>47.549998850241536</v>
      </c>
      <c r="DR50" s="22">
        <f t="shared" si="16"/>
        <v>413.81205599750405</v>
      </c>
      <c r="DS50" s="62">
        <f t="shared" si="17"/>
        <v>707.14538933083736</v>
      </c>
      <c r="DT50" s="62">
        <f ca="1">AVERAGE(OFFSET($DS$3,0,0,'Données projet'!$E$14+1,1))-AVERAGE(OFFSET($H$3,0,0,'Données projet'!$E$14+1,1))</f>
        <v>263.81634201637729</v>
      </c>
      <c r="DU50" s="62">
        <f t="shared" si="44"/>
        <v>302.03767435507262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601</v>
      </c>
      <c r="L51" s="13">
        <f>VLOOKUP(A51,'Données projet'!$A$35:$I$55,9,0)</f>
        <v>25.166666666666668</v>
      </c>
      <c r="M51" s="13">
        <f t="array" ref="M51">INDEX(L:L,MIN(IF(ISNUMBER(L51:L247),ROW(L51:L247),"")))</f>
        <v>25.166666666666668</v>
      </c>
      <c r="N51" s="14">
        <f>IF('Données projet'!$A$36&gt;35,N50+M51-V50,IF(A51&lt;'Données projet'!$A$36,$K$205^A51,IF(A51='Données projet'!$A$36,'Données projet'!$B$36,N50+M51-V50)))</f>
        <v>600.99999999999977</v>
      </c>
      <c r="O51" s="14">
        <f>N51*VLOOKUP('Données projet'!$B$9,Paramètres!$A$1:$I$89,3,0)*VLOOKUP('Données projet'!$B$9,Paramètres!$A$1:$I$89,5,0)</f>
        <v>335.95899999999989</v>
      </c>
      <c r="P51" s="14">
        <f t="shared" si="33"/>
        <v>78.664470148496989</v>
      </c>
      <c r="Q51" s="22">
        <f t="shared" si="53"/>
        <v>722.13587717529879</v>
      </c>
      <c r="R51" s="62">
        <f t="shared" si="0"/>
        <v>1015.4692105086322</v>
      </c>
      <c r="S51" s="62">
        <f ca="1">AVERAGE(OFFSET($R$3,0,0,'Données projet'!$E$9+1,1))-AVERAGE(OFFSET($H$3,0,0,'Données projet'!$E$9+1,1))</f>
        <v>322.63846641467165</v>
      </c>
      <c r="T51" s="62">
        <f t="shared" si="34"/>
        <v>435.17386576419966</v>
      </c>
      <c r="U51" s="16">
        <f>IF(ISNA(VLOOKUP(A51,'Données projet'!$A$35:$I$55,3,0)),0,VLOOKUP(A51,'Données projet'!$A$35:$I$55,3,0))</f>
        <v>6</v>
      </c>
      <c r="V51" s="16">
        <f>IF(ISNA(VLOOKUP(A51,'Données projet'!$A$35:$I$55,4,0)),0,VLOOKUP(A51,'Données projet'!$A$35:$I$55,4,0))</f>
        <v>102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12.461627579510235</v>
      </c>
      <c r="AB51" s="23">
        <f>EXP(-LN(2)/2)*AB50+(1-EXP(-LN(2)/2))/(LN(2)/2)*V51*Y51*VLOOKUP('Données projet'!$B$9,Paramètres!$A$1:$I$89,3,0)*0.475*44/12</f>
        <v>5.7076179794543647E-3</v>
      </c>
      <c r="AC51" s="24">
        <f t="shared" si="3"/>
        <v>12.467335197489689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252</v>
      </c>
      <c r="AG51" s="13">
        <f>VLOOKUP(A51,'Données projet'!$A$61:$I$81,9,0)</f>
        <v>10.666666666666666</v>
      </c>
      <c r="AH51" s="13">
        <f t="array" ref="AH51">INDEX(AG:AG,MIN(IF(ISNUMBER(AG51:AG247),ROW(AG51:AG247),"")))</f>
        <v>10.666666666666666</v>
      </c>
      <c r="AI51" s="14">
        <f>IF('Données projet'!$A$62&gt;35,AI50+AH51-AQ50,IF(A51&lt;'Données projet'!$A$62,$AF$205^A51,IF(A51='Données projet'!$A$62,'Données projet'!$B$62,AI50+AH51-AQ50)))</f>
        <v>251.99999999999997</v>
      </c>
      <c r="AJ51" s="14">
        <f>AI51*VLOOKUP('Données projet'!$B$10,Paramètres!$A$1:$I$89,3,0)*VLOOKUP('Données projet'!$B$10,Paramètres!$A$1:$I$89,5,0)</f>
        <v>157.24799999999999</v>
      </c>
      <c r="AK51" s="14">
        <f t="shared" si="35"/>
        <v>40.22116874434861</v>
      </c>
      <c r="AL51" s="22">
        <f t="shared" si="4"/>
        <v>343.92546889640715</v>
      </c>
      <c r="AM51" s="62">
        <f t="shared" si="5"/>
        <v>637.25880222974047</v>
      </c>
      <c r="AN51" s="62">
        <f ca="1">AVERAGE(OFFSET($AM$3,0,0,'Données projet'!$E$10+1,1))-AVERAGE(OFFSET($H$3,0,0,'Données projet'!$E$10+1,1))</f>
        <v>175.05987582828078</v>
      </c>
      <c r="AO51" s="62">
        <f t="shared" si="36"/>
        <v>268.54782308462387</v>
      </c>
      <c r="AP51" s="16">
        <f>IF(ISNA(VLOOKUP(A51,'Données projet'!$A$61:$I$81,3,0)),0,VLOOKUP(A51,'Données projet'!$A$61:$I$81,3,0))</f>
        <v>7</v>
      </c>
      <c r="AQ51" s="16">
        <f>IF(ISNA(VLOOKUP(A51,'Données projet'!$A$61:$I$81,4,0)),0,VLOOKUP(A51,'Données projet'!$A$61:$I$81,4,0))</f>
        <v>65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5.5128593628579567</v>
      </c>
      <c r="AW51" s="23">
        <f>EXP(-LN(2)/2)*AW50+(1-EXP(-LN(2)/2))/(LN(2)/2)*AQ51*AT51*VLOOKUP('Données projet'!$B$10,Paramètres!$A$1:$I$89,3,0)*0.475*44/12</f>
        <v>2.4705004688844075E-2</v>
      </c>
      <c r="AX51" s="23">
        <f t="shared" si="6"/>
        <v>5.5375643675468007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14.989423076923078</v>
      </c>
      <c r="BD51" s="13">
        <f>IF('Données projet'!$A$88&gt;35,BD50+BC51-BL50,IF(A51&lt;'Données projet'!$A$88,$BA$205^A51,IF(A51='Données projet'!$A$88,'Données projet'!$B$88,BD50+BC51-BL50)))</f>
        <v>319.97499999999997</v>
      </c>
      <c r="BE51" s="14">
        <f>BD51*VLOOKUP('Données projet'!$B$11,Paramètres!$A$1:$I$89,3,0)*VLOOKUP('Données projet'!$B$11,Paramètres!$A$1:$I$89,5,0)</f>
        <v>149.7483</v>
      </c>
      <c r="BF51" s="14">
        <f t="shared" si="37"/>
        <v>38.521380303068646</v>
      </c>
      <c r="BG51" s="22">
        <f t="shared" si="7"/>
        <v>327.90302652784453</v>
      </c>
      <c r="BH51" s="62">
        <f t="shared" si="8"/>
        <v>621.23635986117779</v>
      </c>
      <c r="BI51" s="62">
        <f ca="1">AVERAGE(OFFSET($BH$3,0,0,'Données projet'!$E$11+1,1))-AVERAGE(OFFSET($H$3,0,0,'Données projet'!$E$11+1,1))</f>
        <v>183.46485104601493</v>
      </c>
      <c r="BJ51" s="62">
        <f t="shared" si="38"/>
        <v>127.47790120677581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13.2</v>
      </c>
      <c r="BY51" s="13">
        <f>IF('Données projet'!$A$114&gt;35,BY50+BX51-CG50,IF(A51&lt;'Données projet'!$A$114,$BV$205^A51,IF(A51='Données projet'!$A$114,'Données projet'!$B$114,BY50+BX51-CG50)))</f>
        <v>284.59999999999997</v>
      </c>
      <c r="BZ51" s="14">
        <f>BY51*VLOOKUP('Données projet'!$B$12,Paramètres!$A$1:$I$89,3,0)*VLOOKUP('Données projet'!$B$12,Paramètres!$A$1:$I$89,5,0)</f>
        <v>162.7912</v>
      </c>
      <c r="CA51" s="14">
        <f t="shared" si="39"/>
        <v>41.471443274907386</v>
      </c>
      <c r="CB51" s="22">
        <f t="shared" si="10"/>
        <v>355.75743703713033</v>
      </c>
      <c r="CC51" s="62">
        <f t="shared" si="11"/>
        <v>649.09077037046359</v>
      </c>
      <c r="CD51" s="62">
        <f ca="1">AVERAGE(OFFSET($CC$3,0,0,'Données projet'!$E$12+1,1))-AVERAGE(OFFSET($H$3,0,0,'Données projet'!$E$12+1,1))</f>
        <v>228.06050741667258</v>
      </c>
      <c r="CE51" s="62">
        <f t="shared" si="40"/>
        <v>191.94885821983536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5.6040794448934843</v>
      </c>
      <c r="CM51" s="23">
        <f>EXP(-LN(2)/2)*CM50+(1-EXP(-LN(2)/2))/(LN(2)/2)*CG51*CJ51*VLOOKUP('Données projet'!$B$12,Paramètres!$A$1:$I$89,3,0)*0.475*44/12</f>
        <v>2.5116363969189009E-2</v>
      </c>
      <c r="CN51" s="24">
        <f t="shared" si="12"/>
        <v>5.629195808862673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9.8000000000000007</v>
      </c>
      <c r="CT51" s="13">
        <f>IF('Données projet'!$A$140&gt;35,CT50+CS51-DB50,IF(A51&lt;'Données projet'!$A$140,$CQ$205^A51,IF(A51='Données projet'!$A$140,'Données projet'!$B$140,CT50+CS51-DB50)))</f>
        <v>283.39999999999992</v>
      </c>
      <c r="CU51" s="18">
        <f>CT51*VLOOKUP('Données projet'!$B$13,Paramètres!$A$1:$I$89,3,0)*VLOOKUP('Données projet'!$B$13,Paramètres!$A$1:$I$89,5,0)</f>
        <v>225.47303999999994</v>
      </c>
      <c r="CV51" s="14">
        <f t="shared" si="41"/>
        <v>55.302717367103824</v>
      </c>
      <c r="CW51" s="22">
        <f t="shared" si="13"/>
        <v>489.0177774143724</v>
      </c>
      <c r="CX51" s="62">
        <f t="shared" si="14"/>
        <v>782.35111074770566</v>
      </c>
      <c r="CY51" s="62">
        <f ca="1">AVERAGE(OFFSET($CX$3,0,0,'Données projet'!$E$13+1,1))-AVERAGE(OFFSET($H$3,0,0,'Données projet'!$E$13+1,1))</f>
        <v>343.37244130003143</v>
      </c>
      <c r="CZ51" s="62">
        <f t="shared" si="42"/>
        <v>318.38876834819763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8.6</v>
      </c>
      <c r="DO51" s="13">
        <f>IF('Données projet'!$A$166&gt;35,DO50+DN51-DW50,IF(A51&lt;'Données projet'!$A$166,$DL$205^A51,IF(A51='Données projet'!$A$166,'Données projet'!$B$166,DO50+DN51-DW50)))</f>
        <v>267.80000000000007</v>
      </c>
      <c r="DP51" s="18">
        <f>DO51*VLOOKUP('Données projet'!$B$14,Paramètres!$A$1:$I$89,3,0)*VLOOKUP('Données projet'!$B$14,Paramètres!$A$1:$I$89,5,0)</f>
        <v>196.35096000000004</v>
      </c>
      <c r="DQ51" s="14">
        <f t="shared" si="43"/>
        <v>48.941361774933419</v>
      </c>
      <c r="DR51" s="22">
        <f t="shared" si="16"/>
        <v>427.21746042467572</v>
      </c>
      <c r="DS51" s="62">
        <f t="shared" si="17"/>
        <v>720.55079375800904</v>
      </c>
      <c r="DT51" s="62">
        <f ca="1">AVERAGE(OFFSET($DS$3,0,0,'Données projet'!$E$14+1,1))-AVERAGE(OFFSET($H$3,0,0,'Données projet'!$E$14+1,1))</f>
        <v>263.81634201637729</v>
      </c>
      <c r="DU51" s="62">
        <f t="shared" si="44"/>
        <v>302.03767435507262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23.5</v>
      </c>
      <c r="N52" s="14">
        <f>IF('Données projet'!$A$36&gt;35,N51+M52-V51,IF(A52&lt;'Données projet'!$A$36,$K$205^A52,IF(A52='Données projet'!$A$36,'Données projet'!$B$36,N51+M52-V51)))</f>
        <v>522.49999999999977</v>
      </c>
      <c r="O52" s="14">
        <f>N52*VLOOKUP('Données projet'!$B$9,Paramètres!$A$1:$I$89,3,0)*VLOOKUP('Données projet'!$B$9,Paramètres!$A$1:$I$89,5,0)</f>
        <v>292.07749999999987</v>
      </c>
      <c r="P52" s="14">
        <f t="shared" si="33"/>
        <v>69.513025042244749</v>
      </c>
      <c r="Q52" s="22">
        <f t="shared" si="53"/>
        <v>629.770164448576</v>
      </c>
      <c r="R52" s="62">
        <f t="shared" si="0"/>
        <v>923.10349778190925</v>
      </c>
      <c r="S52" s="62">
        <f ca="1">AVERAGE(OFFSET($R$3,0,0,'Données projet'!$E$9+1,1))-AVERAGE(OFFSET($H$3,0,0,'Données projet'!$E$9+1,1))</f>
        <v>322.63846641467165</v>
      </c>
      <c r="T52" s="62">
        <f t="shared" si="34"/>
        <v>435.17386576419966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12.120863718020015</v>
      </c>
      <c r="AB52" s="23">
        <f>EXP(-LN(2)/2)*AB51+(1-EXP(-LN(2)/2))/(LN(2)/2)*V52*Y52*VLOOKUP('Données projet'!$B$9,Paramètres!$A$1:$I$89,3,0)*0.475*44/12</f>
        <v>4.035895377694442E-3</v>
      </c>
      <c r="AC52" s="24">
        <f t="shared" si="3"/>
        <v>12.124899613397709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9.75</v>
      </c>
      <c r="AI52" s="14">
        <f>IF('Données projet'!$A$62&gt;35,AI51+AH52-AQ51,IF(A52&lt;'Données projet'!$A$62,$AF$205^A52,IF(A52='Données projet'!$A$62,'Données projet'!$B$62,AI51+AH52-AQ51)))</f>
        <v>196.75</v>
      </c>
      <c r="AJ52" s="14">
        <f>AI52*VLOOKUP('Données projet'!$B$10,Paramètres!$A$1:$I$89,3,0)*VLOOKUP('Données projet'!$B$10,Paramètres!$A$1:$I$89,5,0)</f>
        <v>122.77200000000001</v>
      </c>
      <c r="AK52" s="14">
        <f t="shared" si="35"/>
        <v>32.320660955470466</v>
      </c>
      <c r="AL52" s="22">
        <f t="shared" si="4"/>
        <v>270.11971783077774</v>
      </c>
      <c r="AM52" s="62">
        <f t="shared" si="5"/>
        <v>563.453051164111</v>
      </c>
      <c r="AN52" s="62">
        <f ca="1">AVERAGE(OFFSET($AM$3,0,0,'Données projet'!$E$10+1,1))-AVERAGE(OFFSET($H$3,0,0,'Données projet'!$E$10+1,1))</f>
        <v>175.05987582828078</v>
      </c>
      <c r="AO52" s="62">
        <f t="shared" si="36"/>
        <v>268.54782308462387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5.362109933671932</v>
      </c>
      <c r="AW52" s="23">
        <f>EXP(-LN(2)/2)*AW51+(1-EXP(-LN(2)/2))/(LN(2)/2)*AQ52*AT52*VLOOKUP('Données projet'!$B$10,Paramètres!$A$1:$I$89,3,0)*0.475*44/12</f>
        <v>1.7469076344727098E-2</v>
      </c>
      <c r="AX52" s="23">
        <f t="shared" si="6"/>
        <v>5.3795790100166592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14.989423076923078</v>
      </c>
      <c r="BD52" s="13">
        <f>IF('Données projet'!$A$88&gt;35,BD51+BC52-BL51,IF(A52&lt;'Données projet'!$A$88,$BA$205^A52,IF(A52='Données projet'!$A$88,'Données projet'!$B$88,BD51+BC52-BL51)))</f>
        <v>334.96442307692303</v>
      </c>
      <c r="BE52" s="14">
        <f>BD52*VLOOKUP('Données projet'!$B$11,Paramètres!$A$1:$I$89,3,0)*VLOOKUP('Données projet'!$B$11,Paramètres!$A$1:$I$89,5,0)</f>
        <v>156.76334999999997</v>
      </c>
      <c r="BF52" s="14">
        <f t="shared" si="37"/>
        <v>40.111613930623022</v>
      </c>
      <c r="BG52" s="22">
        <f t="shared" si="7"/>
        <v>342.8905621791684</v>
      </c>
      <c r="BH52" s="62">
        <f t="shared" si="8"/>
        <v>636.22389551250171</v>
      </c>
      <c r="BI52" s="62">
        <f ca="1">AVERAGE(OFFSET($BH$3,0,0,'Données projet'!$E$11+1,1))-AVERAGE(OFFSET($H$3,0,0,'Données projet'!$E$11+1,1))</f>
        <v>183.46485104601493</v>
      </c>
      <c r="BJ52" s="62">
        <f t="shared" si="38"/>
        <v>127.47790120677581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13.2</v>
      </c>
      <c r="BY52" s="13">
        <f>IF('Données projet'!$A$114&gt;35,BY51+BX52-CG51,IF(A52&lt;'Données projet'!$A$114,$BV$205^A52,IF(A52='Données projet'!$A$114,'Données projet'!$B$114,BY51+BX52-CG51)))</f>
        <v>297.79999999999995</v>
      </c>
      <c r="BZ52" s="14">
        <f>BY52*VLOOKUP('Données projet'!$B$12,Paramètres!$A$1:$I$89,3,0)*VLOOKUP('Données projet'!$B$12,Paramètres!$A$1:$I$89,5,0)</f>
        <v>170.34159999999997</v>
      </c>
      <c r="CA52" s="14">
        <f t="shared" si="39"/>
        <v>43.166521681123569</v>
      </c>
      <c r="CB52" s="22">
        <f t="shared" si="10"/>
        <v>371.8599785946235</v>
      </c>
      <c r="CC52" s="62">
        <f t="shared" si="11"/>
        <v>665.19331192795676</v>
      </c>
      <c r="CD52" s="62">
        <f ca="1">AVERAGE(OFFSET($CC$3,0,0,'Données projet'!$E$12+1,1))-AVERAGE(OFFSET($H$3,0,0,'Données projet'!$E$12+1,1))</f>
        <v>228.06050741667258</v>
      </c>
      <c r="CE52" s="62">
        <f t="shared" si="40"/>
        <v>191.94885821983536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5.4508355977671421</v>
      </c>
      <c r="CM52" s="23">
        <f>EXP(-LN(2)/2)*CM51+(1-EXP(-LN(2)/2))/(LN(2)/2)*CG52*CJ52*VLOOKUP('Données projet'!$B$12,Paramètres!$A$1:$I$89,3,0)*0.475*44/12</f>
        <v>1.7759951281363019E-2</v>
      </c>
      <c r="CN52" s="24">
        <f t="shared" si="12"/>
        <v>5.468595549048505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9.8000000000000007</v>
      </c>
      <c r="CT52" s="13">
        <f>IF('Données projet'!$A$140&gt;35,CT51+CS52-DB51,IF(A52&lt;'Données projet'!$A$140,$CQ$205^A52,IF(A52='Données projet'!$A$140,'Données projet'!$B$140,CT51+CS52-DB51)))</f>
        <v>293.19999999999993</v>
      </c>
      <c r="CU52" s="18">
        <f>CT52*VLOOKUP('Données projet'!$B$13,Paramètres!$A$1:$I$89,3,0)*VLOOKUP('Données projet'!$B$13,Paramètres!$A$1:$I$89,5,0)</f>
        <v>233.26991999999993</v>
      </c>
      <c r="CV52" s="14">
        <f t="shared" si="41"/>
        <v>56.989132736134763</v>
      </c>
      <c r="CW52" s="22">
        <f t="shared" si="13"/>
        <v>505.53451684876785</v>
      </c>
      <c r="CX52" s="62">
        <f t="shared" si="14"/>
        <v>798.86785018210117</v>
      </c>
      <c r="CY52" s="62">
        <f ca="1">AVERAGE(OFFSET($CX$3,0,0,'Données projet'!$E$13+1,1))-AVERAGE(OFFSET($H$3,0,0,'Données projet'!$E$13+1,1))</f>
        <v>343.37244130003143</v>
      </c>
      <c r="CZ52" s="62">
        <f t="shared" si="42"/>
        <v>318.38876834819763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8.6</v>
      </c>
      <c r="DO52" s="13">
        <f>IF('Données projet'!$A$166&gt;35,DO51+DN52-DW51,IF(A52&lt;'Données projet'!$A$166,$DL$205^A52,IF(A52='Données projet'!$A$166,'Données projet'!$B$166,DO51+DN52-DW51)))</f>
        <v>276.40000000000009</v>
      </c>
      <c r="DP52" s="18">
        <f>DO52*VLOOKUP('Données projet'!$B$14,Paramètres!$A$1:$I$89,3,0)*VLOOKUP('Données projet'!$B$14,Paramètres!$A$1:$I$89,5,0)</f>
        <v>202.65648000000007</v>
      </c>
      <c r="DQ52" s="14">
        <f t="shared" si="43"/>
        <v>50.327532531948449</v>
      </c>
      <c r="DR52" s="22">
        <f t="shared" si="16"/>
        <v>440.61382182647702</v>
      </c>
      <c r="DS52" s="62">
        <f t="shared" si="17"/>
        <v>733.94715515981034</v>
      </c>
      <c r="DT52" s="62">
        <f ca="1">AVERAGE(OFFSET($DS$3,0,0,'Données projet'!$E$14+1,1))-AVERAGE(OFFSET($H$3,0,0,'Données projet'!$E$14+1,1))</f>
        <v>263.81634201637729</v>
      </c>
      <c r="DU52" s="62">
        <f t="shared" si="44"/>
        <v>302.03767435507262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23.5</v>
      </c>
      <c r="N53" s="14">
        <f>IF('Données projet'!$A$36&gt;35,N52+M53-V52,IF(A53&lt;'Données projet'!$A$36,$K$205^A53,IF(A53='Données projet'!$A$36,'Données projet'!$B$36,N52+M53-V52)))</f>
        <v>545.99999999999977</v>
      </c>
      <c r="O53" s="14">
        <f>N53*VLOOKUP('Données projet'!$B$9,Paramètres!$A$1:$I$89,3,0)*VLOOKUP('Données projet'!$B$9,Paramètres!$A$1:$I$89,5,0)</f>
        <v>305.21399999999988</v>
      </c>
      <c r="P53" s="14">
        <f t="shared" si="33"/>
        <v>72.268419591231265</v>
      </c>
      <c r="Q53" s="22">
        <f t="shared" si="53"/>
        <v>657.44854745472765</v>
      </c>
      <c r="R53" s="62">
        <f t="shared" si="0"/>
        <v>950.78188078806102</v>
      </c>
      <c r="S53" s="62">
        <f ca="1">AVERAGE(OFFSET($R$3,0,0,'Données projet'!$E$9+1,1))-AVERAGE(OFFSET($H$3,0,0,'Données projet'!$E$9+1,1))</f>
        <v>322.63846641467165</v>
      </c>
      <c r="T53" s="62">
        <f t="shared" si="34"/>
        <v>435.17386576419966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11.789418062242238</v>
      </c>
      <c r="AB53" s="23">
        <f>EXP(-LN(2)/2)*AB52+(1-EXP(-LN(2)/2))/(LN(2)/2)*V53*Y53*VLOOKUP('Données projet'!$B$9,Paramètres!$A$1:$I$89,3,0)*0.475*44/12</f>
        <v>2.8538089897271824E-3</v>
      </c>
      <c r="AC53" s="24">
        <f t="shared" si="3"/>
        <v>11.792271871231964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9.75</v>
      </c>
      <c r="AI53" s="14">
        <f>IF('Données projet'!$A$62&gt;35,AI52+AH53-AQ52,IF(A53&lt;'Données projet'!$A$62,$AF$205^A53,IF(A53='Données projet'!$A$62,'Données projet'!$B$62,AI52+AH53-AQ52)))</f>
        <v>206.5</v>
      </c>
      <c r="AJ53" s="14">
        <f>AI53*VLOOKUP('Données projet'!$B$10,Paramètres!$A$1:$I$89,3,0)*VLOOKUP('Données projet'!$B$10,Paramètres!$A$1:$I$89,5,0)</f>
        <v>128.85599999999999</v>
      </c>
      <c r="AK53" s="14">
        <f t="shared" si="35"/>
        <v>33.731878688740906</v>
      </c>
      <c r="AL53" s="22">
        <f t="shared" si="4"/>
        <v>283.1738887162237</v>
      </c>
      <c r="AM53" s="62">
        <f t="shared" si="5"/>
        <v>576.50722204955696</v>
      </c>
      <c r="AN53" s="62">
        <f ca="1">AVERAGE(OFFSET($AM$3,0,0,'Données projet'!$E$10+1,1))-AVERAGE(OFFSET($H$3,0,0,'Données projet'!$E$10+1,1))</f>
        <v>175.05987582828078</v>
      </c>
      <c r="AO53" s="62">
        <f t="shared" si="36"/>
        <v>268.54782308462387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5.2154827555545671</v>
      </c>
      <c r="AW53" s="23">
        <f>EXP(-LN(2)/2)*AW52+(1-EXP(-LN(2)/2))/(LN(2)/2)*AQ53*AT53*VLOOKUP('Données projet'!$B$10,Paramètres!$A$1:$I$89,3,0)*0.475*44/12</f>
        <v>1.2352502344422037E-2</v>
      </c>
      <c r="AX53" s="23">
        <f t="shared" si="6"/>
        <v>5.2278352578989891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349.95384615384614</v>
      </c>
      <c r="BB53" s="13">
        <f>VLOOKUP(A53,'Données projet'!$A$87:$I$107,9,0)</f>
        <v>14.989423076923078</v>
      </c>
      <c r="BC53" s="13">
        <f t="array" ref="BC53">INDEX(BB:BB,MIN(IF(ISNUMBER(BB53:BB249),ROW(BB53:BB249),"")))</f>
        <v>14.989423076923078</v>
      </c>
      <c r="BD53" s="13">
        <f>IF('Données projet'!$A$88&gt;35,BD52+BC53-BL52,IF(A53&lt;'Données projet'!$A$88,$BA$205^A53,IF(A53='Données projet'!$A$88,'Données projet'!$B$88,BD52+BC53-BL52)))</f>
        <v>349.95384615384609</v>
      </c>
      <c r="BE53" s="14">
        <f>BD53*VLOOKUP('Données projet'!$B$11,Paramètres!$A$1:$I$89,3,0)*VLOOKUP('Données projet'!$B$11,Paramètres!$A$1:$I$89,5,0)</f>
        <v>163.77839999999995</v>
      </c>
      <c r="BF53" s="14">
        <f t="shared" si="37"/>
        <v>41.693582942883204</v>
      </c>
      <c r="BG53" s="22">
        <f t="shared" si="7"/>
        <v>357.86370362552151</v>
      </c>
      <c r="BH53" s="62">
        <f t="shared" si="8"/>
        <v>651.19703695885482</v>
      </c>
      <c r="BI53" s="62">
        <f ca="1">AVERAGE(OFFSET($BH$3,0,0,'Données projet'!$E$11+1,1))-AVERAGE(OFFSET($H$3,0,0,'Données projet'!$E$11+1,1))</f>
        <v>183.46485104601493</v>
      </c>
      <c r="BJ53" s="62">
        <f t="shared" si="38"/>
        <v>127.47790120677581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100.66923076923077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311</v>
      </c>
      <c r="BW53" s="13">
        <f>VLOOKUP(A53,'Données projet'!$A$113:$I$133,9,0)</f>
        <v>13.2</v>
      </c>
      <c r="BX53" s="13">
        <f t="array" ref="BX53">INDEX(BW:BW,MIN(IF(ISNUMBER(BW53:BW249),ROW(BW53:BW249),"")))</f>
        <v>13.2</v>
      </c>
      <c r="BY53" s="13">
        <f>IF('Données projet'!$A$114&gt;35,BY52+BX53-CG52,IF(A53&lt;'Données projet'!$A$114,$BV$205^A53,IF(A53='Données projet'!$A$114,'Données projet'!$B$114,BY52+BX53-CG52)))</f>
        <v>310.99999999999994</v>
      </c>
      <c r="BZ53" s="14">
        <f>BY53*VLOOKUP('Données projet'!$B$12,Paramètres!$A$1:$I$89,3,0)*VLOOKUP('Données projet'!$B$12,Paramètres!$A$1:$I$89,5,0)</f>
        <v>177.89199999999997</v>
      </c>
      <c r="CA53" s="14">
        <f t="shared" si="39"/>
        <v>44.8528739442404</v>
      </c>
      <c r="CB53" s="22">
        <f t="shared" si="10"/>
        <v>387.94732211955193</v>
      </c>
      <c r="CC53" s="62">
        <f t="shared" si="11"/>
        <v>681.28065545288518</v>
      </c>
      <c r="CD53" s="62">
        <f ca="1">AVERAGE(OFFSET($CC$3,0,0,'Données projet'!$E$12+1,1))-AVERAGE(OFFSET($H$3,0,0,'Données projet'!$E$12+1,1))</f>
        <v>228.06050741667258</v>
      </c>
      <c r="CE53" s="62">
        <f t="shared" si="40"/>
        <v>191.94885821983536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37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5.3017822116992139</v>
      </c>
      <c r="CM53" s="23">
        <f>EXP(-LN(2)/2)*CM52+(1-EXP(-LN(2)/2))/(LN(2)/2)*CG53*CJ53*VLOOKUP('Données projet'!$B$12,Paramètres!$A$1:$I$89,3,0)*0.475*44/12</f>
        <v>1.2558181984594505E-2</v>
      </c>
      <c r="CN53" s="24">
        <f t="shared" si="12"/>
        <v>5.3143403936838087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303</v>
      </c>
      <c r="CR53" s="13">
        <f>VLOOKUP(A53,'Données projet'!$A$139:$I$159,9,0)</f>
        <v>9.8000000000000007</v>
      </c>
      <c r="CS53" s="13">
        <f t="array" ref="CS53">INDEX(CR:CR,MIN(IF(ISNUMBER(CR53:CR249),ROW(CR53:CR249),"")))</f>
        <v>9.8000000000000007</v>
      </c>
      <c r="CT53" s="13">
        <f>IF('Données projet'!$A$140&gt;35,CT52+CS53-DB52,IF(A53&lt;'Données projet'!$A$140,$CQ$205^A53,IF(A53='Données projet'!$A$140,'Données projet'!$B$140,CT52+CS53-DB52)))</f>
        <v>302.99999999999994</v>
      </c>
      <c r="CU53" s="18">
        <f>CT53*VLOOKUP('Données projet'!$B$13,Paramètres!$A$1:$I$89,3,0)*VLOOKUP('Données projet'!$B$13,Paramètres!$A$1:$I$89,5,0)</f>
        <v>241.06679999999997</v>
      </c>
      <c r="CV53" s="14">
        <f t="shared" si="41"/>
        <v>58.668998418543559</v>
      </c>
      <c r="CW53" s="22">
        <f t="shared" si="13"/>
        <v>522.03984891229663</v>
      </c>
      <c r="CX53" s="62">
        <f t="shared" si="14"/>
        <v>815.37318224563001</v>
      </c>
      <c r="CY53" s="62">
        <f ca="1">AVERAGE(OFFSET($CX$3,0,0,'Données projet'!$E$13+1,1))-AVERAGE(OFFSET($H$3,0,0,'Données projet'!$E$13+1,1))</f>
        <v>343.37244130003143</v>
      </c>
      <c r="CZ53" s="62">
        <f t="shared" si="42"/>
        <v>318.38876834819763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285</v>
      </c>
      <c r="DM53" s="13">
        <f>VLOOKUP(A53,'Données projet'!$A$165:$I$185,9,0)</f>
        <v>8.6</v>
      </c>
      <c r="DN53" s="13">
        <f t="array" ref="DN53">INDEX(DM:DM,MIN(IF(ISNUMBER(DM53:DM249),ROW(DM53:DM249),"")))</f>
        <v>8.6</v>
      </c>
      <c r="DO53" s="13">
        <f>IF('Données projet'!$A$166&gt;35,DO52+DN53-DW52,IF(A53&lt;'Données projet'!$A$166,$DL$205^A53,IF(A53='Données projet'!$A$166,'Données projet'!$B$166,DO52+DN53-DW52)))</f>
        <v>285.00000000000011</v>
      </c>
      <c r="DP53" s="18">
        <f>DO53*VLOOKUP('Données projet'!$B$14,Paramètres!$A$1:$I$89,3,0)*VLOOKUP('Données projet'!$B$14,Paramètres!$A$1:$I$89,5,0)</f>
        <v>208.96200000000007</v>
      </c>
      <c r="DQ53" s="14">
        <f t="shared" si="43"/>
        <v>51.708691209356424</v>
      </c>
      <c r="DR53" s="22">
        <f t="shared" si="16"/>
        <v>454.00145385629588</v>
      </c>
      <c r="DS53" s="62">
        <f t="shared" si="17"/>
        <v>747.3347871896292</v>
      </c>
      <c r="DT53" s="62">
        <f ca="1">AVERAGE(OFFSET($DS$3,0,0,'Données projet'!$E$14+1,1))-AVERAGE(OFFSET($H$3,0,0,'Données projet'!$E$14+1,1))</f>
        <v>263.81634201637729</v>
      </c>
      <c r="DU53" s="62">
        <f t="shared" si="44"/>
        <v>302.03767435507262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23.5</v>
      </c>
      <c r="N54" s="14">
        <f>IF('Données projet'!$A$36&gt;35,N53+M54-V53,IF(A54&lt;'Données projet'!$A$36,$K$205^A54,IF(A54='Données projet'!$A$36,'Données projet'!$B$36,N53+M54-V53)))</f>
        <v>569.49999999999977</v>
      </c>
      <c r="O54" s="14">
        <f>N54*VLOOKUP('Données projet'!$B$9,Paramètres!$A$1:$I$89,3,0)*VLOOKUP('Données projet'!$B$9,Paramètres!$A$1:$I$89,5,0)</f>
        <v>318.3504999999999</v>
      </c>
      <c r="P54" s="14">
        <f t="shared" si="33"/>
        <v>75.01003994649966</v>
      </c>
      <c r="Q54" s="22">
        <f t="shared" si="53"/>
        <v>685.10294040682004</v>
      </c>
      <c r="R54" s="62">
        <f t="shared" si="0"/>
        <v>978.43627374015341</v>
      </c>
      <c r="S54" s="62">
        <f ca="1">AVERAGE(OFFSET($R$3,0,0,'Données projet'!$E$9+1,1))-AVERAGE(OFFSET($H$3,0,0,'Données projet'!$E$9+1,1))</f>
        <v>322.63846641467165</v>
      </c>
      <c r="T54" s="62">
        <f t="shared" si="34"/>
        <v>435.17386576419966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11.467035805351673</v>
      </c>
      <c r="AB54" s="23">
        <f>EXP(-LN(2)/2)*AB53+(1-EXP(-LN(2)/2))/(LN(2)/2)*V54*Y54*VLOOKUP('Données projet'!$B$9,Paramètres!$A$1:$I$89,3,0)*0.475*44/12</f>
        <v>2.017947688847221E-3</v>
      </c>
      <c r="AC54" s="24">
        <f t="shared" si="3"/>
        <v>11.469053753040519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9.75</v>
      </c>
      <c r="AI54" s="14">
        <f>IF('Données projet'!$A$62&gt;35,AI53+AH54-AQ53,IF(A54&lt;'Données projet'!$A$62,$AF$205^A54,IF(A54='Données projet'!$A$62,'Données projet'!$B$62,AI53+AH54-AQ53)))</f>
        <v>216.25</v>
      </c>
      <c r="AJ54" s="14">
        <f>AI54*VLOOKUP('Données projet'!$B$10,Paramètres!$A$1:$I$89,3,0)*VLOOKUP('Données projet'!$B$10,Paramètres!$A$1:$I$89,5,0)</f>
        <v>134.94</v>
      </c>
      <c r="AK54" s="14">
        <f t="shared" si="35"/>
        <v>35.135358771568036</v>
      </c>
      <c r="AL54" s="22">
        <f t="shared" si="4"/>
        <v>296.21458319381429</v>
      </c>
      <c r="AM54" s="62">
        <f t="shared" si="5"/>
        <v>589.54791652714766</v>
      </c>
      <c r="AN54" s="62">
        <f ca="1">AVERAGE(OFFSET($AM$3,0,0,'Données projet'!$E$10+1,1))-AVERAGE(OFFSET($H$3,0,0,'Données projet'!$E$10+1,1))</f>
        <v>175.05987582828078</v>
      </c>
      <c r="AO54" s="62">
        <f t="shared" si="36"/>
        <v>268.54782308462387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5.0728651053336096</v>
      </c>
      <c r="AW54" s="23">
        <f>EXP(-LN(2)/2)*AW53+(1-EXP(-LN(2)/2))/(LN(2)/2)*AQ54*AT54*VLOOKUP('Données projet'!$B$10,Paramètres!$A$1:$I$89,3,0)*0.475*44/12</f>
        <v>8.7345381723635488E-3</v>
      </c>
      <c r="AX54" s="23">
        <f t="shared" si="6"/>
        <v>5.0815996435059727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14.254807692307686</v>
      </c>
      <c r="BD54" s="13">
        <f>IF('Données projet'!$A$88&gt;35,BD53+BC54-BL53,IF(A54&lt;'Données projet'!$A$88,$BA$205^A54,IF(A54='Données projet'!$A$88,'Données projet'!$B$88,BD53+BC54-BL53)))</f>
        <v>263.53942307692301</v>
      </c>
      <c r="BE54" s="14">
        <f>BD54*VLOOKUP('Données projet'!$B$11,Paramètres!$A$1:$I$89,3,0)*VLOOKUP('Données projet'!$B$11,Paramètres!$A$1:$I$89,5,0)</f>
        <v>123.33644999999997</v>
      </c>
      <c r="BF54" s="14">
        <f t="shared" si="37"/>
        <v>32.451925084991807</v>
      </c>
      <c r="BG54" s="22">
        <f t="shared" si="7"/>
        <v>271.331419939694</v>
      </c>
      <c r="BH54" s="62">
        <f t="shared" si="8"/>
        <v>564.66475327302737</v>
      </c>
      <c r="BI54" s="62">
        <f ca="1">AVERAGE(OFFSET($BH$3,0,0,'Données projet'!$E$11+1,1))-AVERAGE(OFFSET($H$3,0,0,'Données projet'!$E$11+1,1))</f>
        <v>183.46485104601493</v>
      </c>
      <c r="BJ54" s="62">
        <f t="shared" si="38"/>
        <v>127.47790120677581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12.25</v>
      </c>
      <c r="BY54" s="13">
        <f>IF('Données projet'!$A$114&gt;35,BY53+BX54-CG53,IF(A54&lt;'Données projet'!$A$114,$BV$205^A54,IF(A54='Données projet'!$A$114,'Données projet'!$B$114,BY53+BX54-CG53)))</f>
        <v>286.24999999999994</v>
      </c>
      <c r="BZ54" s="14">
        <f>BY54*VLOOKUP('Données projet'!$B$12,Paramètres!$A$1:$I$89,3,0)*VLOOKUP('Données projet'!$B$12,Paramètres!$A$1:$I$89,5,0)</f>
        <v>163.73499999999999</v>
      </c>
      <c r="CA54" s="14">
        <f t="shared" si="39"/>
        <v>41.683820360110872</v>
      </c>
      <c r="CB54" s="22">
        <f t="shared" si="10"/>
        <v>357.77111212719302</v>
      </c>
      <c r="CC54" s="62">
        <f t="shared" si="11"/>
        <v>651.10444546052634</v>
      </c>
      <c r="CD54" s="62">
        <f ca="1">AVERAGE(OFFSET($CC$3,0,0,'Données projet'!$E$12+1,1))-AVERAGE(OFFSET($H$3,0,0,'Données projet'!$E$12+1,1))</f>
        <v>228.06050741667258</v>
      </c>
      <c r="CE54" s="62">
        <f t="shared" si="40"/>
        <v>191.94885821983536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5.1568046983116895</v>
      </c>
      <c r="CM54" s="23">
        <f>EXP(-LN(2)/2)*CM53+(1-EXP(-LN(2)/2))/(LN(2)/2)*CG54*CJ54*VLOOKUP('Données projet'!$B$12,Paramètres!$A$1:$I$89,3,0)*0.475*44/12</f>
        <v>8.8799756406815096E-3</v>
      </c>
      <c r="CN54" s="24">
        <f t="shared" si="12"/>
        <v>5.165684673952371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8.4</v>
      </c>
      <c r="CT54" s="13">
        <f>IF('Données projet'!$A$140&gt;35,CT53+CS54-DB53,IF(A54&lt;'Données projet'!$A$140,$CQ$205^A54,IF(A54='Données projet'!$A$140,'Données projet'!$B$140,CT53+CS54-DB53)))</f>
        <v>311.39999999999992</v>
      </c>
      <c r="CU54" s="18">
        <f>CT54*VLOOKUP('Données projet'!$B$13,Paramètres!$A$1:$I$89,3,0)*VLOOKUP('Données projet'!$B$13,Paramètres!$A$1:$I$89,5,0)</f>
        <v>247.74983999999995</v>
      </c>
      <c r="CV54" s="14">
        <f t="shared" si="41"/>
        <v>60.103849700617872</v>
      </c>
      <c r="CW54" s="22">
        <f t="shared" si="13"/>
        <v>536.17850956190932</v>
      </c>
      <c r="CX54" s="62">
        <f t="shared" si="14"/>
        <v>829.51184289524258</v>
      </c>
      <c r="CY54" s="62">
        <f ca="1">AVERAGE(OFFSET($CX$3,0,0,'Données projet'!$E$13+1,1))-AVERAGE(OFFSET($H$3,0,0,'Données projet'!$E$13+1,1))</f>
        <v>343.37244130003143</v>
      </c>
      <c r="CZ54" s="62">
        <f t="shared" si="42"/>
        <v>318.38876834819763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249.40000000000009</v>
      </c>
      <c r="DP54" s="18">
        <f>DO54*VLOOKUP('Données projet'!$B$14,Paramètres!$A$1:$I$89,3,0)*VLOOKUP('Données projet'!$B$14,Paramètres!$A$1:$I$89,5,0)</f>
        <v>182.86008000000007</v>
      </c>
      <c r="DQ54" s="14">
        <f t="shared" si="43"/>
        <v>45.957916284909516</v>
      </c>
      <c r="DR54" s="22">
        <f t="shared" si="16"/>
        <v>398.52467686288418</v>
      </c>
      <c r="DS54" s="62">
        <f t="shared" si="17"/>
        <v>691.85801019621749</v>
      </c>
      <c r="DT54" s="62">
        <f ca="1">AVERAGE(OFFSET($DS$3,0,0,'Données projet'!$E$14+1,1))-AVERAGE(OFFSET($H$3,0,0,'Données projet'!$E$14+1,1))</f>
        <v>263.81634201637729</v>
      </c>
      <c r="DU54" s="62">
        <f t="shared" si="44"/>
        <v>302.03767435507262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23.5</v>
      </c>
      <c r="N55" s="14">
        <f>IF('Données projet'!$A$36&gt;35,N54+M55-V54,IF(A55&lt;'Données projet'!$A$36,$K$205^A55,IF(A55='Données projet'!$A$36,'Données projet'!$B$36,N54+M55-V54)))</f>
        <v>592.99999999999977</v>
      </c>
      <c r="O55" s="14">
        <f>N55*VLOOKUP('Données projet'!$B$9,Paramètres!$A$1:$I$89,3,0)*VLOOKUP('Données projet'!$B$9,Paramètres!$A$1:$I$89,5,0)</f>
        <v>331.48699999999985</v>
      </c>
      <c r="P55" s="14">
        <f t="shared" si="33"/>
        <v>77.738519494787681</v>
      </c>
      <c r="Q55" s="22">
        <f t="shared" si="53"/>
        <v>712.73444645342158</v>
      </c>
      <c r="R55" s="62">
        <f t="shared" si="0"/>
        <v>1006.067779786755</v>
      </c>
      <c r="S55" s="62">
        <f ca="1">AVERAGE(OFFSET($R$3,0,0,'Données projet'!$E$9+1,1))-AVERAGE(OFFSET($H$3,0,0,'Données projet'!$E$9+1,1))</f>
        <v>322.63846641467165</v>
      </c>
      <c r="T55" s="62">
        <f t="shared" si="34"/>
        <v>435.17386576419966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11.153469108229126</v>
      </c>
      <c r="AB55" s="23">
        <f>EXP(-LN(2)/2)*AB54+(1-EXP(-LN(2)/2))/(LN(2)/2)*V55*Y55*VLOOKUP('Données projet'!$B$9,Paramètres!$A$1:$I$89,3,0)*0.475*44/12</f>
        <v>1.4269044948635912E-3</v>
      </c>
      <c r="AC55" s="24">
        <f t="shared" si="3"/>
        <v>11.15489601272399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9.75</v>
      </c>
      <c r="AI55" s="14">
        <f>IF('Données projet'!$A$62&gt;35,AI54+AH55-AQ54,IF(A55&lt;'Données projet'!$A$62,$AF$205^A55,IF(A55='Données projet'!$A$62,'Données projet'!$B$62,AI54+AH55-AQ54)))</f>
        <v>226</v>
      </c>
      <c r="AJ55" s="14">
        <f>AI55*VLOOKUP('Données projet'!$B$10,Paramètres!$A$1:$I$89,3,0)*VLOOKUP('Données projet'!$B$10,Paramètres!$A$1:$I$89,5,0)</f>
        <v>141.024</v>
      </c>
      <c r="AK55" s="14">
        <f t="shared" si="35"/>
        <v>36.531489925882461</v>
      </c>
      <c r="AL55" s="22">
        <f t="shared" si="4"/>
        <v>309.24247828757859</v>
      </c>
      <c r="AM55" s="62">
        <f t="shared" si="5"/>
        <v>602.57581162091196</v>
      </c>
      <c r="AN55" s="62">
        <f ca="1">AVERAGE(OFFSET($AM$3,0,0,'Données projet'!$E$10+1,1))-AVERAGE(OFFSET($H$3,0,0,'Données projet'!$E$10+1,1))</f>
        <v>175.05987582828078</v>
      </c>
      <c r="AO55" s="62">
        <f t="shared" si="36"/>
        <v>268.54782308462387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4.9341473422578801</v>
      </c>
      <c r="AW55" s="23">
        <f>EXP(-LN(2)/2)*AW54+(1-EXP(-LN(2)/2))/(LN(2)/2)*AQ55*AT55*VLOOKUP('Données projet'!$B$10,Paramètres!$A$1:$I$89,3,0)*0.475*44/12</f>
        <v>6.1762511722110187E-3</v>
      </c>
      <c r="AX55" s="23">
        <f t="shared" si="6"/>
        <v>4.9403235934300911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14.254807692307686</v>
      </c>
      <c r="BD55" s="13">
        <f>IF('Données projet'!$A$88&gt;35,BD54+BC55-BL54,IF(A55&lt;'Données projet'!$A$88,$BA$205^A55,IF(A55='Données projet'!$A$88,'Données projet'!$B$88,BD54+BC55-BL54)))</f>
        <v>277.79423076923069</v>
      </c>
      <c r="BE55" s="14">
        <f>BD55*VLOOKUP('Données projet'!$B$11,Paramètres!$A$1:$I$89,3,0)*VLOOKUP('Données projet'!$B$11,Paramètres!$A$1:$I$89,5,0)</f>
        <v>130.00769999999994</v>
      </c>
      <c r="BF55" s="14">
        <f t="shared" si="37"/>
        <v>33.99813857013887</v>
      </c>
      <c r="BG55" s="22">
        <f t="shared" si="7"/>
        <v>285.64350217632511</v>
      </c>
      <c r="BH55" s="62">
        <f t="shared" si="8"/>
        <v>578.97683550965849</v>
      </c>
      <c r="BI55" s="62">
        <f ca="1">AVERAGE(OFFSET($BH$3,0,0,'Données projet'!$E$11+1,1))-AVERAGE(OFFSET($H$3,0,0,'Données projet'!$E$11+1,1))</f>
        <v>183.46485104601493</v>
      </c>
      <c r="BJ55" s="62">
        <f t="shared" si="38"/>
        <v>127.47790120677581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12.25</v>
      </c>
      <c r="BY55" s="13">
        <f>IF('Données projet'!$A$114&gt;35,BY54+BX55-CG54,IF(A55&lt;'Données projet'!$A$114,$BV$205^A55,IF(A55='Données projet'!$A$114,'Données projet'!$B$114,BY54+BX55-CG54)))</f>
        <v>298.49999999999994</v>
      </c>
      <c r="BZ55" s="14">
        <f>BY55*VLOOKUP('Données projet'!$B$12,Paramètres!$A$1:$I$89,3,0)*VLOOKUP('Données projet'!$B$12,Paramètres!$A$1:$I$89,5,0)</f>
        <v>170.74199999999996</v>
      </c>
      <c r="CA55" s="14">
        <f t="shared" si="39"/>
        <v>43.256164755747903</v>
      </c>
      <c r="CB55" s="22">
        <f t="shared" si="10"/>
        <v>372.71347028292752</v>
      </c>
      <c r="CC55" s="62">
        <f t="shared" si="11"/>
        <v>666.04680361626083</v>
      </c>
      <c r="CD55" s="62">
        <f ca="1">AVERAGE(OFFSET($CC$3,0,0,'Données projet'!$E$12+1,1))-AVERAGE(OFFSET($H$3,0,0,'Données projet'!$E$12+1,1))</f>
        <v>228.06050741667258</v>
      </c>
      <c r="CE55" s="62">
        <f t="shared" si="40"/>
        <v>191.94885821983536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5.0157916026517837</v>
      </c>
      <c r="CM55" s="23">
        <f>EXP(-LN(2)/2)*CM54+(1-EXP(-LN(2)/2))/(LN(2)/2)*CG55*CJ55*VLOOKUP('Données projet'!$B$12,Paramètres!$A$1:$I$89,3,0)*0.475*44/12</f>
        <v>6.2790909922972524E-3</v>
      </c>
      <c r="CN55" s="24">
        <f t="shared" si="12"/>
        <v>5.0220706936440811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8.4</v>
      </c>
      <c r="CT55" s="13">
        <f>IF('Données projet'!$A$140&gt;35,CT54+CS55-DB54,IF(A55&lt;'Données projet'!$A$140,$CQ$205^A55,IF(A55='Données projet'!$A$140,'Données projet'!$B$140,CT54+CS55-DB54)))</f>
        <v>319.7999999999999</v>
      </c>
      <c r="CU55" s="18">
        <f>CT55*VLOOKUP('Données projet'!$B$13,Paramètres!$A$1:$I$89,3,0)*VLOOKUP('Données projet'!$B$13,Paramètres!$A$1:$I$89,5,0)</f>
        <v>254.43287999999995</v>
      </c>
      <c r="CV55" s="14">
        <f t="shared" si="41"/>
        <v>61.534202204620392</v>
      </c>
      <c r="CW55" s="22">
        <f t="shared" si="13"/>
        <v>550.30933483971376</v>
      </c>
      <c r="CX55" s="62">
        <f t="shared" si="14"/>
        <v>843.64266817304701</v>
      </c>
      <c r="CY55" s="62">
        <f ca="1">AVERAGE(OFFSET($CX$3,0,0,'Données projet'!$E$13+1,1))-AVERAGE(OFFSET($H$3,0,0,'Données projet'!$E$13+1,1))</f>
        <v>343.37244130003143</v>
      </c>
      <c r="CZ55" s="62">
        <f t="shared" si="42"/>
        <v>318.38876834819763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256.80000000000007</v>
      </c>
      <c r="DP55" s="18">
        <f>DO55*VLOOKUP('Données projet'!$B$14,Paramètres!$A$1:$I$89,3,0)*VLOOKUP('Données projet'!$B$14,Paramètres!$A$1:$I$89,5,0)</f>
        <v>188.28576000000004</v>
      </c>
      <c r="DQ55" s="14">
        <f t="shared" si="43"/>
        <v>47.160759045639651</v>
      </c>
      <c r="DR55" s="22">
        <f t="shared" si="16"/>
        <v>410.06935400448907</v>
      </c>
      <c r="DS55" s="62">
        <f t="shared" si="17"/>
        <v>703.40268733782239</v>
      </c>
      <c r="DT55" s="62">
        <f ca="1">AVERAGE(OFFSET($DS$3,0,0,'Données projet'!$E$14+1,1))-AVERAGE(OFFSET($H$3,0,0,'Données projet'!$E$14+1,1))</f>
        <v>263.81634201637729</v>
      </c>
      <c r="DU55" s="62">
        <f t="shared" si="44"/>
        <v>302.03767435507262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23.5</v>
      </c>
      <c r="N56" s="14">
        <f>IF('Données projet'!$A$36&gt;35,N55+M56-V55,IF(A56&lt;'Données projet'!$A$36,$K$205^A56,IF(A56='Données projet'!$A$36,'Données projet'!$B$36,N55+M56-V55)))</f>
        <v>616.49999999999977</v>
      </c>
      <c r="O56" s="14">
        <f>N56*VLOOKUP('Données projet'!$B$9,Paramètres!$A$1:$I$89,3,0)*VLOOKUP('Données projet'!$B$9,Paramètres!$A$1:$I$89,5,0)</f>
        <v>344.62349999999992</v>
      </c>
      <c r="P56" s="14">
        <f t="shared" si="33"/>
        <v>80.454438579998452</v>
      </c>
      <c r="Q56" s="22">
        <f t="shared" si="53"/>
        <v>740.34407636016385</v>
      </c>
      <c r="R56" s="62">
        <f t="shared" si="0"/>
        <v>1033.6774096934971</v>
      </c>
      <c r="S56" s="62">
        <f ca="1">AVERAGE(OFFSET($R$3,0,0,'Données projet'!$E$9+1,1))-AVERAGE(OFFSET($H$3,0,0,'Données projet'!$E$9+1,1))</f>
        <v>322.63846641467165</v>
      </c>
      <c r="T56" s="62">
        <f t="shared" si="34"/>
        <v>435.17386576419966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10.848476908929152</v>
      </c>
      <c r="AB56" s="23">
        <f>EXP(-LN(2)/2)*AB55+(1-EXP(-LN(2)/2))/(LN(2)/2)*V56*Y56*VLOOKUP('Données projet'!$B$9,Paramètres!$A$1:$I$89,3,0)*0.475*44/12</f>
        <v>1.0089738444236105E-3</v>
      </c>
      <c r="AC56" s="24">
        <f t="shared" si="3"/>
        <v>10.849485882773577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9.75</v>
      </c>
      <c r="AI56" s="14">
        <f>IF('Données projet'!$A$62&gt;35,AI55+AH56-AQ55,IF(A56&lt;'Données projet'!$A$62,$AF$205^A56,IF(A56='Données projet'!$A$62,'Données projet'!$B$62,AI55+AH56-AQ55)))</f>
        <v>235.75</v>
      </c>
      <c r="AJ56" s="14">
        <f>AI56*VLOOKUP('Données projet'!$B$10,Paramètres!$A$1:$I$89,3,0)*VLOOKUP('Données projet'!$B$10,Paramètres!$A$1:$I$89,5,0)</f>
        <v>147.108</v>
      </c>
      <c r="AK56" s="14">
        <f t="shared" si="35"/>
        <v>37.920625436598897</v>
      </c>
      <c r="AL56" s="22">
        <f t="shared" si="4"/>
        <v>322.25818930207646</v>
      </c>
      <c r="AM56" s="62">
        <f t="shared" si="5"/>
        <v>615.59152263540977</v>
      </c>
      <c r="AN56" s="62">
        <f ca="1">AVERAGE(OFFSET($AM$3,0,0,'Données projet'!$E$10+1,1))-AVERAGE(OFFSET($H$3,0,0,'Données projet'!$E$10+1,1))</f>
        <v>175.05987582828078</v>
      </c>
      <c r="AO56" s="62">
        <f t="shared" si="36"/>
        <v>268.54782308462387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4.7992228237083072</v>
      </c>
      <c r="AW56" s="23">
        <f>EXP(-LN(2)/2)*AW55+(1-EXP(-LN(2)/2))/(LN(2)/2)*AQ56*AT56*VLOOKUP('Données projet'!$B$10,Paramètres!$A$1:$I$89,3,0)*0.475*44/12</f>
        <v>4.3672690861817744E-3</v>
      </c>
      <c r="AX56" s="23">
        <f t="shared" si="6"/>
        <v>4.8035900927944892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14.254807692307686</v>
      </c>
      <c r="BD56" s="13">
        <f>IF('Données projet'!$A$88&gt;35,BD55+BC56-BL55,IF(A56&lt;'Données projet'!$A$88,$BA$205^A56,IF(A56='Données projet'!$A$88,'Données projet'!$B$88,BD55+BC56-BL55)))</f>
        <v>292.04903846153837</v>
      </c>
      <c r="BE56" s="14">
        <f>BD56*VLOOKUP('Données projet'!$B$11,Paramètres!$A$1:$I$89,3,0)*VLOOKUP('Données projet'!$B$11,Paramètres!$A$1:$I$89,5,0)</f>
        <v>136.67894999999996</v>
      </c>
      <c r="BF56" s="14">
        <f t="shared" si="37"/>
        <v>35.535139810553993</v>
      </c>
      <c r="BG56" s="22">
        <f t="shared" si="7"/>
        <v>299.9395397533815</v>
      </c>
      <c r="BH56" s="62">
        <f t="shared" si="8"/>
        <v>593.27287308671475</v>
      </c>
      <c r="BI56" s="62">
        <f ca="1">AVERAGE(OFFSET($BH$3,0,0,'Données projet'!$E$11+1,1))-AVERAGE(OFFSET($H$3,0,0,'Données projet'!$E$11+1,1))</f>
        <v>183.46485104601493</v>
      </c>
      <c r="BJ56" s="62">
        <f t="shared" si="38"/>
        <v>127.47790120677581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12.25</v>
      </c>
      <c r="BY56" s="13">
        <f>IF('Données projet'!$A$114&gt;35,BY55+BX56-CG55,IF(A56&lt;'Données projet'!$A$114,$BV$205^A56,IF(A56='Données projet'!$A$114,'Données projet'!$B$114,BY55+BX56-CG55)))</f>
        <v>310.74999999999994</v>
      </c>
      <c r="BZ56" s="14">
        <f>BY56*VLOOKUP('Données projet'!$B$12,Paramètres!$A$1:$I$89,3,0)*VLOOKUP('Données projet'!$B$12,Paramètres!$A$1:$I$89,5,0)</f>
        <v>177.749</v>
      </c>
      <c r="CA56" s="14">
        <f t="shared" si="39"/>
        <v>44.821013932875545</v>
      </c>
      <c r="CB56" s="22">
        <f t="shared" si="10"/>
        <v>387.64277426642496</v>
      </c>
      <c r="CC56" s="62">
        <f t="shared" si="11"/>
        <v>680.97610759975828</v>
      </c>
      <c r="CD56" s="62">
        <f ca="1">AVERAGE(OFFSET($CC$3,0,0,'Données projet'!$E$12+1,1))-AVERAGE(OFFSET($H$3,0,0,'Données projet'!$E$12+1,1))</f>
        <v>228.06050741667258</v>
      </c>
      <c r="CE56" s="62">
        <f t="shared" si="40"/>
        <v>191.94885821983536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4.8786345175082539</v>
      </c>
      <c r="CM56" s="23">
        <f>EXP(-LN(2)/2)*CM55+(1-EXP(-LN(2)/2))/(LN(2)/2)*CG56*CJ56*VLOOKUP('Données projet'!$B$12,Paramètres!$A$1:$I$89,3,0)*0.475*44/12</f>
        <v>4.4399878203407548E-3</v>
      </c>
      <c r="CN56" s="24">
        <f t="shared" si="12"/>
        <v>4.8830745053285947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8.4</v>
      </c>
      <c r="CT56" s="13">
        <f>IF('Données projet'!$A$140&gt;35,CT55+CS56-DB55,IF(A56&lt;'Données projet'!$A$140,$CQ$205^A56,IF(A56='Données projet'!$A$140,'Données projet'!$B$140,CT55+CS56-DB55)))</f>
        <v>328.19999999999987</v>
      </c>
      <c r="CU56" s="18">
        <f>CT56*VLOOKUP('Données projet'!$B$13,Paramètres!$A$1:$I$89,3,0)*VLOOKUP('Données projet'!$B$13,Paramètres!$A$1:$I$89,5,0)</f>
        <v>261.1159199999999</v>
      </c>
      <c r="CV56" s="14">
        <f t="shared" si="41"/>
        <v>62.960187681145797</v>
      </c>
      <c r="CW56" s="22">
        <f t="shared" si="13"/>
        <v>564.43255421132869</v>
      </c>
      <c r="CX56" s="62">
        <f t="shared" si="14"/>
        <v>857.76588754466206</v>
      </c>
      <c r="CY56" s="62">
        <f ca="1">AVERAGE(OFFSET($CX$3,0,0,'Données projet'!$E$13+1,1))-AVERAGE(OFFSET($H$3,0,0,'Données projet'!$E$13+1,1))</f>
        <v>343.37244130003143</v>
      </c>
      <c r="CZ56" s="62">
        <f t="shared" si="42"/>
        <v>318.38876834819763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264.20000000000005</v>
      </c>
      <c r="DP56" s="18">
        <f>DO56*VLOOKUP('Données projet'!$B$14,Paramètres!$A$1:$I$89,3,0)*VLOOKUP('Données projet'!$B$14,Paramètres!$A$1:$I$89,5,0)</f>
        <v>193.71144000000004</v>
      </c>
      <c r="DQ56" s="14">
        <f t="shared" si="43"/>
        <v>48.359573394195252</v>
      </c>
      <c r="DR56" s="22">
        <f t="shared" si="16"/>
        <v>421.60701499489011</v>
      </c>
      <c r="DS56" s="62">
        <f t="shared" si="17"/>
        <v>714.94034832822342</v>
      </c>
      <c r="DT56" s="62">
        <f ca="1">AVERAGE(OFFSET($DS$3,0,0,'Données projet'!$E$14+1,1))-AVERAGE(OFFSET($H$3,0,0,'Données projet'!$E$14+1,1))</f>
        <v>263.81634201637729</v>
      </c>
      <c r="DU56" s="62">
        <f t="shared" si="44"/>
        <v>302.03767435507262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640</v>
      </c>
      <c r="L57" s="13">
        <f>VLOOKUP(A57,'Données projet'!$A$35:$I$55,9,0)</f>
        <v>23.5</v>
      </c>
      <c r="M57" s="13">
        <f t="array" ref="M57">INDEX(L:L,MIN(IF(ISNUMBER(L57:L253),ROW(L57:L253),"")))</f>
        <v>23.5</v>
      </c>
      <c r="N57" s="14">
        <f>IF('Données projet'!$A$36&gt;35,N56+M57-V56,IF(A57&lt;'Données projet'!$A$36,$K$205^A57,IF(A57='Données projet'!$A$36,'Données projet'!$B$36,N56+M57-V56)))</f>
        <v>639.99999999999977</v>
      </c>
      <c r="O57" s="14">
        <f>N57*VLOOKUP('Données projet'!$B$9,Paramètres!$A$1:$I$89,3,0)*VLOOKUP('Données projet'!$B$9,Paramètres!$A$1:$I$89,5,0)</f>
        <v>357.75999999999988</v>
      </c>
      <c r="P57" s="14">
        <f t="shared" si="33"/>
        <v>83.158330796597369</v>
      </c>
      <c r="Q57" s="22">
        <f t="shared" si="53"/>
        <v>767.93275947074017</v>
      </c>
      <c r="R57" s="62">
        <f t="shared" si="0"/>
        <v>1061.2660928040734</v>
      </c>
      <c r="S57" s="62">
        <f ca="1">AVERAGE(OFFSET($R$3,0,0,'Données projet'!$E$9+1,1))-AVERAGE(OFFSET($H$3,0,0,'Données projet'!$E$9+1,1))</f>
        <v>322.63846641467165</v>
      </c>
      <c r="T57" s="62">
        <f t="shared" si="34"/>
        <v>435.17386576419966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640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10.551824737357878</v>
      </c>
      <c r="AB57" s="23">
        <f>EXP(-LN(2)/2)*AB56+(1-EXP(-LN(2)/2))/(LN(2)/2)*V57*Y57*VLOOKUP('Données projet'!$B$9,Paramètres!$A$1:$I$89,3,0)*0.475*44/12</f>
        <v>7.1345224743179559E-4</v>
      </c>
      <c r="AC57" s="24">
        <f t="shared" si="3"/>
        <v>10.552538189605309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9.75</v>
      </c>
      <c r="AI57" s="14">
        <f>IF('Données projet'!$A$62&gt;35,AI56+AH57-AQ56,IF(A57&lt;'Données projet'!$A$62,$AF$205^A57,IF(A57='Données projet'!$A$62,'Données projet'!$B$62,AI56+AH57-AQ56)))</f>
        <v>245.5</v>
      </c>
      <c r="AJ57" s="14">
        <f>AI57*VLOOKUP('Données projet'!$B$10,Paramètres!$A$1:$I$89,3,0)*VLOOKUP('Données projet'!$B$10,Paramètres!$A$1:$I$89,5,0)</f>
        <v>153.19199999999998</v>
      </c>
      <c r="AK57" s="14">
        <f t="shared" si="35"/>
        <v>39.303087713366921</v>
      </c>
      <c r="AL57" s="22">
        <f t="shared" si="4"/>
        <v>335.2622777674473</v>
      </c>
      <c r="AM57" s="62">
        <f t="shared" si="5"/>
        <v>628.59561110078062</v>
      </c>
      <c r="AN57" s="62">
        <f ca="1">AVERAGE(OFFSET($AM$3,0,0,'Données projet'!$E$10+1,1))-AVERAGE(OFFSET($H$3,0,0,'Données projet'!$E$10+1,1))</f>
        <v>175.05987582828078</v>
      </c>
      <c r="AO57" s="62">
        <f t="shared" si="36"/>
        <v>268.54782308462387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4.6679878232138439</v>
      </c>
      <c r="AW57" s="23">
        <f>EXP(-LN(2)/2)*AW56+(1-EXP(-LN(2)/2))/(LN(2)/2)*AQ57*AT57*VLOOKUP('Données projet'!$B$10,Paramètres!$A$1:$I$89,3,0)*0.475*44/12</f>
        <v>3.0881255861055093E-3</v>
      </c>
      <c r="AX57" s="23">
        <f t="shared" si="6"/>
        <v>4.6710759487999498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14.254807692307686</v>
      </c>
      <c r="BD57" s="13">
        <f>IF('Données projet'!$A$88&gt;35,BD56+BC57-BL56,IF(A57&lt;'Données projet'!$A$88,$BA$205^A57,IF(A57='Données projet'!$A$88,'Données projet'!$B$88,BD56+BC57-BL56)))</f>
        <v>306.30384615384605</v>
      </c>
      <c r="BE57" s="14">
        <f>BD57*VLOOKUP('Données projet'!$B$11,Paramètres!$A$1:$I$89,3,0)*VLOOKUP('Données projet'!$B$11,Paramètres!$A$1:$I$89,5,0)</f>
        <v>143.35019999999997</v>
      </c>
      <c r="BF57" s="14">
        <f t="shared" si="37"/>
        <v>37.063429775262271</v>
      </c>
      <c r="BG57" s="22">
        <f t="shared" si="7"/>
        <v>314.22040519191506</v>
      </c>
      <c r="BH57" s="62">
        <f t="shared" si="8"/>
        <v>607.55373852524838</v>
      </c>
      <c r="BI57" s="62">
        <f ca="1">AVERAGE(OFFSET($BH$3,0,0,'Données projet'!$E$11+1,1))-AVERAGE(OFFSET($H$3,0,0,'Données projet'!$E$11+1,1))</f>
        <v>183.46485104601493</v>
      </c>
      <c r="BJ57" s="62">
        <f t="shared" si="38"/>
        <v>127.47790120677581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12.25</v>
      </c>
      <c r="BY57" s="13">
        <f>IF('Données projet'!$A$114&gt;35,BY56+BX57-CG56,IF(A57&lt;'Données projet'!$A$114,$BV$205^A57,IF(A57='Données projet'!$A$114,'Données projet'!$B$114,BY56+BX57-CG56)))</f>
        <v>322.99999999999994</v>
      </c>
      <c r="BZ57" s="14">
        <f>BY57*VLOOKUP('Données projet'!$B$12,Paramètres!$A$1:$I$89,3,0)*VLOOKUP('Données projet'!$B$12,Paramètres!$A$1:$I$89,5,0)</f>
        <v>184.75599999999997</v>
      </c>
      <c r="CA57" s="14">
        <f t="shared" si="39"/>
        <v>46.378697169162017</v>
      </c>
      <c r="CB57" s="22">
        <f t="shared" si="10"/>
        <v>402.5595975696238</v>
      </c>
      <c r="CC57" s="62">
        <f t="shared" si="11"/>
        <v>695.89293090295712</v>
      </c>
      <c r="CD57" s="62">
        <f ca="1">AVERAGE(OFFSET($CC$3,0,0,'Données projet'!$E$12+1,1))-AVERAGE(OFFSET($H$3,0,0,'Données projet'!$E$12+1,1))</f>
        <v>228.06050741667258</v>
      </c>
      <c r="CE57" s="62">
        <f t="shared" si="40"/>
        <v>191.94885821983536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4.7452280000707514</v>
      </c>
      <c r="CM57" s="23">
        <f>EXP(-LN(2)/2)*CM56+(1-EXP(-LN(2)/2))/(LN(2)/2)*CG57*CJ57*VLOOKUP('Données projet'!$B$12,Paramètres!$A$1:$I$89,3,0)*0.475*44/12</f>
        <v>3.1395454961486262E-3</v>
      </c>
      <c r="CN57" s="24">
        <f t="shared" si="12"/>
        <v>4.7483675455669001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8.4</v>
      </c>
      <c r="CT57" s="13">
        <f>IF('Données projet'!$A$140&gt;35,CT56+CS57-DB56,IF(A57&lt;'Données projet'!$A$140,$CQ$205^A57,IF(A57='Données projet'!$A$140,'Données projet'!$B$140,CT56+CS57-DB56)))</f>
        <v>336.59999999999985</v>
      </c>
      <c r="CU57" s="18">
        <f>CT57*VLOOKUP('Données projet'!$B$13,Paramètres!$A$1:$I$89,3,0)*VLOOKUP('Données projet'!$B$13,Paramètres!$A$1:$I$89,5,0)</f>
        <v>267.79895999999991</v>
      </c>
      <c r="CV57" s="14">
        <f t="shared" si="41"/>
        <v>64.381930752466076</v>
      </c>
      <c r="CW57" s="22">
        <f t="shared" si="13"/>
        <v>578.54838472721156</v>
      </c>
      <c r="CX57" s="62">
        <f t="shared" si="14"/>
        <v>871.88171806054493</v>
      </c>
      <c r="CY57" s="62">
        <f ca="1">AVERAGE(OFFSET($CX$3,0,0,'Données projet'!$E$13+1,1))-AVERAGE(OFFSET($H$3,0,0,'Données projet'!$E$13+1,1))</f>
        <v>343.37244130003143</v>
      </c>
      <c r="CZ57" s="62">
        <f t="shared" si="42"/>
        <v>318.38876834819763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271.60000000000002</v>
      </c>
      <c r="DP57" s="18">
        <f>DO57*VLOOKUP('Données projet'!$B$14,Paramètres!$A$1:$I$89,3,0)*VLOOKUP('Données projet'!$B$14,Paramètres!$A$1:$I$89,5,0)</f>
        <v>199.13712000000001</v>
      </c>
      <c r="DQ57" s="14">
        <f t="shared" si="43"/>
        <v>49.554485124576232</v>
      </c>
      <c r="DR57" s="22">
        <f t="shared" si="16"/>
        <v>433.1378789253036</v>
      </c>
      <c r="DS57" s="62">
        <f t="shared" si="17"/>
        <v>726.47121225863691</v>
      </c>
      <c r="DT57" s="62">
        <f ca="1">AVERAGE(OFFSET($DS$3,0,0,'Données projet'!$E$14+1,1))-AVERAGE(OFFSET($H$3,0,0,'Données projet'!$E$14+1,1))</f>
        <v>263.81634201637729</v>
      </c>
      <c r="DU57" s="62">
        <f t="shared" si="44"/>
        <v>302.03767435507262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-2.2737367544323206E-13</v>
      </c>
      <c r="O58" s="14">
        <f>N58*VLOOKUP('Données projet'!$B$9,Paramètres!$A$1:$I$89,3,0)*VLOOKUP('Données projet'!$B$9,Paramètres!$A$1:$I$89,5,0)</f>
        <v>-1.2710188457276673E-13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322.63846641467165</v>
      </c>
      <c r="T58" s="62">
        <f t="shared" si="34"/>
        <v>435.17386576419966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10.26328453501848</v>
      </c>
      <c r="AB58" s="23">
        <f>EXP(-LN(2)/2)*AB57+(1-EXP(-LN(2)/2))/(LN(2)/2)*V58*Y58*VLOOKUP('Données projet'!$B$9,Paramètres!$A$1:$I$89,3,0)*0.475*44/12</f>
        <v>5.0448692221180525E-4</v>
      </c>
      <c r="AC58" s="24">
        <f t="shared" si="3"/>
        <v>10.263789021940692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9.75</v>
      </c>
      <c r="AI58" s="14">
        <f>IF('Données projet'!$A$62&gt;35,AI57+AH58-AQ57,IF(A58&lt;'Données projet'!$A$62,$AF$205^A58,IF(A58='Données projet'!$A$62,'Données projet'!$B$62,AI57+AH58-AQ57)))</f>
        <v>255.25</v>
      </c>
      <c r="AJ58" s="14">
        <f>AI58*VLOOKUP('Données projet'!$B$10,Paramètres!$A$1:$I$89,3,0)*VLOOKUP('Données projet'!$B$10,Paramètres!$A$1:$I$89,5,0)</f>
        <v>159.27600000000001</v>
      </c>
      <c r="AK58" s="14">
        <f t="shared" si="35"/>
        <v>40.679172107249002</v>
      </c>
      <c r="AL58" s="22">
        <f t="shared" si="4"/>
        <v>348.25525808679203</v>
      </c>
      <c r="AM58" s="62">
        <f t="shared" si="5"/>
        <v>641.58859142012534</v>
      </c>
      <c r="AN58" s="62">
        <f ca="1">AVERAGE(OFFSET($AM$3,0,0,'Données projet'!$E$10+1,1))-AVERAGE(OFFSET($H$3,0,0,'Données projet'!$E$10+1,1))</f>
        <v>175.05987582828078</v>
      </c>
      <c r="AO58" s="62">
        <f t="shared" si="36"/>
        <v>268.54782308462387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4.5403414507092501</v>
      </c>
      <c r="AW58" s="23">
        <f>EXP(-LN(2)/2)*AW57+(1-EXP(-LN(2)/2))/(LN(2)/2)*AQ58*AT58*VLOOKUP('Données projet'!$B$10,Paramètres!$A$1:$I$89,3,0)*0.475*44/12</f>
        <v>2.1836345430908872E-3</v>
      </c>
      <c r="AX58" s="23">
        <f t="shared" si="6"/>
        <v>4.5425250852523407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14.254807692307686</v>
      </c>
      <c r="BD58" s="13">
        <f>IF('Données projet'!$A$88&gt;35,BD57+BC58-BL57,IF(A58&lt;'Données projet'!$A$88,$BA$205^A58,IF(A58='Données projet'!$A$88,'Données projet'!$B$88,BD57+BC58-BL57)))</f>
        <v>320.55865384615373</v>
      </c>
      <c r="BE58" s="14">
        <f>BD58*VLOOKUP('Données projet'!$B$11,Paramètres!$A$1:$I$89,3,0)*VLOOKUP('Données projet'!$B$11,Paramètres!$A$1:$I$89,5,0)</f>
        <v>150.02144999999993</v>
      </c>
      <c r="BF58" s="14">
        <f t="shared" si="37"/>
        <v>38.583460169756968</v>
      </c>
      <c r="BG58" s="22">
        <f t="shared" si="7"/>
        <v>328.48688521232657</v>
      </c>
      <c r="BH58" s="62">
        <f t="shared" si="8"/>
        <v>621.82021854565983</v>
      </c>
      <c r="BI58" s="62">
        <f ca="1">AVERAGE(OFFSET($BH$3,0,0,'Données projet'!$E$11+1,1))-AVERAGE(OFFSET($H$3,0,0,'Données projet'!$E$11+1,1))</f>
        <v>183.46485104601493</v>
      </c>
      <c r="BJ58" s="62">
        <f t="shared" si="38"/>
        <v>127.47790120677581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12.25</v>
      </c>
      <c r="BY58" s="13">
        <f>IF('Données projet'!$A$114&gt;35,BY57+BX58-CG57,IF(A58&lt;'Données projet'!$A$114,$BV$205^A58,IF(A58='Données projet'!$A$114,'Données projet'!$B$114,BY57+BX58-CG57)))</f>
        <v>335.24999999999994</v>
      </c>
      <c r="BZ58" s="14">
        <f>BY58*VLOOKUP('Données projet'!$B$12,Paramètres!$A$1:$I$89,3,0)*VLOOKUP('Données projet'!$B$12,Paramètres!$A$1:$I$89,5,0)</f>
        <v>191.76299999999995</v>
      </c>
      <c r="CA58" s="14">
        <f t="shared" si="39"/>
        <v>47.929517351413239</v>
      </c>
      <c r="CB58" s="22">
        <f t="shared" si="10"/>
        <v>417.46446772037797</v>
      </c>
      <c r="CC58" s="62">
        <f t="shared" si="11"/>
        <v>710.79780105371128</v>
      </c>
      <c r="CD58" s="62">
        <f ca="1">AVERAGE(OFFSET($CC$3,0,0,'Données projet'!$E$12+1,1))-AVERAGE(OFFSET($H$3,0,0,'Données projet'!$E$12+1,1))</f>
        <v>228.06050741667258</v>
      </c>
      <c r="CE58" s="62">
        <f t="shared" si="40"/>
        <v>191.94885821983536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4.6154694908681213</v>
      </c>
      <c r="CM58" s="23">
        <f>EXP(-LN(2)/2)*CM57+(1-EXP(-LN(2)/2))/(LN(2)/2)*CG58*CJ58*VLOOKUP('Données projet'!$B$12,Paramètres!$A$1:$I$89,3,0)*0.475*44/12</f>
        <v>2.2199939101703774E-3</v>
      </c>
      <c r="CN58" s="24">
        <f t="shared" si="12"/>
        <v>4.6176894847782917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345</v>
      </c>
      <c r="CR58" s="13">
        <f>VLOOKUP(A58,'Données projet'!$A$139:$I$159,9,0)</f>
        <v>8.4</v>
      </c>
      <c r="CS58" s="13">
        <f t="array" ref="CS58">INDEX(CR:CR,MIN(IF(ISNUMBER(CR58:CR254),ROW(CR58:CR254),"")))</f>
        <v>8.4</v>
      </c>
      <c r="CT58" s="13">
        <f>IF('Données projet'!$A$140&gt;35,CT57+CS58-DB57,IF(A58&lt;'Données projet'!$A$140,$CQ$205^A58,IF(A58='Données projet'!$A$140,'Données projet'!$B$140,CT57+CS58-DB57)))</f>
        <v>344.99999999999983</v>
      </c>
      <c r="CU58" s="18">
        <f>CT58*VLOOKUP('Données projet'!$B$13,Paramètres!$A$1:$I$89,3,0)*VLOOKUP('Données projet'!$B$13,Paramètres!$A$1:$I$89,5,0)</f>
        <v>274.48199999999986</v>
      </c>
      <c r="CV58" s="14">
        <f t="shared" si="41"/>
        <v>65.79954946633589</v>
      </c>
      <c r="CW58" s="22">
        <f t="shared" si="13"/>
        <v>592.65703198720132</v>
      </c>
      <c r="CX58" s="62">
        <f t="shared" si="14"/>
        <v>885.99036532053469</v>
      </c>
      <c r="CY58" s="62">
        <f ca="1">AVERAGE(OFFSET($CX$3,0,0,'Données projet'!$E$13+1,1))-AVERAGE(OFFSET($H$3,0,0,'Données projet'!$E$13+1,1))</f>
        <v>343.37244130003143</v>
      </c>
      <c r="CZ58" s="62">
        <f t="shared" si="42"/>
        <v>318.38876834819763</v>
      </c>
      <c r="DA58" s="16">
        <f>IF(ISNA(VLOOKUP(A58,'Données projet'!$A$139:$I$159,3,0)),0,VLOOKUP(A58,'Données projet'!$A$139:$I$159,3,0))</f>
        <v>5</v>
      </c>
      <c r="DB58" s="16">
        <f>IF(ISNA(VLOOKUP(A58,'Données projet'!$A$139:$I$159,4,0)),0,VLOOKUP(A58,'Données projet'!$A$139:$I$159,4,0))</f>
        <v>39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279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279</v>
      </c>
      <c r="DP58" s="18">
        <f>DO58*VLOOKUP('Données projet'!$B$14,Paramètres!$A$1:$I$89,3,0)*VLOOKUP('Données projet'!$B$14,Paramètres!$A$1:$I$89,5,0)</f>
        <v>204.56280000000001</v>
      </c>
      <c r="DQ58" s="14">
        <f t="shared" si="43"/>
        <v>50.74561278586372</v>
      </c>
      <c r="DR58" s="22">
        <f t="shared" si="16"/>
        <v>444.66215226871265</v>
      </c>
      <c r="DS58" s="62">
        <f t="shared" si="17"/>
        <v>737.99548560204596</v>
      </c>
      <c r="DT58" s="62">
        <f ca="1">AVERAGE(OFFSET($DS$3,0,0,'Données projet'!$E$14+1,1))-AVERAGE(OFFSET($H$3,0,0,'Données projet'!$E$14+1,1))</f>
        <v>263.81634201637729</v>
      </c>
      <c r="DU58" s="62">
        <f t="shared" si="44"/>
        <v>302.03767435507262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-2.2737367544323206E-13</v>
      </c>
      <c r="O59" s="14">
        <f>N59*VLOOKUP('Données projet'!$B$9,Paramètres!$A$1:$I$89,3,0)*VLOOKUP('Données projet'!$B$9,Paramètres!$A$1:$I$89,5,0)</f>
        <v>-1.2710188457276673E-13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322.63846641467165</v>
      </c>
      <c r="T59" s="62">
        <f t="shared" si="34"/>
        <v>435.17386576419966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9.9826344796857232</v>
      </c>
      <c r="AB59" s="23">
        <f>EXP(-LN(2)/2)*AB58+(1-EXP(-LN(2)/2))/(LN(2)/2)*V59*Y59*VLOOKUP('Données projet'!$B$9,Paramètres!$A$1:$I$89,3,0)*0.475*44/12</f>
        <v>3.567261237158978E-4</v>
      </c>
      <c r="AC59" s="24">
        <f t="shared" si="3"/>
        <v>9.982991205809439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9.75</v>
      </c>
      <c r="AI59" s="14">
        <f>IF('Données projet'!$A$62&gt;35,AI58+AH59-AQ58,IF(A59&lt;'Données projet'!$A$62,$AF$205^A59,IF(A59='Données projet'!$A$62,'Données projet'!$B$62,AI58+AH59-AQ58)))</f>
        <v>265</v>
      </c>
      <c r="AJ59" s="14">
        <f>AI59*VLOOKUP('Données projet'!$B$10,Paramètres!$A$1:$I$89,3,0)*VLOOKUP('Données projet'!$B$10,Paramètres!$A$1:$I$89,5,0)</f>
        <v>165.35999999999999</v>
      </c>
      <c r="AK59" s="14">
        <f t="shared" si="35"/>
        <v>42.04915012784209</v>
      </c>
      <c r="AL59" s="22">
        <f t="shared" si="4"/>
        <v>361.2376031393249</v>
      </c>
      <c r="AM59" s="62">
        <f t="shared" si="5"/>
        <v>654.57093647265822</v>
      </c>
      <c r="AN59" s="62">
        <f ca="1">AVERAGE(OFFSET($AM$3,0,0,'Données projet'!$E$10+1,1))-AVERAGE(OFFSET($H$3,0,0,'Données projet'!$E$10+1,1))</f>
        <v>175.05987582828078</v>
      </c>
      <c r="AO59" s="62">
        <f t="shared" si="36"/>
        <v>268.54782308462387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4.4161855749734258</v>
      </c>
      <c r="AW59" s="23">
        <f>EXP(-LN(2)/2)*AW58+(1-EXP(-LN(2)/2))/(LN(2)/2)*AQ59*AT59*VLOOKUP('Données projet'!$B$10,Paramètres!$A$1:$I$89,3,0)*0.475*44/12</f>
        <v>1.5440627930527547E-3</v>
      </c>
      <c r="AX59" s="23">
        <f t="shared" si="6"/>
        <v>4.4177296377664783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14.254807692307686</v>
      </c>
      <c r="BD59" s="13">
        <f>IF('Données projet'!$A$88&gt;35,BD58+BC59-BL58,IF(A59&lt;'Données projet'!$A$88,$BA$205^A59,IF(A59='Données projet'!$A$88,'Données projet'!$B$88,BD58+BC59-BL58)))</f>
        <v>334.81346153846141</v>
      </c>
      <c r="BE59" s="14">
        <f>BD59*VLOOKUP('Données projet'!$B$11,Paramètres!$A$1:$I$89,3,0)*VLOOKUP('Données projet'!$B$11,Paramètres!$A$1:$I$89,5,0)</f>
        <v>156.69269999999995</v>
      </c>
      <c r="BF59" s="14">
        <f t="shared" si="37"/>
        <v>40.095640254763687</v>
      </c>
      <c r="BG59" s="22">
        <f t="shared" si="7"/>
        <v>342.73969261037996</v>
      </c>
      <c r="BH59" s="62">
        <f t="shared" si="8"/>
        <v>636.07302594371322</v>
      </c>
      <c r="BI59" s="62">
        <f ca="1">AVERAGE(OFFSET($BH$3,0,0,'Données projet'!$E$11+1,1))-AVERAGE(OFFSET($H$3,0,0,'Données projet'!$E$11+1,1))</f>
        <v>183.46485104601493</v>
      </c>
      <c r="BJ59" s="62">
        <f t="shared" si="38"/>
        <v>127.47790120677581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12.25</v>
      </c>
      <c r="BY59" s="13">
        <f>IF('Données projet'!$A$114&gt;35,BY58+BX59-CG58,IF(A59&lt;'Données projet'!$A$114,$BV$205^A59,IF(A59='Données projet'!$A$114,'Données projet'!$B$114,BY58+BX59-CG58)))</f>
        <v>347.49999999999994</v>
      </c>
      <c r="BZ59" s="14">
        <f>BY59*VLOOKUP('Données projet'!$B$12,Paramètres!$A$1:$I$89,3,0)*VLOOKUP('Données projet'!$B$12,Paramètres!$A$1:$I$89,5,0)</f>
        <v>198.76999999999998</v>
      </c>
      <c r="CA59" s="14">
        <f t="shared" si="39"/>
        <v>49.473753977140319</v>
      </c>
      <c r="CB59" s="22">
        <f t="shared" si="10"/>
        <v>432.35787151018599</v>
      </c>
      <c r="CC59" s="62">
        <f t="shared" si="11"/>
        <v>725.69120484351924</v>
      </c>
      <c r="CD59" s="62">
        <f ca="1">AVERAGE(OFFSET($CC$3,0,0,'Données projet'!$E$12+1,1))-AVERAGE(OFFSET($H$3,0,0,'Données projet'!$E$12+1,1))</f>
        <v>228.06050741667258</v>
      </c>
      <c r="CE59" s="62">
        <f t="shared" si="40"/>
        <v>191.94885821983536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4.4892592349233409</v>
      </c>
      <c r="CM59" s="23">
        <f>EXP(-LN(2)/2)*CM58+(1-EXP(-LN(2)/2))/(LN(2)/2)*CG59*CJ59*VLOOKUP('Données projet'!$B$12,Paramètres!$A$1:$I$89,3,0)*0.475*44/12</f>
        <v>1.5697727480743131E-3</v>
      </c>
      <c r="CN59" s="24">
        <f t="shared" si="12"/>
        <v>4.4908290076714152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7.2</v>
      </c>
      <c r="CT59" s="13">
        <f>IF('Données projet'!$A$140&gt;35,CT58+CS59-DB58,IF(A59&lt;'Données projet'!$A$140,$CQ$205^A59,IF(A59='Données projet'!$A$140,'Données projet'!$B$140,CT58+CS59-DB58)))</f>
        <v>313.19999999999982</v>
      </c>
      <c r="CU59" s="18">
        <f>CT59*VLOOKUP('Données projet'!$B$13,Paramètres!$A$1:$I$89,3,0)*VLOOKUP('Données projet'!$B$13,Paramètres!$A$1:$I$89,5,0)</f>
        <v>249.18191999999988</v>
      </c>
      <c r="CV59" s="14">
        <f t="shared" si="41"/>
        <v>60.410727929515545</v>
      </c>
      <c r="CW59" s="22">
        <f t="shared" si="13"/>
        <v>539.20719514390601</v>
      </c>
      <c r="CX59" s="62">
        <f t="shared" si="14"/>
        <v>832.54052847723938</v>
      </c>
      <c r="CY59" s="62">
        <f ca="1">AVERAGE(OFFSET($CX$3,0,0,'Données projet'!$E$13+1,1))-AVERAGE(OFFSET($H$3,0,0,'Données projet'!$E$13+1,1))</f>
        <v>343.37244130003143</v>
      </c>
      <c r="CZ59" s="62">
        <f t="shared" si="42"/>
        <v>318.38876834819763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</v>
      </c>
      <c r="DO59" s="13">
        <f>IF('Données projet'!$A$166&gt;35,DO58+DN59-DW58,IF(A59&lt;'Données projet'!$A$166,$DL$205^A59,IF(A59='Données projet'!$A$166,'Données projet'!$B$166,DO58+DN59-DW58)))</f>
        <v>285.2</v>
      </c>
      <c r="DP59" s="18">
        <f>DO59*VLOOKUP('Données projet'!$B$14,Paramètres!$A$1:$I$89,3,0)*VLOOKUP('Données projet'!$B$14,Paramètres!$A$1:$I$89,5,0)</f>
        <v>209.10863999999998</v>
      </c>
      <c r="DQ59" s="14">
        <f t="shared" si="43"/>
        <v>51.740752917407036</v>
      </c>
      <c r="DR59" s="22">
        <f t="shared" si="16"/>
        <v>454.3126926644839</v>
      </c>
      <c r="DS59" s="62">
        <f t="shared" si="17"/>
        <v>747.64602599781722</v>
      </c>
      <c r="DT59" s="62">
        <f ca="1">AVERAGE(OFFSET($DS$3,0,0,'Données projet'!$E$14+1,1))-AVERAGE(OFFSET($H$3,0,0,'Données projet'!$E$14+1,1))</f>
        <v>263.81634201637729</v>
      </c>
      <c r="DU59" s="62">
        <f t="shared" si="44"/>
        <v>302.03767435507262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projet'!$B$9,Paramètres!$A$1:$I$89,3,0)*VLOOKUP('Données projet'!$B$9,Paramètres!$A$1:$I$89,5,0)</f>
        <v>-1.2710188457276673E-13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322.63846641467165</v>
      </c>
      <c r="T60" s="62">
        <f t="shared" si="34"/>
        <v>435.17386576419966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9.7096588148747855</v>
      </c>
      <c r="AB60" s="23">
        <f>EXP(-LN(2)/2)*AB59+(1-EXP(-LN(2)/2))/(LN(2)/2)*V60*Y60*VLOOKUP('Données projet'!$B$9,Paramètres!$A$1:$I$89,3,0)*0.475*44/12</f>
        <v>2.5224346110590262E-4</v>
      </c>
      <c r="AC60" s="24">
        <f t="shared" si="3"/>
        <v>9.7099110583358907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9.75</v>
      </c>
      <c r="AI60" s="14">
        <f>IF('Données projet'!$A$62&gt;35,AI59+AH60-AQ59,IF(A60&lt;'Données projet'!$A$62,$AF$205^A60,IF(A60='Données projet'!$A$62,'Données projet'!$B$62,AI59+AH60-AQ59)))</f>
        <v>274.75</v>
      </c>
      <c r="AJ60" s="14">
        <f>AI60*VLOOKUP('Données projet'!$B$10,Paramètres!$A$1:$I$89,3,0)*VLOOKUP('Données projet'!$B$10,Paramètres!$A$1:$I$89,5,0)</f>
        <v>171.44399999999999</v>
      </c>
      <c r="AK60" s="14">
        <f t="shared" si="35"/>
        <v>43.413272173627242</v>
      </c>
      <c r="AL60" s="22">
        <f t="shared" si="4"/>
        <v>374.20974903573409</v>
      </c>
      <c r="AM60" s="62">
        <f t="shared" si="5"/>
        <v>667.54308236906741</v>
      </c>
      <c r="AN60" s="62">
        <f ca="1">AVERAGE(OFFSET($AM$3,0,0,'Données projet'!$E$10+1,1))-AVERAGE(OFFSET($H$3,0,0,'Données projet'!$E$10+1,1))</f>
        <v>175.05987582828078</v>
      </c>
      <c r="AO60" s="62">
        <f t="shared" si="36"/>
        <v>268.54782308462387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4.2954247481886716</v>
      </c>
      <c r="AW60" s="23">
        <f>EXP(-LN(2)/2)*AW59+(1-EXP(-LN(2)/2))/(LN(2)/2)*AQ60*AT60*VLOOKUP('Données projet'!$B$10,Paramètres!$A$1:$I$89,3,0)*0.475*44/12</f>
        <v>1.0918172715454436E-3</v>
      </c>
      <c r="AX60" s="23">
        <f t="shared" si="6"/>
        <v>4.2965165654602169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14.254807692307686</v>
      </c>
      <c r="BD60" s="13">
        <f>IF('Données projet'!$A$88&gt;35,BD59+BC60-BL59,IF(A60&lt;'Données projet'!$A$88,$BA$205^A60,IF(A60='Données projet'!$A$88,'Données projet'!$B$88,BD59+BC60-BL59)))</f>
        <v>349.06826923076909</v>
      </c>
      <c r="BE60" s="14">
        <f>BD60*VLOOKUP('Données projet'!$B$11,Paramètres!$A$1:$I$89,3,0)*VLOOKUP('Données projet'!$B$11,Paramètres!$A$1:$I$89,5,0)</f>
        <v>163.36394999999993</v>
      </c>
      <c r="BF60" s="14">
        <f t="shared" si="37"/>
        <v>41.600342471015871</v>
      </c>
      <c r="BG60" s="22">
        <f t="shared" si="7"/>
        <v>356.9794760536858</v>
      </c>
      <c r="BH60" s="62">
        <f t="shared" si="8"/>
        <v>650.31280938701912</v>
      </c>
      <c r="BI60" s="62">
        <f ca="1">AVERAGE(OFFSET($BH$3,0,0,'Données projet'!$E$11+1,1))-AVERAGE(OFFSET($H$3,0,0,'Données projet'!$E$11+1,1))</f>
        <v>183.46485104601493</v>
      </c>
      <c r="BJ60" s="62">
        <f t="shared" si="38"/>
        <v>127.47790120677581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12.25</v>
      </c>
      <c r="BY60" s="13">
        <f>IF('Données projet'!$A$114&gt;35,BY59+BX60-CG59,IF(A60&lt;'Données projet'!$A$114,$BV$205^A60,IF(A60='Données projet'!$A$114,'Données projet'!$B$114,BY59+BX60-CG59)))</f>
        <v>359.74999999999994</v>
      </c>
      <c r="BZ60" s="14">
        <f>BY60*VLOOKUP('Données projet'!$B$12,Paramètres!$A$1:$I$89,3,0)*VLOOKUP('Données projet'!$B$12,Paramètres!$A$1:$I$89,5,0)</f>
        <v>205.77699999999996</v>
      </c>
      <c r="CA60" s="14">
        <f t="shared" si="39"/>
        <v>51.011665720992838</v>
      </c>
      <c r="CB60" s="22">
        <f t="shared" si="10"/>
        <v>447.24025946406249</v>
      </c>
      <c r="CC60" s="62">
        <f t="shared" si="11"/>
        <v>740.5735927973958</v>
      </c>
      <c r="CD60" s="62">
        <f ca="1">AVERAGE(OFFSET($CC$3,0,0,'Données projet'!$E$12+1,1))-AVERAGE(OFFSET($H$3,0,0,'Données projet'!$E$12+1,1))</f>
        <v>228.06050741667258</v>
      </c>
      <c r="CE60" s="62">
        <f t="shared" si="40"/>
        <v>191.94885821983536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4.3665002050644794</v>
      </c>
      <c r="CM60" s="23">
        <f>EXP(-LN(2)/2)*CM59+(1-EXP(-LN(2)/2))/(LN(2)/2)*CG60*CJ60*VLOOKUP('Données projet'!$B$12,Paramètres!$A$1:$I$89,3,0)*0.475*44/12</f>
        <v>1.1099969550851887E-3</v>
      </c>
      <c r="CN60" s="24">
        <f t="shared" si="12"/>
        <v>4.3676102020195646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7.2</v>
      </c>
      <c r="CT60" s="13">
        <f>IF('Données projet'!$A$140&gt;35,CT59+CS60-DB59,IF(A60&lt;'Données projet'!$A$140,$CQ$205^A60,IF(A60='Données projet'!$A$140,'Données projet'!$B$140,CT59+CS60-DB59)))</f>
        <v>320.39999999999981</v>
      </c>
      <c r="CU60" s="18">
        <f>CT60*VLOOKUP('Données projet'!$B$13,Paramètres!$A$1:$I$89,3,0)*VLOOKUP('Données projet'!$B$13,Paramètres!$A$1:$I$89,5,0)</f>
        <v>254.91023999999987</v>
      </c>
      <c r="CV60" s="14">
        <f t="shared" si="41"/>
        <v>61.636201619620884</v>
      </c>
      <c r="CW60" s="22">
        <f t="shared" si="13"/>
        <v>551.31838582083947</v>
      </c>
      <c r="CX60" s="62">
        <f t="shared" si="14"/>
        <v>844.65171915417272</v>
      </c>
      <c r="CY60" s="62">
        <f ca="1">AVERAGE(OFFSET($CX$3,0,0,'Données projet'!$E$13+1,1))-AVERAGE(OFFSET($H$3,0,0,'Données projet'!$E$13+1,1))</f>
        <v>343.37244130003143</v>
      </c>
      <c r="CZ60" s="62">
        <f t="shared" si="42"/>
        <v>318.38876834819763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</v>
      </c>
      <c r="DO60" s="13">
        <f>IF('Données projet'!$A$166&gt;35,DO59+DN60-DW59,IF(A60&lt;'Données projet'!$A$166,$DL$205^A60,IF(A60='Données projet'!$A$166,'Données projet'!$B$166,DO59+DN60-DW59)))</f>
        <v>291.39999999999998</v>
      </c>
      <c r="DP60" s="18">
        <f>DO60*VLOOKUP('Données projet'!$B$14,Paramètres!$A$1:$I$89,3,0)*VLOOKUP('Données projet'!$B$14,Paramètres!$A$1:$I$89,5,0)</f>
        <v>213.65447999999995</v>
      </c>
      <c r="DQ60" s="14">
        <f t="shared" si="43"/>
        <v>52.733377885657866</v>
      </c>
      <c r="DR60" s="22">
        <f t="shared" si="16"/>
        <v>463.95885248418728</v>
      </c>
      <c r="DS60" s="62">
        <f t="shared" si="17"/>
        <v>757.29218581752059</v>
      </c>
      <c r="DT60" s="62">
        <f ca="1">AVERAGE(OFFSET($DS$3,0,0,'Données projet'!$E$14+1,1))-AVERAGE(OFFSET($H$3,0,0,'Données projet'!$E$14+1,1))</f>
        <v>263.81634201637729</v>
      </c>
      <c r="DU60" s="62">
        <f t="shared" si="44"/>
        <v>302.03767435507262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projet'!$B$9,Paramètres!$A$1:$I$89,3,0)*VLOOKUP('Données projet'!$B$9,Paramètres!$A$1:$I$89,5,0)</f>
        <v>-1.2710188457276673E-13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322.63846641467165</v>
      </c>
      <c r="T61" s="62">
        <f t="shared" si="34"/>
        <v>435.17386576419966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9.4441476839732683</v>
      </c>
      <c r="AB61" s="23">
        <f>EXP(-LN(2)/2)*AB60+(1-EXP(-LN(2)/2))/(LN(2)/2)*V61*Y61*VLOOKUP('Données projet'!$B$9,Paramètres!$A$1:$I$89,3,0)*0.475*44/12</f>
        <v>1.783630618579489E-4</v>
      </c>
      <c r="AC61" s="24">
        <f t="shared" si="3"/>
        <v>9.4443260470351262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9.75</v>
      </c>
      <c r="AI61" s="14">
        <f>IF('Données projet'!$A$62&gt;35,AI60+AH61-AQ60,IF(A61&lt;'Données projet'!$A$62,$AF$205^A61,IF(A61='Données projet'!$A$62,'Données projet'!$B$62,AI60+AH61-AQ60)))</f>
        <v>284.5</v>
      </c>
      <c r="AJ61" s="14">
        <f>AI61*VLOOKUP('Données projet'!$B$10,Paramètres!$A$1:$I$89,3,0)*VLOOKUP('Données projet'!$B$10,Paramètres!$A$1:$I$89,5,0)</f>
        <v>177.52800000000002</v>
      </c>
      <c r="AK61" s="14">
        <f t="shared" si="35"/>
        <v>44.771769863863661</v>
      </c>
      <c r="AL61" s="22">
        <f t="shared" si="4"/>
        <v>387.17209917956257</v>
      </c>
      <c r="AM61" s="62">
        <f t="shared" si="5"/>
        <v>680.50543251289582</v>
      </c>
      <c r="AN61" s="62">
        <f ca="1">AVERAGE(OFFSET($AM$3,0,0,'Données projet'!$E$10+1,1))-AVERAGE(OFFSET($H$3,0,0,'Données projet'!$E$10+1,1))</f>
        <v>175.05987582828078</v>
      </c>
      <c r="AO61" s="62">
        <f t="shared" si="36"/>
        <v>268.54782308462387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4.1779661325628821</v>
      </c>
      <c r="AW61" s="23">
        <f>EXP(-LN(2)/2)*AW60+(1-EXP(-LN(2)/2))/(LN(2)/2)*AQ61*AT61*VLOOKUP('Données projet'!$B$10,Paramètres!$A$1:$I$89,3,0)*0.475*44/12</f>
        <v>7.7203139652637733E-4</v>
      </c>
      <c r="AX61" s="23">
        <f t="shared" si="6"/>
        <v>4.1787381639594088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363.32307692307688</v>
      </c>
      <c r="BB61" s="13">
        <f>VLOOKUP(A61,'Données projet'!$A$87:$I$107,9,0)</f>
        <v>14.254807692307686</v>
      </c>
      <c r="BC61" s="13">
        <f t="array" ref="BC61">INDEX(BB:BB,MIN(IF(ISNUMBER(BB61:BB257),ROW(BB61:BB257),"")))</f>
        <v>14.254807692307686</v>
      </c>
      <c r="BD61" s="13">
        <f>IF('Données projet'!$A$88&gt;35,BD60+BC61-BL60,IF(A61&lt;'Données projet'!$A$88,$BA$205^A61,IF(A61='Données projet'!$A$88,'Données projet'!$B$88,BD60+BC61-BL60)))</f>
        <v>363.32307692307677</v>
      </c>
      <c r="BE61" s="14">
        <f>BD61*VLOOKUP('Données projet'!$B$11,Paramètres!$A$1:$I$89,3,0)*VLOOKUP('Données projet'!$B$11,Paramètres!$A$1:$I$89,5,0)</f>
        <v>170.03519999999995</v>
      </c>
      <c r="BF61" s="14">
        <f t="shared" si="37"/>
        <v>43.097907119364415</v>
      </c>
      <c r="BG61" s="22">
        <f t="shared" si="7"/>
        <v>371.20682823289286</v>
      </c>
      <c r="BH61" s="62">
        <f t="shared" si="8"/>
        <v>664.54016156622617</v>
      </c>
      <c r="BI61" s="62">
        <f ca="1">AVERAGE(OFFSET($BH$3,0,0,'Données projet'!$E$11+1,1))-AVERAGE(OFFSET($H$3,0,0,'Données projet'!$E$11+1,1))</f>
        <v>183.46485104601493</v>
      </c>
      <c r="BJ61" s="62">
        <f t="shared" si="38"/>
        <v>127.47790120677581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80.315384615384588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372</v>
      </c>
      <c r="BW61" s="13">
        <f>VLOOKUP(A61,'Données projet'!$A$113:$I$133,9,0)</f>
        <v>12.25</v>
      </c>
      <c r="BX61" s="13">
        <f t="array" ref="BX61">INDEX(BW:BW,MIN(IF(ISNUMBER(BW61:BW257),ROW(BW61:BW257),"")))</f>
        <v>12.25</v>
      </c>
      <c r="BY61" s="13">
        <f>IF('Données projet'!$A$114&gt;35,BY60+BX61-CG60,IF(A61&lt;'Données projet'!$A$114,$BV$205^A61,IF(A61='Données projet'!$A$114,'Données projet'!$B$114,BY60+BX61-CG60)))</f>
        <v>371.99999999999994</v>
      </c>
      <c r="BZ61" s="14">
        <f>BY61*VLOOKUP('Données projet'!$B$12,Paramètres!$A$1:$I$89,3,0)*VLOOKUP('Données projet'!$B$12,Paramètres!$A$1:$I$89,5,0)</f>
        <v>212.78399999999999</v>
      </c>
      <c r="CA61" s="14">
        <f t="shared" si="39"/>
        <v>52.543492641808065</v>
      </c>
      <c r="CB61" s="22">
        <f t="shared" si="10"/>
        <v>462.11204968448237</v>
      </c>
      <c r="CC61" s="62">
        <f t="shared" si="11"/>
        <v>755.44538301781563</v>
      </c>
      <c r="CD61" s="62">
        <f ca="1">AVERAGE(OFFSET($CC$3,0,0,'Données projet'!$E$12+1,1))-AVERAGE(OFFSET($H$3,0,0,'Données projet'!$E$12+1,1))</f>
        <v>228.06050741667258</v>
      </c>
      <c r="CE61" s="62">
        <f t="shared" si="40"/>
        <v>191.94885821983536</v>
      </c>
      <c r="CF61" s="16">
        <f>IF(ISNA(VLOOKUP(A61,'Données projet'!$A$113:$I$133,3,0)),0,VLOOKUP(A61,'Données projet'!$A$113:$I$133,3,0))</f>
        <v>7</v>
      </c>
      <c r="CG61" s="16">
        <f>IF(ISNA(VLOOKUP(A61,'Données projet'!$A$113:$I$133,4,0)),0,VLOOKUP(A61,'Données projet'!$A$113:$I$133,4,0))</f>
        <v>48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4.2470980273327257</v>
      </c>
      <c r="CM61" s="23">
        <f>EXP(-LN(2)/2)*CM60+(1-EXP(-LN(2)/2))/(LN(2)/2)*CG61*CJ61*VLOOKUP('Données projet'!$B$12,Paramètres!$A$1:$I$89,3,0)*0.475*44/12</f>
        <v>7.8488637403715655E-4</v>
      </c>
      <c r="CN61" s="24">
        <f t="shared" si="12"/>
        <v>4.2478829137067624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7.2</v>
      </c>
      <c r="CT61" s="13">
        <f>IF('Données projet'!$A$140&gt;35,CT60+CS61-DB60,IF(A61&lt;'Données projet'!$A$140,$CQ$205^A61,IF(A61='Données projet'!$A$140,'Données projet'!$B$140,CT60+CS61-DB60)))</f>
        <v>327.5999999999998</v>
      </c>
      <c r="CU61" s="18">
        <f>CT61*VLOOKUP('Données projet'!$B$13,Paramètres!$A$1:$I$89,3,0)*VLOOKUP('Données projet'!$B$13,Paramètres!$A$1:$I$89,5,0)</f>
        <v>260.63855999999987</v>
      </c>
      <c r="CV61" s="14">
        <f t="shared" si="41"/>
        <v>62.858473704931839</v>
      </c>
      <c r="CW61" s="22">
        <f t="shared" si="13"/>
        <v>563.42400036942274</v>
      </c>
      <c r="CX61" s="62">
        <f t="shared" si="14"/>
        <v>856.75733370275611</v>
      </c>
      <c r="CY61" s="62">
        <f ca="1">AVERAGE(OFFSET($CX$3,0,0,'Données projet'!$E$13+1,1))-AVERAGE(OFFSET($H$3,0,0,'Données projet'!$E$13+1,1))</f>
        <v>343.37244130003143</v>
      </c>
      <c r="CZ61" s="62">
        <f t="shared" si="42"/>
        <v>318.38876834819763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</v>
      </c>
      <c r="DO61" s="13">
        <f>IF('Données projet'!$A$166&gt;35,DO60+DN61-DW60,IF(A61&lt;'Données projet'!$A$166,$DL$205^A61,IF(A61='Données projet'!$A$166,'Données projet'!$B$166,DO60+DN61-DW60)))</f>
        <v>297.59999999999997</v>
      </c>
      <c r="DP61" s="18">
        <f>DO61*VLOOKUP('Données projet'!$B$14,Paramètres!$A$1:$I$89,3,0)*VLOOKUP('Données projet'!$B$14,Paramètres!$A$1:$I$89,5,0)</f>
        <v>218.20031999999998</v>
      </c>
      <c r="DQ61" s="14">
        <f t="shared" si="43"/>
        <v>53.723547368945667</v>
      </c>
      <c r="DR61" s="22">
        <f t="shared" si="16"/>
        <v>473.6007356675803</v>
      </c>
      <c r="DS61" s="62">
        <f t="shared" si="17"/>
        <v>766.93406900091361</v>
      </c>
      <c r="DT61" s="62">
        <f ca="1">AVERAGE(OFFSET($DS$3,0,0,'Données projet'!$E$14+1,1))-AVERAGE(OFFSET($H$3,0,0,'Données projet'!$E$14+1,1))</f>
        <v>263.81634201637729</v>
      </c>
      <c r="DU61" s="62">
        <f t="shared" si="44"/>
        <v>302.03767435507262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projet'!$B$9,Paramètres!$A$1:$I$89,3,0)*VLOOKUP('Données projet'!$B$9,Paramètres!$A$1:$I$89,5,0)</f>
        <v>-1.2710188457276673E-13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322.63846641467165</v>
      </c>
      <c r="T62" s="62">
        <f t="shared" si="34"/>
        <v>435.17386576419966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9.1858969689088781</v>
      </c>
      <c r="AB62" s="23">
        <f>EXP(-LN(2)/2)*AB61+(1-EXP(-LN(2)/2))/(LN(2)/2)*V62*Y62*VLOOKUP('Données projet'!$B$9,Paramètres!$A$1:$I$89,3,0)*0.475*44/12</f>
        <v>1.2612173055295131E-4</v>
      </c>
      <c r="AC62" s="24">
        <f t="shared" si="3"/>
        <v>9.1860230906394307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9.75</v>
      </c>
      <c r="AI62" s="14">
        <f>IF('Données projet'!$A$62&gt;35,AI61+AH62-AQ61,IF(A62&lt;'Données projet'!$A$62,$AF$205^A62,IF(A62='Données projet'!$A$62,'Données projet'!$B$62,AI61+AH62-AQ61)))</f>
        <v>294.25</v>
      </c>
      <c r="AJ62" s="14">
        <f>AI62*VLOOKUP('Données projet'!$B$10,Paramètres!$A$1:$I$89,3,0)*VLOOKUP('Données projet'!$B$10,Paramètres!$A$1:$I$89,5,0)</f>
        <v>183.61199999999999</v>
      </c>
      <c r="AK62" s="14">
        <f t="shared" si="35"/>
        <v>46.124858041839339</v>
      </c>
      <c r="AL62" s="22">
        <f t="shared" si="4"/>
        <v>400.12502775620351</v>
      </c>
      <c r="AM62" s="62">
        <f t="shared" si="5"/>
        <v>693.45836108953677</v>
      </c>
      <c r="AN62" s="62">
        <f ca="1">AVERAGE(OFFSET($AM$3,0,0,'Données projet'!$E$10+1,1))-AVERAGE(OFFSET($H$3,0,0,'Données projet'!$E$10+1,1))</f>
        <v>175.05987582828078</v>
      </c>
      <c r="AO62" s="62">
        <f t="shared" si="36"/>
        <v>268.54782308462387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4.0637194289582599</v>
      </c>
      <c r="AW62" s="23">
        <f>EXP(-LN(2)/2)*AW61+(1-EXP(-LN(2)/2))/(LN(2)/2)*AQ62*AT62*VLOOKUP('Données projet'!$B$10,Paramètres!$A$1:$I$89,3,0)*0.475*44/12</f>
        <v>5.459086357727218E-4</v>
      </c>
      <c r="AX62" s="23">
        <f t="shared" si="6"/>
        <v>4.0642653375940325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13.723076923076924</v>
      </c>
      <c r="BD62" s="13">
        <f>IF('Données projet'!$A$88&gt;35,BD61+BC62-BL61,IF(A62&lt;'Données projet'!$A$88,$BA$205^A62,IF(A62='Données projet'!$A$88,'Données projet'!$B$88,BD61+BC62-BL61)))</f>
        <v>296.73076923076911</v>
      </c>
      <c r="BE62" s="14">
        <f>BD62*VLOOKUP('Données projet'!$B$11,Paramètres!$A$1:$I$89,3,0)*VLOOKUP('Données projet'!$B$11,Paramètres!$A$1:$I$89,5,0)</f>
        <v>138.86999999999995</v>
      </c>
      <c r="BF62" s="14">
        <f t="shared" si="37"/>
        <v>36.038016391479793</v>
      </c>
      <c r="BG62" s="22">
        <f t="shared" si="7"/>
        <v>304.63146188182719</v>
      </c>
      <c r="BH62" s="62">
        <f t="shared" si="8"/>
        <v>597.96479521516051</v>
      </c>
      <c r="BI62" s="62">
        <f ca="1">AVERAGE(OFFSET($BH$3,0,0,'Données projet'!$E$11+1,1))-AVERAGE(OFFSET($H$3,0,0,'Données projet'!$E$11+1,1))</f>
        <v>183.46485104601493</v>
      </c>
      <c r="BJ62" s="62">
        <f t="shared" si="38"/>
        <v>127.47790120677581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11.375</v>
      </c>
      <c r="BY62" s="13">
        <f>IF('Données projet'!$A$114&gt;35,BY61+BX62-CG61,IF(A62&lt;'Données projet'!$A$114,$BV$205^A62,IF(A62='Données projet'!$A$114,'Données projet'!$B$114,BY61+BX62-CG61)))</f>
        <v>335.37499999999994</v>
      </c>
      <c r="BZ62" s="14">
        <f>BY62*VLOOKUP('Données projet'!$B$12,Paramètres!$A$1:$I$89,3,0)*VLOOKUP('Données projet'!$B$12,Paramètres!$A$1:$I$89,5,0)</f>
        <v>191.83449999999996</v>
      </c>
      <c r="CA62" s="14">
        <f t="shared" si="39"/>
        <v>47.945307658140791</v>
      </c>
      <c r="CB62" s="22">
        <f t="shared" si="10"/>
        <v>417.61649833792848</v>
      </c>
      <c r="CC62" s="62">
        <f t="shared" si="11"/>
        <v>710.94983167126179</v>
      </c>
      <c r="CD62" s="62">
        <f ca="1">AVERAGE(OFFSET($CC$3,0,0,'Données projet'!$E$12+1,1))-AVERAGE(OFFSET($H$3,0,0,'Données projet'!$E$12+1,1))</f>
        <v>228.06050741667258</v>
      </c>
      <c r="CE62" s="62">
        <f t="shared" si="40"/>
        <v>191.94885821983536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4.1309609084301337</v>
      </c>
      <c r="CM62" s="23">
        <f>EXP(-LN(2)/2)*CM61+(1-EXP(-LN(2)/2))/(LN(2)/2)*CG62*CJ62*VLOOKUP('Données projet'!$B$12,Paramètres!$A$1:$I$89,3,0)*0.475*44/12</f>
        <v>5.5499847754259435E-4</v>
      </c>
      <c r="CN62" s="24">
        <f t="shared" si="12"/>
        <v>4.1315159069076763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7.2</v>
      </c>
      <c r="CT62" s="13">
        <f>IF('Données projet'!$A$140&gt;35,CT61+CS62-DB61,IF(A62&lt;'Données projet'!$A$140,$CQ$205^A62,IF(A62='Données projet'!$A$140,'Données projet'!$B$140,CT61+CS62-DB61)))</f>
        <v>334.79999999999978</v>
      </c>
      <c r="CU62" s="18">
        <f>CT62*VLOOKUP('Données projet'!$B$13,Paramètres!$A$1:$I$89,3,0)*VLOOKUP('Données projet'!$B$13,Paramètres!$A$1:$I$89,5,0)</f>
        <v>266.36687999999987</v>
      </c>
      <c r="CV62" s="14">
        <f t="shared" si="41"/>
        <v>64.077622653233107</v>
      </c>
      <c r="CW62" s="22">
        <f t="shared" si="13"/>
        <v>575.52417545438072</v>
      </c>
      <c r="CX62" s="62">
        <f t="shared" si="14"/>
        <v>868.8575087877141</v>
      </c>
      <c r="CY62" s="62">
        <f ca="1">AVERAGE(OFFSET($CX$3,0,0,'Données projet'!$E$13+1,1))-AVERAGE(OFFSET($H$3,0,0,'Données projet'!$E$13+1,1))</f>
        <v>343.37244130003143</v>
      </c>
      <c r="CZ62" s="62">
        <f t="shared" si="42"/>
        <v>318.38876834819763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</v>
      </c>
      <c r="DO62" s="13">
        <f>IF('Données projet'!$A$166&gt;35,DO61+DN62-DW61,IF(A62&lt;'Données projet'!$A$166,$DL$205^A62,IF(A62='Données projet'!$A$166,'Données projet'!$B$166,DO61+DN62-DW61)))</f>
        <v>303.79999999999995</v>
      </c>
      <c r="DP62" s="18">
        <f>DO62*VLOOKUP('Données projet'!$B$14,Paramètres!$A$1:$I$89,3,0)*VLOOKUP('Données projet'!$B$14,Paramètres!$A$1:$I$89,5,0)</f>
        <v>222.74615999999997</v>
      </c>
      <c r="DQ62" s="14">
        <f t="shared" si="43"/>
        <v>54.711318416900006</v>
      </c>
      <c r="DR62" s="22">
        <f t="shared" si="16"/>
        <v>483.23844157610074</v>
      </c>
      <c r="DS62" s="62">
        <f t="shared" si="17"/>
        <v>776.571774909434</v>
      </c>
      <c r="DT62" s="62">
        <f ca="1">AVERAGE(OFFSET($DS$3,0,0,'Données projet'!$E$14+1,1))-AVERAGE(OFFSET($H$3,0,0,'Données projet'!$E$14+1,1))</f>
        <v>263.81634201637729</v>
      </c>
      <c r="DU62" s="62">
        <f t="shared" si="44"/>
        <v>302.03767435507262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projet'!$B$9,Paramètres!$A$1:$I$89,3,0)*VLOOKUP('Données projet'!$B$9,Paramètres!$A$1:$I$89,5,0)</f>
        <v>-1.2710188457276673E-13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322.63846641467165</v>
      </c>
      <c r="T63" s="62">
        <f t="shared" si="34"/>
        <v>435.17386576419966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8.934708133228737</v>
      </c>
      <c r="AB63" s="23">
        <f>EXP(-LN(2)/2)*AB62+(1-EXP(-LN(2)/2))/(LN(2)/2)*V63*Y63*VLOOKUP('Données projet'!$B$9,Paramètres!$A$1:$I$89,3,0)*0.475*44/12</f>
        <v>8.9181530928974449E-5</v>
      </c>
      <c r="AC63" s="24">
        <f t="shared" si="3"/>
        <v>8.9347973147596669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304</v>
      </c>
      <c r="AG63" s="13">
        <f>VLOOKUP(A63,'Données projet'!$A$61:$I$81,9,0)</f>
        <v>9.75</v>
      </c>
      <c r="AH63" s="13">
        <f t="array" ref="AH63">INDEX(AG:AG,MIN(IF(ISNUMBER(AG63:AG259),ROW(AG63:AG259),"")))</f>
        <v>9.75</v>
      </c>
      <c r="AI63" s="14">
        <f>IF('Données projet'!$A$62&gt;35,AI62+AH63-AQ62,IF(A63&lt;'Données projet'!$A$62,$AF$205^A63,IF(A63='Données projet'!$A$62,'Données projet'!$B$62,AI62+AH63-AQ62)))</f>
        <v>304</v>
      </c>
      <c r="AJ63" s="14">
        <f>AI63*VLOOKUP('Données projet'!$B$10,Paramètres!$A$1:$I$89,3,0)*VLOOKUP('Données projet'!$B$10,Paramètres!$A$1:$I$89,5,0)</f>
        <v>189.696</v>
      </c>
      <c r="AK63" s="14">
        <f t="shared" si="35"/>
        <v>47.472736505152469</v>
      </c>
      <c r="AL63" s="22">
        <f t="shared" si="4"/>
        <v>413.06888274647389</v>
      </c>
      <c r="AM63" s="62">
        <f t="shared" si="5"/>
        <v>706.4022160798072</v>
      </c>
      <c r="AN63" s="62">
        <f ca="1">AVERAGE(OFFSET($AM$3,0,0,'Données projet'!$E$10+1,1))-AVERAGE(OFFSET($H$3,0,0,'Données projet'!$E$10+1,1))</f>
        <v>175.05987582828078</v>
      </c>
      <c r="AO63" s="62">
        <f t="shared" si="36"/>
        <v>268.54782308462387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304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3.9525968074716791</v>
      </c>
      <c r="AW63" s="23">
        <f>EXP(-LN(2)/2)*AW62+(1-EXP(-LN(2)/2))/(LN(2)/2)*AQ63*AT63*VLOOKUP('Données projet'!$B$10,Paramètres!$A$1:$I$89,3,0)*0.475*44/12</f>
        <v>3.8601569826318867E-4</v>
      </c>
      <c r="AX63" s="23">
        <f t="shared" si="6"/>
        <v>3.9529828231699424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13.723076923076924</v>
      </c>
      <c r="BD63" s="13">
        <f>IF('Données projet'!$A$88&gt;35,BD62+BC63-BL62,IF(A63&lt;'Données projet'!$A$88,$BA$205^A63,IF(A63='Données projet'!$A$88,'Données projet'!$B$88,BD62+BC63-BL62)))</f>
        <v>310.45384615384603</v>
      </c>
      <c r="BE63" s="14">
        <f>BD63*VLOOKUP('Données projet'!$B$11,Paramètres!$A$1:$I$89,3,0)*VLOOKUP('Données projet'!$B$11,Paramètres!$A$1:$I$89,5,0)</f>
        <v>145.29239999999993</v>
      </c>
      <c r="BF63" s="14">
        <f t="shared" si="37"/>
        <v>37.506789343413246</v>
      </c>
      <c r="BG63" s="22">
        <f t="shared" si="7"/>
        <v>318.37525477311129</v>
      </c>
      <c r="BH63" s="62">
        <f t="shared" si="8"/>
        <v>611.70858810644461</v>
      </c>
      <c r="BI63" s="62">
        <f ca="1">AVERAGE(OFFSET($BH$3,0,0,'Données projet'!$E$11+1,1))-AVERAGE(OFFSET($H$3,0,0,'Données projet'!$E$11+1,1))</f>
        <v>183.46485104601493</v>
      </c>
      <c r="BJ63" s="62">
        <f t="shared" si="38"/>
        <v>127.47790120677581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11.375</v>
      </c>
      <c r="BY63" s="13">
        <f>IF('Données projet'!$A$114&gt;35,BY62+BX63-CG62,IF(A63&lt;'Données projet'!$A$114,$BV$205^A63,IF(A63='Données projet'!$A$114,'Données projet'!$B$114,BY62+BX63-CG62)))</f>
        <v>346.74999999999994</v>
      </c>
      <c r="BZ63" s="14">
        <f>BY63*VLOOKUP('Données projet'!$B$12,Paramètres!$A$1:$I$89,3,0)*VLOOKUP('Données projet'!$B$12,Paramètres!$A$1:$I$89,5,0)</f>
        <v>198.34099999999995</v>
      </c>
      <c r="CA63" s="14">
        <f t="shared" si="39"/>
        <v>49.379393175979537</v>
      </c>
      <c r="CB63" s="22">
        <f t="shared" si="10"/>
        <v>431.44635144816431</v>
      </c>
      <c r="CC63" s="62">
        <f t="shared" si="11"/>
        <v>724.77968478149762</v>
      </c>
      <c r="CD63" s="62">
        <f ca="1">AVERAGE(OFFSET($CC$3,0,0,'Données projet'!$E$12+1,1))-AVERAGE(OFFSET($H$3,0,0,'Données projet'!$E$12+1,1))</f>
        <v>228.06050741667258</v>
      </c>
      <c r="CE63" s="62">
        <f t="shared" si="40"/>
        <v>191.94885821983536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4.0179995651513192</v>
      </c>
      <c r="CM63" s="23">
        <f>EXP(-LN(2)/2)*CM62+(1-EXP(-LN(2)/2))/(LN(2)/2)*CG63*CJ63*VLOOKUP('Données projet'!$B$12,Paramètres!$A$1:$I$89,3,0)*0.475*44/12</f>
        <v>3.9244318701857827E-4</v>
      </c>
      <c r="CN63" s="24">
        <f t="shared" si="12"/>
        <v>4.0183920083383375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342</v>
      </c>
      <c r="CR63" s="13">
        <f>VLOOKUP(A63,'Données projet'!$A$139:$I$159,9,0)</f>
        <v>7.2</v>
      </c>
      <c r="CS63" s="13">
        <f t="array" ref="CS63">INDEX(CR:CR,MIN(IF(ISNUMBER(CR63:CR259),ROW(CR63:CR259),"")))</f>
        <v>7.2</v>
      </c>
      <c r="CT63" s="13">
        <f>IF('Données projet'!$A$140&gt;35,CT62+CS63-DB62,IF(A63&lt;'Données projet'!$A$140,$CQ$205^A63,IF(A63='Données projet'!$A$140,'Données projet'!$B$140,CT62+CS63-DB62)))</f>
        <v>341.99999999999977</v>
      </c>
      <c r="CU63" s="18">
        <f>CT63*VLOOKUP('Données projet'!$B$13,Paramètres!$A$1:$I$89,3,0)*VLOOKUP('Données projet'!$B$13,Paramètres!$A$1:$I$89,5,0)</f>
        <v>272.09519999999981</v>
      </c>
      <c r="CV63" s="14">
        <f t="shared" si="41"/>
        <v>65.293723364568379</v>
      </c>
      <c r="CW63" s="22">
        <f t="shared" si="13"/>
        <v>587.61904152662294</v>
      </c>
      <c r="CX63" s="62">
        <f t="shared" si="14"/>
        <v>880.95237485995631</v>
      </c>
      <c r="CY63" s="62">
        <f ca="1">AVERAGE(OFFSET($CX$3,0,0,'Données projet'!$E$13+1,1))-AVERAGE(OFFSET($H$3,0,0,'Données projet'!$E$13+1,1))</f>
        <v>343.37244130003143</v>
      </c>
      <c r="CZ63" s="62">
        <f t="shared" si="42"/>
        <v>318.38876834819763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310</v>
      </c>
      <c r="DM63" s="13">
        <f>VLOOKUP(A63,'Données projet'!$A$165:$I$185,9,0)</f>
        <v>6.2</v>
      </c>
      <c r="DN63" s="13">
        <f t="array" ref="DN63">INDEX(DM:DM,MIN(IF(ISNUMBER(DM63:DM259),ROW(DM63:DM259),"")))</f>
        <v>6.2</v>
      </c>
      <c r="DO63" s="13">
        <f>IF('Données projet'!$A$166&gt;35,DO62+DN63-DW62,IF(A63&lt;'Données projet'!$A$166,$DL$205^A63,IF(A63='Données projet'!$A$166,'Données projet'!$B$166,DO62+DN63-DW62)))</f>
        <v>309.99999999999994</v>
      </c>
      <c r="DP63" s="18">
        <f>DO63*VLOOKUP('Données projet'!$B$14,Paramètres!$A$1:$I$89,3,0)*VLOOKUP('Données projet'!$B$14,Paramètres!$A$1:$I$89,5,0)</f>
        <v>227.29199999999994</v>
      </c>
      <c r="DQ63" s="14">
        <f t="shared" si="43"/>
        <v>55.6967456174837</v>
      </c>
      <c r="DR63" s="22">
        <f t="shared" si="16"/>
        <v>492.87206528378402</v>
      </c>
      <c r="DS63" s="62">
        <f t="shared" si="17"/>
        <v>786.20539861711734</v>
      </c>
      <c r="DT63" s="62">
        <f ca="1">AVERAGE(OFFSET($DS$3,0,0,'Données projet'!$E$14+1,1))-AVERAGE(OFFSET($H$3,0,0,'Données projet'!$E$14+1,1))</f>
        <v>263.81634201637729</v>
      </c>
      <c r="DU63" s="62">
        <f t="shared" si="44"/>
        <v>302.03767435507262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322.63846641467165</v>
      </c>
      <c r="T64" s="62">
        <f t="shared" si="34"/>
        <v>435.17386576419966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8.6903880694697175</v>
      </c>
      <c r="AB64" s="23">
        <f>EXP(-LN(2)/2)*AB63+(1-EXP(-LN(2)/2))/(LN(2)/2)*V64*Y64*VLOOKUP('Données projet'!$B$9,Paramètres!$A$1:$I$89,3,0)*0.475*44/12</f>
        <v>6.3060865276475656E-5</v>
      </c>
      <c r="AC64" s="24">
        <f t="shared" si="3"/>
        <v>8.6904511303349938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175.05987582828078</v>
      </c>
      <c r="AO64" s="62">
        <f t="shared" si="36"/>
        <v>268.54782308462387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3.8445128399133335</v>
      </c>
      <c r="AW64" s="23">
        <f>EXP(-LN(2)/2)*AW63+(1-EXP(-LN(2)/2))/(LN(2)/2)*AQ64*AT64*VLOOKUP('Données projet'!$B$10,Paramètres!$A$1:$I$89,3,0)*0.475*44/12</f>
        <v>2.729543178863609E-4</v>
      </c>
      <c r="AX64" s="23">
        <f t="shared" si="6"/>
        <v>3.8447857942312198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13.723076923076924</v>
      </c>
      <c r="BD64" s="13">
        <f>IF('Données projet'!$A$88&gt;35,BD63+BC64-BL63,IF(A64&lt;'Données projet'!$A$88,$BA$205^A64,IF(A64='Données projet'!$A$88,'Données projet'!$B$88,BD63+BC64-BL63)))</f>
        <v>324.17692307692295</v>
      </c>
      <c r="BE64" s="14">
        <f>BD64*VLOOKUP('Données projet'!$B$11,Paramètres!$A$1:$I$89,3,0)*VLOOKUP('Données projet'!$B$11,Paramètres!$A$1:$I$89,5,0)</f>
        <v>151.71479999999994</v>
      </c>
      <c r="BF64" s="14">
        <f t="shared" si="37"/>
        <v>38.968021890349867</v>
      </c>
      <c r="BG64" s="22">
        <f t="shared" si="7"/>
        <v>332.10591479235921</v>
      </c>
      <c r="BH64" s="62">
        <f t="shared" si="8"/>
        <v>625.43924812569253</v>
      </c>
      <c r="BI64" s="62">
        <f ca="1">AVERAGE(OFFSET($BH$3,0,0,'Données projet'!$E$11+1,1))-AVERAGE(OFFSET($H$3,0,0,'Données projet'!$E$11+1,1))</f>
        <v>183.46485104601493</v>
      </c>
      <c r="BJ64" s="62">
        <f t="shared" si="38"/>
        <v>127.47790120677581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11.375</v>
      </c>
      <c r="BY64" s="13">
        <f>IF('Données projet'!$A$114&gt;35,BY63+BX64-CG63,IF(A64&lt;'Données projet'!$A$114,$BV$205^A64,IF(A64='Données projet'!$A$114,'Données projet'!$B$114,BY63+BX64-CG63)))</f>
        <v>358.12499999999994</v>
      </c>
      <c r="BZ64" s="14">
        <f>BY64*VLOOKUP('Données projet'!$B$12,Paramètres!$A$1:$I$89,3,0)*VLOOKUP('Données projet'!$B$12,Paramètres!$A$1:$I$89,5,0)</f>
        <v>204.8475</v>
      </c>
      <c r="CA64" s="14">
        <f t="shared" si="39"/>
        <v>50.808012105592304</v>
      </c>
      <c r="CB64" s="22">
        <f t="shared" si="10"/>
        <v>445.26668358390657</v>
      </c>
      <c r="CC64" s="62">
        <f t="shared" si="11"/>
        <v>738.60001691723983</v>
      </c>
      <c r="CD64" s="62">
        <f ca="1">AVERAGE(OFFSET($CC$3,0,0,'Données projet'!$E$12+1,1))-AVERAGE(OFFSET($H$3,0,0,'Données projet'!$E$12+1,1))</f>
        <v>228.06050741667258</v>
      </c>
      <c r="CE64" s="62">
        <f t="shared" si="40"/>
        <v>191.94885821983536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3.9081271557448423</v>
      </c>
      <c r="CM64" s="23">
        <f>EXP(-LN(2)/2)*CM63+(1-EXP(-LN(2)/2))/(LN(2)/2)*CG64*CJ64*VLOOKUP('Données projet'!$B$12,Paramètres!$A$1:$I$89,3,0)*0.475*44/12</f>
        <v>2.7749923877129718E-4</v>
      </c>
      <c r="CN64" s="24">
        <f t="shared" si="12"/>
        <v>3.9084046549836136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6.2</v>
      </c>
      <c r="CT64" s="13">
        <f>IF('Données projet'!$A$140&gt;35,CT63+CS64-DB63,IF(A64&lt;'Données projet'!$A$140,$CQ$205^A64,IF(A64='Données projet'!$A$140,'Données projet'!$B$140,CT63+CS64-DB63)))</f>
        <v>348.19999999999976</v>
      </c>
      <c r="CU64" s="18">
        <f>CT64*VLOOKUP('Données projet'!$B$13,Paramètres!$A$1:$I$89,3,0)*VLOOKUP('Données projet'!$B$13,Paramètres!$A$1:$I$89,5,0)</f>
        <v>277.02791999999982</v>
      </c>
      <c r="CV64" s="14">
        <f t="shared" si="41"/>
        <v>66.338533387164233</v>
      </c>
      <c r="CW64" s="22">
        <f t="shared" si="13"/>
        <v>598.02990631597743</v>
      </c>
      <c r="CX64" s="62">
        <f t="shared" si="14"/>
        <v>891.3632396493108</v>
      </c>
      <c r="CY64" s="62">
        <f ca="1">AVERAGE(OFFSET($CX$3,0,0,'Données projet'!$E$13+1,1))-AVERAGE(OFFSET($H$3,0,0,'Données projet'!$E$13+1,1))</f>
        <v>343.37244130003143</v>
      </c>
      <c r="CZ64" s="62">
        <f t="shared" si="42"/>
        <v>318.38876834819763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285.19999999999993</v>
      </c>
      <c r="DP64" s="18">
        <f>DO64*VLOOKUP('Données projet'!$B$14,Paramètres!$A$1:$I$89,3,0)*VLOOKUP('Données projet'!$B$14,Paramètres!$A$1:$I$89,5,0)</f>
        <v>209.10863999999992</v>
      </c>
      <c r="DQ64" s="14">
        <f t="shared" si="43"/>
        <v>51.740752917407036</v>
      </c>
      <c r="DR64" s="22">
        <f t="shared" si="16"/>
        <v>454.31269266448368</v>
      </c>
      <c r="DS64" s="62">
        <f t="shared" si="17"/>
        <v>747.64602599781699</v>
      </c>
      <c r="DT64" s="62">
        <f ca="1">AVERAGE(OFFSET($DS$3,0,0,'Données projet'!$E$14+1,1))-AVERAGE(OFFSET($H$3,0,0,'Données projet'!$E$14+1,1))</f>
        <v>263.81634201637729</v>
      </c>
      <c r="DU64" s="62">
        <f t="shared" si="44"/>
        <v>302.03767435507262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322.63846641467165</v>
      </c>
      <c r="T65" s="62">
        <f t="shared" si="34"/>
        <v>435.17386576419966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8.4527489507024214</v>
      </c>
      <c r="AB65" s="23">
        <f>EXP(-LN(2)/2)*AB64+(1-EXP(-LN(2)/2))/(LN(2)/2)*V65*Y65*VLOOKUP('Données projet'!$B$9,Paramètres!$A$1:$I$89,3,0)*0.475*44/12</f>
        <v>4.4590765464487224E-5</v>
      </c>
      <c r="AC65" s="24">
        <f t="shared" si="3"/>
        <v>8.4527935414678854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175.05987582828078</v>
      </c>
      <c r="AO65" s="62">
        <f t="shared" si="36"/>
        <v>268.54782308462387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3.7393844341317597</v>
      </c>
      <c r="AW65" s="23">
        <f>EXP(-LN(2)/2)*AW64+(1-EXP(-LN(2)/2))/(LN(2)/2)*AQ65*AT65*VLOOKUP('Données projet'!$B$10,Paramètres!$A$1:$I$89,3,0)*0.475*44/12</f>
        <v>1.9300784913159433E-4</v>
      </c>
      <c r="AX65" s="23">
        <f t="shared" si="6"/>
        <v>3.7395774419808911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13.723076923076924</v>
      </c>
      <c r="BD65" s="13">
        <f>IF('Données projet'!$A$88&gt;35,BD64+BC65-BL64,IF(A65&lt;'Données projet'!$A$88,$BA$205^A65,IF(A65='Données projet'!$A$88,'Données projet'!$B$88,BD64+BC65-BL64)))</f>
        <v>337.89999999999986</v>
      </c>
      <c r="BE65" s="14">
        <f>BD65*VLOOKUP('Données projet'!$B$11,Paramètres!$A$1:$I$89,3,0)*VLOOKUP('Données projet'!$B$11,Paramètres!$A$1:$I$89,5,0)</f>
        <v>158.13719999999995</v>
      </c>
      <c r="BF65" s="14">
        <f t="shared" si="37"/>
        <v>40.422069728367696</v>
      </c>
      <c r="BG65" s="22">
        <f t="shared" si="7"/>
        <v>345.82406144357361</v>
      </c>
      <c r="BH65" s="62">
        <f t="shared" si="8"/>
        <v>639.15739477690693</v>
      </c>
      <c r="BI65" s="62">
        <f ca="1">AVERAGE(OFFSET($BH$3,0,0,'Données projet'!$E$11+1,1))-AVERAGE(OFFSET($H$3,0,0,'Données projet'!$E$11+1,1))</f>
        <v>183.46485104601493</v>
      </c>
      <c r="BJ65" s="62">
        <f t="shared" si="38"/>
        <v>127.47790120677581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11.375</v>
      </c>
      <c r="BY65" s="13">
        <f>IF('Données projet'!$A$114&gt;35,BY64+BX65-CG64,IF(A65&lt;'Données projet'!$A$114,$BV$205^A65,IF(A65='Données projet'!$A$114,'Données projet'!$B$114,BY64+BX65-CG64)))</f>
        <v>369.49999999999994</v>
      </c>
      <c r="BZ65" s="14">
        <f>BY65*VLOOKUP('Données projet'!$B$12,Paramètres!$A$1:$I$89,3,0)*VLOOKUP('Données projet'!$B$12,Paramètres!$A$1:$I$89,5,0)</f>
        <v>211.35399999999998</v>
      </c>
      <c r="CA65" s="14">
        <f t="shared" si="39"/>
        <v>52.23135799939994</v>
      </c>
      <c r="CB65" s="22">
        <f t="shared" si="10"/>
        <v>459.07783184895493</v>
      </c>
      <c r="CC65" s="62">
        <f t="shared" si="11"/>
        <v>752.41116518228819</v>
      </c>
      <c r="CD65" s="62">
        <f ca="1">AVERAGE(OFFSET($CC$3,0,0,'Données projet'!$E$12+1,1))-AVERAGE(OFFSET($H$3,0,0,'Données projet'!$E$12+1,1))</f>
        <v>228.06050741667258</v>
      </c>
      <c r="CE65" s="62">
        <f t="shared" si="40"/>
        <v>191.94885821983536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3.8012592131515244</v>
      </c>
      <c r="CM65" s="23">
        <f>EXP(-LN(2)/2)*CM64+(1-EXP(-LN(2)/2))/(LN(2)/2)*CG65*CJ65*VLOOKUP('Données projet'!$B$12,Paramètres!$A$1:$I$89,3,0)*0.475*44/12</f>
        <v>1.9622159350928914E-4</v>
      </c>
      <c r="CN65" s="24">
        <f t="shared" si="12"/>
        <v>3.8014554347450336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6.2</v>
      </c>
      <c r="CT65" s="13">
        <f>IF('Données projet'!$A$140&gt;35,CT64+CS65-DB64,IF(A65&lt;'Données projet'!$A$140,$CQ$205^A65,IF(A65='Données projet'!$A$140,'Données projet'!$B$140,CT64+CS65-DB64)))</f>
        <v>354.39999999999975</v>
      </c>
      <c r="CU65" s="18">
        <f>CT65*VLOOKUP('Données projet'!$B$13,Paramètres!$A$1:$I$89,3,0)*VLOOKUP('Données projet'!$B$13,Paramètres!$A$1:$I$89,5,0)</f>
        <v>281.96063999999984</v>
      </c>
      <c r="CV65" s="14">
        <f t="shared" si="41"/>
        <v>67.381180056149674</v>
      </c>
      <c r="CW65" s="22">
        <f t="shared" si="13"/>
        <v>608.43700326446037</v>
      </c>
      <c r="CX65" s="62">
        <f t="shared" si="14"/>
        <v>901.77033659779363</v>
      </c>
      <c r="CY65" s="62">
        <f ca="1">AVERAGE(OFFSET($CX$3,0,0,'Données projet'!$E$13+1,1))-AVERAGE(OFFSET($H$3,0,0,'Données projet'!$E$13+1,1))</f>
        <v>343.37244130003143</v>
      </c>
      <c r="CZ65" s="62">
        <f t="shared" si="42"/>
        <v>318.38876834819763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290.39999999999992</v>
      </c>
      <c r="DP65" s="18">
        <f>DO65*VLOOKUP('Données projet'!$B$14,Paramètres!$A$1:$I$89,3,0)*VLOOKUP('Données projet'!$B$14,Paramètres!$A$1:$I$89,5,0)</f>
        <v>212.92127999999991</v>
      </c>
      <c r="DQ65" s="14">
        <f t="shared" si="43"/>
        <v>52.57344469809297</v>
      </c>
      <c r="DR65" s="22">
        <f t="shared" si="16"/>
        <v>462.4033121825118</v>
      </c>
      <c r="DS65" s="62">
        <f t="shared" si="17"/>
        <v>755.73664551584511</v>
      </c>
      <c r="DT65" s="62">
        <f ca="1">AVERAGE(OFFSET($DS$3,0,0,'Données projet'!$E$14+1,1))-AVERAGE(OFFSET($H$3,0,0,'Données projet'!$E$14+1,1))</f>
        <v>263.81634201637729</v>
      </c>
      <c r="DU65" s="62">
        <f t="shared" si="44"/>
        <v>302.03767435507262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322.63846641467165</v>
      </c>
      <c r="T66" s="62">
        <f t="shared" si="34"/>
        <v>435.17386576419966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8.2216080861347152</v>
      </c>
      <c r="AB66" s="23">
        <f>EXP(-LN(2)/2)*AB65+(1-EXP(-LN(2)/2))/(LN(2)/2)*V66*Y66*VLOOKUP('Données projet'!$B$9,Paramètres!$A$1:$I$89,3,0)*0.475*44/12</f>
        <v>3.1530432638237828E-5</v>
      </c>
      <c r="AC66" s="24">
        <f t="shared" si="3"/>
        <v>8.2216396165673533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175.05987582828078</v>
      </c>
      <c r="AO66" s="62">
        <f t="shared" si="36"/>
        <v>268.54782308462387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3.6371307701347457</v>
      </c>
      <c r="AW66" s="23">
        <f>EXP(-LN(2)/2)*AW65+(1-EXP(-LN(2)/2))/(LN(2)/2)*AQ66*AT66*VLOOKUP('Données projet'!$B$10,Paramètres!$A$1:$I$89,3,0)*0.475*44/12</f>
        <v>1.3647715894318045E-4</v>
      </c>
      <c r="AX66" s="23">
        <f t="shared" si="6"/>
        <v>3.6372672472936891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13.723076923076924</v>
      </c>
      <c r="BD66" s="13">
        <f>IF('Données projet'!$A$88&gt;35,BD65+BC66-BL65,IF(A66&lt;'Données projet'!$A$88,$BA$205^A66,IF(A66='Données projet'!$A$88,'Données projet'!$B$88,BD65+BC66-BL65)))</f>
        <v>351.62307692307678</v>
      </c>
      <c r="BE66" s="14">
        <f>BD66*VLOOKUP('Données projet'!$B$11,Paramètres!$A$1:$I$89,3,0)*VLOOKUP('Données projet'!$B$11,Paramètres!$A$1:$I$89,5,0)</f>
        <v>164.55959999999993</v>
      </c>
      <c r="BF66" s="14">
        <f t="shared" si="37"/>
        <v>41.869258026833585</v>
      </c>
      <c r="BG66" s="22">
        <f t="shared" si="7"/>
        <v>359.53026106340167</v>
      </c>
      <c r="BH66" s="62">
        <f t="shared" si="8"/>
        <v>652.86359439673492</v>
      </c>
      <c r="BI66" s="62">
        <f ca="1">AVERAGE(OFFSET($BH$3,0,0,'Données projet'!$E$11+1,1))-AVERAGE(OFFSET($H$3,0,0,'Données projet'!$E$11+1,1))</f>
        <v>183.46485104601493</v>
      </c>
      <c r="BJ66" s="62">
        <f t="shared" si="38"/>
        <v>127.47790120677581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11.375</v>
      </c>
      <c r="BY66" s="13">
        <f>IF('Données projet'!$A$114&gt;35,BY65+BX66-CG65,IF(A66&lt;'Données projet'!$A$114,$BV$205^A66,IF(A66='Données projet'!$A$114,'Données projet'!$B$114,BY65+BX66-CG65)))</f>
        <v>380.87499999999994</v>
      </c>
      <c r="BZ66" s="14">
        <f>BY66*VLOOKUP('Données projet'!$B$12,Paramètres!$A$1:$I$89,3,0)*VLOOKUP('Données projet'!$B$12,Paramètres!$A$1:$I$89,5,0)</f>
        <v>217.86049999999997</v>
      </c>
      <c r="CA66" s="14">
        <f t="shared" si="39"/>
        <v>53.64961181582801</v>
      </c>
      <c r="CB66" s="22">
        <f t="shared" si="10"/>
        <v>472.88011141256703</v>
      </c>
      <c r="CC66" s="62">
        <f t="shared" si="11"/>
        <v>766.21344474590035</v>
      </c>
      <c r="CD66" s="62">
        <f ca="1">AVERAGE(OFFSET($CC$3,0,0,'Données projet'!$E$12+1,1))-AVERAGE(OFFSET($H$3,0,0,'Données projet'!$E$12+1,1))</f>
        <v>228.06050741667258</v>
      </c>
      <c r="CE66" s="62">
        <f t="shared" si="40"/>
        <v>191.94885821983536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3.6973135800683616</v>
      </c>
      <c r="CM66" s="23">
        <f>EXP(-LN(2)/2)*CM65+(1-EXP(-LN(2)/2))/(LN(2)/2)*CG66*CJ66*VLOOKUP('Données projet'!$B$12,Paramètres!$A$1:$I$89,3,0)*0.475*44/12</f>
        <v>1.3874961938564859E-4</v>
      </c>
      <c r="CN66" s="24">
        <f t="shared" si="12"/>
        <v>3.6974523296877475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6.2</v>
      </c>
      <c r="CT66" s="13">
        <f>IF('Données projet'!$A$140&gt;35,CT65+CS66-DB65,IF(A66&lt;'Données projet'!$A$140,$CQ$205^A66,IF(A66='Données projet'!$A$140,'Données projet'!$B$140,CT65+CS66-DB65)))</f>
        <v>360.59999999999974</v>
      </c>
      <c r="CU66" s="18">
        <f>CT66*VLOOKUP('Données projet'!$B$13,Paramètres!$A$1:$I$89,3,0)*VLOOKUP('Données projet'!$B$13,Paramètres!$A$1:$I$89,5,0)</f>
        <v>286.8933599999998</v>
      </c>
      <c r="CV66" s="14">
        <f t="shared" si="41"/>
        <v>68.421705584684801</v>
      </c>
      <c r="CW66" s="22">
        <f t="shared" si="13"/>
        <v>618.84040589332574</v>
      </c>
      <c r="CX66" s="62">
        <f t="shared" si="14"/>
        <v>912.17373922665911</v>
      </c>
      <c r="CY66" s="62">
        <f ca="1">AVERAGE(OFFSET($CX$3,0,0,'Données projet'!$E$13+1,1))-AVERAGE(OFFSET($H$3,0,0,'Données projet'!$E$13+1,1))</f>
        <v>343.37244130003143</v>
      </c>
      <c r="CZ66" s="62">
        <f t="shared" si="42"/>
        <v>318.38876834819763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295.59999999999991</v>
      </c>
      <c r="DP66" s="18">
        <f>DO66*VLOOKUP('Données projet'!$B$14,Paramètres!$A$1:$I$89,3,0)*VLOOKUP('Données projet'!$B$14,Paramètres!$A$1:$I$89,5,0)</f>
        <v>216.73391999999996</v>
      </c>
      <c r="DQ66" s="14">
        <f t="shared" si="43"/>
        <v>53.404402610883679</v>
      </c>
      <c r="DR66" s="22">
        <f t="shared" si="16"/>
        <v>470.49091188062226</v>
      </c>
      <c r="DS66" s="62">
        <f t="shared" si="17"/>
        <v>763.82424521395558</v>
      </c>
      <c r="DT66" s="62">
        <f ca="1">AVERAGE(OFFSET($DS$3,0,0,'Données projet'!$E$14+1,1))-AVERAGE(OFFSET($H$3,0,0,'Données projet'!$E$14+1,1))</f>
        <v>263.81634201637729</v>
      </c>
      <c r="DU66" s="62">
        <f t="shared" si="44"/>
        <v>302.03767435507262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322.63846641467165</v>
      </c>
      <c r="T67" s="62">
        <f t="shared" si="34"/>
        <v>435.17386576419966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7.9967877806637828</v>
      </c>
      <c r="AB67" s="23">
        <f>EXP(-LN(2)/2)*AB66+(1-EXP(-LN(2)/2))/(LN(2)/2)*V67*Y67*VLOOKUP('Données projet'!$B$9,Paramètres!$A$1:$I$89,3,0)*0.475*44/12</f>
        <v>2.2295382732243612E-5</v>
      </c>
      <c r="AC67" s="24">
        <f t="shared" si="3"/>
        <v>7.9968100760465148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175.05987582828078</v>
      </c>
      <c r="AO67" s="62">
        <f t="shared" si="36"/>
        <v>268.54782308462387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3.5376732379570166</v>
      </c>
      <c r="AW67" s="23">
        <f>EXP(-LN(2)/2)*AW66+(1-EXP(-LN(2)/2))/(LN(2)/2)*AQ67*AT67*VLOOKUP('Données projet'!$B$10,Paramètres!$A$1:$I$89,3,0)*0.475*44/12</f>
        <v>9.6503924565797167E-5</v>
      </c>
      <c r="AX67" s="23">
        <f t="shared" si="6"/>
        <v>3.5377697418815823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13.723076923076924</v>
      </c>
      <c r="BD67" s="13">
        <f>IF('Données projet'!$A$88&gt;35,BD66+BC67-BL66,IF(A67&lt;'Données projet'!$A$88,$BA$205^A67,IF(A67='Données projet'!$A$88,'Données projet'!$B$88,BD66+BC67-BL66)))</f>
        <v>365.3461538461537</v>
      </c>
      <c r="BE67" s="14">
        <f>BD67*VLOOKUP('Données projet'!$B$11,Paramètres!$A$1:$I$89,3,0)*VLOOKUP('Données projet'!$B$11,Paramètres!$A$1:$I$89,5,0)</f>
        <v>170.98199999999991</v>
      </c>
      <c r="BF67" s="14">
        <f t="shared" si="37"/>
        <v>43.309885136716623</v>
      </c>
      <c r="BG67" s="22">
        <f t="shared" si="7"/>
        <v>373.22503327978126</v>
      </c>
      <c r="BH67" s="62">
        <f t="shared" si="8"/>
        <v>666.55836661311457</v>
      </c>
      <c r="BI67" s="62">
        <f ca="1">AVERAGE(OFFSET($BH$3,0,0,'Données projet'!$E$11+1,1))-AVERAGE(OFFSET($H$3,0,0,'Données projet'!$E$11+1,1))</f>
        <v>183.46485104601493</v>
      </c>
      <c r="BJ67" s="62">
        <f t="shared" si="38"/>
        <v>127.47790120677581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11.375</v>
      </c>
      <c r="BY67" s="13">
        <f>IF('Données projet'!$A$114&gt;35,BY66+BX67-CG66,IF(A67&lt;'Données projet'!$A$114,$BV$205^A67,IF(A67='Données projet'!$A$114,'Données projet'!$B$114,BY66+BX67-CG66)))</f>
        <v>392.24999999999994</v>
      </c>
      <c r="BZ67" s="14">
        <f>BY67*VLOOKUP('Données projet'!$B$12,Paramètres!$A$1:$I$89,3,0)*VLOOKUP('Données projet'!$B$12,Paramètres!$A$1:$I$89,5,0)</f>
        <v>224.36699999999996</v>
      </c>
      <c r="CA67" s="14">
        <f t="shared" si="39"/>
        <v>55.062943090135803</v>
      </c>
      <c r="CB67" s="22">
        <f t="shared" si="10"/>
        <v>486.67381754865318</v>
      </c>
      <c r="CC67" s="62">
        <f t="shared" si="11"/>
        <v>780.00715088198649</v>
      </c>
      <c r="CD67" s="62">
        <f ca="1">AVERAGE(OFFSET($CC$3,0,0,'Données projet'!$E$12+1,1))-AVERAGE(OFFSET($H$3,0,0,'Données projet'!$E$12+1,1))</f>
        <v>228.06050741667258</v>
      </c>
      <c r="CE67" s="62">
        <f t="shared" si="40"/>
        <v>191.94885821983536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3.5962103457881214</v>
      </c>
      <c r="CM67" s="23">
        <f>EXP(-LN(2)/2)*CM66+(1-EXP(-LN(2)/2))/(LN(2)/2)*CG67*CJ67*VLOOKUP('Données projet'!$B$12,Paramètres!$A$1:$I$89,3,0)*0.475*44/12</f>
        <v>9.8110796754644568E-5</v>
      </c>
      <c r="CN67" s="24">
        <f t="shared" si="12"/>
        <v>3.5963084565848762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6.2</v>
      </c>
      <c r="CT67" s="13">
        <f>IF('Données projet'!$A$140&gt;35,CT66+CS67-DB66,IF(A67&lt;'Données projet'!$A$140,$CQ$205^A67,IF(A67='Données projet'!$A$140,'Données projet'!$B$140,CT66+CS67-DB66)))</f>
        <v>366.79999999999973</v>
      </c>
      <c r="CU67" s="18">
        <f>CT67*VLOOKUP('Données projet'!$B$13,Paramètres!$A$1:$I$89,3,0)*VLOOKUP('Données projet'!$B$13,Paramètres!$A$1:$I$89,5,0)</f>
        <v>291.82607999999982</v>
      </c>
      <c r="CV67" s="14">
        <f t="shared" si="41"/>
        <v>69.46015065116768</v>
      </c>
      <c r="CW67" s="22">
        <f t="shared" si="13"/>
        <v>629.24018505078334</v>
      </c>
      <c r="CX67" s="62">
        <f t="shared" si="14"/>
        <v>922.5735183841166</v>
      </c>
      <c r="CY67" s="62">
        <f ca="1">AVERAGE(OFFSET($CX$3,0,0,'Données projet'!$E$13+1,1))-AVERAGE(OFFSET($H$3,0,0,'Données projet'!$E$13+1,1))</f>
        <v>343.37244130003143</v>
      </c>
      <c r="CZ67" s="62">
        <f t="shared" si="42"/>
        <v>318.38876834819763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300.7999999999999</v>
      </c>
      <c r="DP67" s="18">
        <f>DO67*VLOOKUP('Données projet'!$B$14,Paramètres!$A$1:$I$89,3,0)*VLOOKUP('Données projet'!$B$14,Paramètres!$A$1:$I$89,5,0)</f>
        <v>220.54655999999991</v>
      </c>
      <c r="DQ67" s="14">
        <f t="shared" si="43"/>
        <v>54.233660675860236</v>
      </c>
      <c r="DR67" s="22">
        <f t="shared" si="16"/>
        <v>478.57555101045642</v>
      </c>
      <c r="DS67" s="62">
        <f t="shared" si="17"/>
        <v>771.90888434378974</v>
      </c>
      <c r="DT67" s="62">
        <f ca="1">AVERAGE(OFFSET($DS$3,0,0,'Données projet'!$E$14+1,1))-AVERAGE(OFFSET($H$3,0,0,'Données projet'!$E$14+1,1))</f>
        <v>263.81634201637729</v>
      </c>
      <c r="DU67" s="62">
        <f t="shared" si="44"/>
        <v>302.03767435507262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322.63846641467165</v>
      </c>
      <c r="T68" s="62">
        <f t="shared" si="34"/>
        <v>435.17386576419966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7.7781151982687389</v>
      </c>
      <c r="AB68" s="23">
        <f>EXP(-LN(2)/2)*AB67+(1-EXP(-LN(2)/2))/(LN(2)/2)*V68*Y68*VLOOKUP('Données projet'!$B$9,Paramètres!$A$1:$I$89,3,0)*0.475*44/12</f>
        <v>1.5765216319118914E-5</v>
      </c>
      <c r="AC68" s="24">
        <f t="shared" ref="AC68:AC131" si="57">SUM(Z68:AB68)</f>
        <v>7.7781309634850579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175.05987582828078</v>
      </c>
      <c r="AO68" s="62">
        <f t="shared" si="36"/>
        <v>268.54782308462387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3.440935377226932</v>
      </c>
      <c r="AW68" s="23">
        <f>EXP(-LN(2)/2)*AW67+(1-EXP(-LN(2)/2))/(LN(2)/2)*AQ68*AT68*VLOOKUP('Données projet'!$B$10,Paramètres!$A$1:$I$89,3,0)*0.475*44/12</f>
        <v>6.8238579471590225E-5</v>
      </c>
      <c r="AX68" s="23">
        <f t="shared" ref="AX68:AX131" si="60">SUM(AU68:AW68)</f>
        <v>3.4410036158064035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13.723076923076924</v>
      </c>
      <c r="BD68" s="13">
        <f>IF('Données projet'!$A$88&gt;35,BD67+BC68-BL67,IF(A68&lt;'Données projet'!$A$88,$BA$205^A68,IF(A68='Données projet'!$A$88,'Données projet'!$B$88,BD67+BC68-BL67)))</f>
        <v>379.06923076923061</v>
      </c>
      <c r="BE68" s="14">
        <f>BD68*VLOOKUP('Données projet'!$B$11,Paramètres!$A$1:$I$89,3,0)*VLOOKUP('Données projet'!$B$11,Paramètres!$A$1:$I$89,5,0)</f>
        <v>177.40439999999992</v>
      </c>
      <c r="BF68" s="14">
        <f t="shared" si="37"/>
        <v>44.744225726071818</v>
      </c>
      <c r="BG68" s="22">
        <f t="shared" ref="BG68:BG131" si="61">(BE68+BF68)*0.475*44/12</f>
        <v>386.90885647290821</v>
      </c>
      <c r="BH68" s="62">
        <f t="shared" ref="BH68:BH131" si="62">BG68+(AY68+AZ68)*44/12</f>
        <v>680.24218980624153</v>
      </c>
      <c r="BI68" s="62">
        <f ca="1">AVERAGE(OFFSET($BH$3,0,0,'Données projet'!$E$11+1,1))-AVERAGE(OFFSET($H$3,0,0,'Données projet'!$E$11+1,1))</f>
        <v>183.46485104601493</v>
      </c>
      <c r="BJ68" s="62">
        <f t="shared" si="38"/>
        <v>127.47790120677581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11.375</v>
      </c>
      <c r="BY68" s="13">
        <f>IF('Données projet'!$A$114&gt;35,BY67+BX68-CG67,IF(A68&lt;'Données projet'!$A$114,$BV$205^A68,IF(A68='Données projet'!$A$114,'Données projet'!$B$114,BY67+BX68-CG67)))</f>
        <v>403.62499999999994</v>
      </c>
      <c r="BZ68" s="14">
        <f>BY68*VLOOKUP('Données projet'!$B$12,Paramètres!$A$1:$I$89,3,0)*VLOOKUP('Données projet'!$B$12,Paramètres!$A$1:$I$89,5,0)</f>
        <v>230.87349999999998</v>
      </c>
      <c r="CA68" s="14">
        <f t="shared" si="39"/>
        <v>56.471510965615813</v>
      </c>
      <c r="CB68" s="22">
        <f t="shared" ref="CB68:CB131" si="64">(BZ68+CA68)*0.475*44/12</f>
        <v>500.45922743178085</v>
      </c>
      <c r="CC68" s="62">
        <f t="shared" ref="CC68:CC131" si="65">CB68+(BT68+BU68)*44/12</f>
        <v>793.7925607651141</v>
      </c>
      <c r="CD68" s="62">
        <f ca="1">AVERAGE(OFFSET($CC$3,0,0,'Données projet'!$E$12+1,1))-AVERAGE(OFFSET($H$3,0,0,'Données projet'!$E$12+1,1))</f>
        <v>228.06050741667258</v>
      </c>
      <c r="CE68" s="62">
        <f t="shared" si="40"/>
        <v>191.94885821983536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3.4978717847660623</v>
      </c>
      <c r="CM68" s="23">
        <f>EXP(-LN(2)/2)*CM67+(1-EXP(-LN(2)/2))/(LN(2)/2)*CG68*CJ68*VLOOKUP('Données projet'!$B$12,Paramètres!$A$1:$I$89,3,0)*0.475*44/12</f>
        <v>6.9374809692824294E-5</v>
      </c>
      <c r="CN68" s="24">
        <f t="shared" ref="CN68:CN131" si="66">SUM(CK68:CM68)</f>
        <v>3.4979411595757552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373</v>
      </c>
      <c r="CR68" s="13">
        <f>VLOOKUP(A68,'Données projet'!$A$139:$I$159,9,0)</f>
        <v>6.2</v>
      </c>
      <c r="CS68" s="13">
        <f t="array" ref="CS68">INDEX(CR:CR,MIN(IF(ISNUMBER(CR68:CR264),ROW(CR68:CR264),"")))</f>
        <v>6.2</v>
      </c>
      <c r="CT68" s="13">
        <f>IF('Données projet'!$A$140&gt;35,CT67+CS68-DB67,IF(A68&lt;'Données projet'!$A$140,$CQ$205^A68,IF(A68='Données projet'!$A$140,'Données projet'!$B$140,CT67+CS68-DB67)))</f>
        <v>372.99999999999972</v>
      </c>
      <c r="CU68" s="18">
        <f>CT68*VLOOKUP('Données projet'!$B$13,Paramètres!$A$1:$I$89,3,0)*VLOOKUP('Données projet'!$B$13,Paramètres!$A$1:$I$89,5,0)</f>
        <v>296.75879999999978</v>
      </c>
      <c r="CV68" s="14">
        <f t="shared" si="41"/>
        <v>70.496554480015604</v>
      </c>
      <c r="CW68" s="22">
        <f t="shared" ref="CW68:CW131" si="67">(CU68+CV68)*0.475*44/12</f>
        <v>639.63640905269347</v>
      </c>
      <c r="CX68" s="62">
        <f t="shared" ref="CX68:CX131" si="68">CW68+(CO68+CP68)*44/12</f>
        <v>932.96974238602684</v>
      </c>
      <c r="CY68" s="62">
        <f ca="1">AVERAGE(OFFSET($CX$3,0,0,'Données projet'!$E$13+1,1))-AVERAGE(OFFSET($H$3,0,0,'Données projet'!$E$13+1,1))</f>
        <v>343.37244130003143</v>
      </c>
      <c r="CZ68" s="62">
        <f t="shared" si="42"/>
        <v>318.38876834819763</v>
      </c>
      <c r="DA68" s="16">
        <f>IF(ISNA(VLOOKUP(A68,'Données projet'!$A$139:$I$159,3,0)),0,VLOOKUP(A68,'Données projet'!$A$139:$I$159,3,0))</f>
        <v>6</v>
      </c>
      <c r="DB68" s="16">
        <f>IF(ISNA(VLOOKUP(A68,'Données projet'!$A$139:$I$159,4,0)),0,VLOOKUP(A68,'Données projet'!$A$139:$I$159,4,0))</f>
        <v>33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305.99999999999989</v>
      </c>
      <c r="DP68" s="18">
        <f>DO68*VLOOKUP('Données projet'!$B$14,Paramètres!$A$1:$I$89,3,0)*VLOOKUP('Données projet'!$B$14,Paramètres!$A$1:$I$89,5,0)</f>
        <v>224.3591999999999</v>
      </c>
      <c r="DQ68" s="14">
        <f t="shared" si="43"/>
        <v>55.061251669487255</v>
      </c>
      <c r="DR68" s="22">
        <f t="shared" ref="DR68:DR131" si="70">(DP68+DQ68)*0.475*44/12</f>
        <v>486.65728665769001</v>
      </c>
      <c r="DS68" s="62">
        <f t="shared" ref="DS68:DS131" si="71">DR68+(DJ68+DK68)*44/12</f>
        <v>779.99061999102332</v>
      </c>
      <c r="DT68" s="62">
        <f ca="1">AVERAGE(OFFSET($DS$3,0,0,'Données projet'!$E$14+1,1))-AVERAGE(OFFSET($H$3,0,0,'Données projet'!$E$14+1,1))</f>
        <v>263.81634201637729</v>
      </c>
      <c r="DU68" s="62">
        <f t="shared" si="44"/>
        <v>302.03767435507262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322.63846641467165</v>
      </c>
      <c r="T69" s="62">
        <f t="shared" ref="T69:T132" si="88">$T$3</f>
        <v>435.17386576419966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7.5654222291387789</v>
      </c>
      <c r="AB69" s="23">
        <f>EXP(-LN(2)/2)*AB68+(1-EXP(-LN(2)/2))/(LN(2)/2)*V69*Y69*VLOOKUP('Données projet'!$B$9,Paramètres!$A$1:$I$89,3,0)*0.475*44/12</f>
        <v>1.1147691366121806E-5</v>
      </c>
      <c r="AC69" s="24">
        <f t="shared" si="57"/>
        <v>7.5654333768301454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175.05987582828078</v>
      </c>
      <c r="AO69" s="62">
        <f t="shared" ref="AO69:AO132" si="90">$AO$3</f>
        <v>268.54782308462387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3.3468428183857344</v>
      </c>
      <c r="AW69" s="23">
        <f>EXP(-LN(2)/2)*AW68+(1-EXP(-LN(2)/2))/(LN(2)/2)*AQ69*AT69*VLOOKUP('Données projet'!$B$10,Paramètres!$A$1:$I$89,3,0)*0.475*44/12</f>
        <v>4.8251962282898583E-5</v>
      </c>
      <c r="AX69" s="23">
        <f t="shared" si="60"/>
        <v>3.3468910703480175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392.7923076923077</v>
      </c>
      <c r="BB69" s="13">
        <f>VLOOKUP(A69,'Données projet'!$A$87:$I$107,9,0)</f>
        <v>13.723076923076924</v>
      </c>
      <c r="BC69" s="13">
        <f t="array" ref="BC69">INDEX(BB:BB,MIN(IF(ISNUMBER(BB69:BB265),ROW(BB69:BB265),"")))</f>
        <v>13.723076923076924</v>
      </c>
      <c r="BD69" s="13">
        <f>IF('Données projet'!$A$88&gt;35,BD68+BC69-BL68,IF(A69&lt;'Données projet'!$A$88,$BA$205^A69,IF(A69='Données projet'!$A$88,'Données projet'!$B$88,BD68+BC69-BL68)))</f>
        <v>392.79230769230753</v>
      </c>
      <c r="BE69" s="14">
        <f>BD69*VLOOKUP('Données projet'!$B$11,Paramètres!$A$1:$I$89,3,0)*VLOOKUP('Données projet'!$B$11,Paramètres!$A$1:$I$89,5,0)</f>
        <v>183.82679999999993</v>
      </c>
      <c r="BF69" s="14">
        <f t="shared" ref="BF69:BF132" si="91">EXP(-1.0587+0.8836*LN(BE69)+0.284)</f>
        <v>46.172533448719413</v>
      </c>
      <c r="BG69" s="22">
        <f t="shared" si="61"/>
        <v>400.58217242318614</v>
      </c>
      <c r="BH69" s="62">
        <f t="shared" si="62"/>
        <v>693.91550575651945</v>
      </c>
      <c r="BI69" s="62">
        <f ca="1">AVERAGE(OFFSET($BH$3,0,0,'Données projet'!$E$11+1,1))-AVERAGE(OFFSET($H$3,0,0,'Données projet'!$E$11+1,1))</f>
        <v>183.46485104601493</v>
      </c>
      <c r="BJ69" s="62">
        <f t="shared" ref="BJ69:BJ132" si="92">$BJ$3</f>
        <v>127.47790120677581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79.169230769230779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415</v>
      </c>
      <c r="BW69" s="13">
        <f>VLOOKUP(A69,'Données projet'!$A$113:$I$133,9,0)</f>
        <v>11.375</v>
      </c>
      <c r="BX69" s="13">
        <f t="array" ref="BX69">INDEX(BW:BW,MIN(IF(ISNUMBER(BW69:BW265),ROW(BW69:BW265),"")))</f>
        <v>11.375</v>
      </c>
      <c r="BY69" s="13">
        <f>IF('Données projet'!$A$114&gt;35,BY68+BX69-CG68,IF(A69&lt;'Données projet'!$A$114,$BV$205^A69,IF(A69='Données projet'!$A$114,'Données projet'!$B$114,BY68+BX69-CG68)))</f>
        <v>414.99999999999994</v>
      </c>
      <c r="BZ69" s="14">
        <f>BY69*VLOOKUP('Données projet'!$B$12,Paramètres!$A$1:$I$89,3,0)*VLOOKUP('Données projet'!$B$12,Paramètres!$A$1:$I$89,5,0)</f>
        <v>237.37999999999997</v>
      </c>
      <c r="CA69" s="14">
        <f t="shared" ref="CA69:CA132" si="93">EXP(-1.0587+0.8836*LN(BZ69)+0.284)</f>
        <v>57.875465105279041</v>
      </c>
      <c r="CB69" s="22">
        <f t="shared" si="64"/>
        <v>514.23660172502764</v>
      </c>
      <c r="CC69" s="62">
        <f t="shared" si="65"/>
        <v>807.5699350583609</v>
      </c>
      <c r="CD69" s="62">
        <f ca="1">AVERAGE(OFFSET($CC$3,0,0,'Données projet'!$E$12+1,1))-AVERAGE(OFFSET($H$3,0,0,'Données projet'!$E$12+1,1))</f>
        <v>228.06050741667258</v>
      </c>
      <c r="CE69" s="62">
        <f t="shared" ref="CE69:CE132" si="94">$CE$3</f>
        <v>191.94885821983536</v>
      </c>
      <c r="CF69" s="16">
        <f>IF(ISNA(VLOOKUP(A69,'Données projet'!$A$113:$I$133,3,0)),0,VLOOKUP(A69,'Données projet'!$A$113:$I$133,3,0))</f>
        <v>8</v>
      </c>
      <c r="CG69" s="16">
        <f>IF(ISNA(VLOOKUP(A69,'Données projet'!$A$113:$I$133,4,0)),0,VLOOKUP(A69,'Données projet'!$A$113:$I$133,4,0))</f>
        <v>50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3.4022222968665519</v>
      </c>
      <c r="CM69" s="23">
        <f>EXP(-LN(2)/2)*CM68+(1-EXP(-LN(2)/2))/(LN(2)/2)*CG69*CJ69*VLOOKUP('Données projet'!$B$12,Paramètres!$A$1:$I$89,3,0)*0.475*44/12</f>
        <v>4.9055398377322284E-5</v>
      </c>
      <c r="CN69" s="24">
        <f t="shared" si="66"/>
        <v>3.402271352264929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345.1999999999997</v>
      </c>
      <c r="CU69" s="18">
        <f>CT69*VLOOKUP('Données projet'!$B$13,Paramètres!$A$1:$I$89,3,0)*VLOOKUP('Données projet'!$B$13,Paramètres!$A$1:$I$89,5,0)</f>
        <v>274.64111999999977</v>
      </c>
      <c r="CV69" s="14">
        <f t="shared" ref="CV69:CV132" si="95">EXP(-1.0587+0.8836*LN(CU69)+0.284)</f>
        <v>65.833252956609641</v>
      </c>
      <c r="CW69" s="22">
        <f t="shared" si="67"/>
        <v>592.99286623276123</v>
      </c>
      <c r="CX69" s="62">
        <f t="shared" si="68"/>
        <v>886.3261995660946</v>
      </c>
      <c r="CY69" s="62">
        <f ca="1">AVERAGE(OFFSET($CX$3,0,0,'Données projet'!$E$13+1,1))-AVERAGE(OFFSET($H$3,0,0,'Données projet'!$E$13+1,1))</f>
        <v>343.37244130003143</v>
      </c>
      <c r="CZ69" s="62">
        <f t="shared" ref="CZ69:CZ132" si="96">$CZ$3</f>
        <v>318.38876834819763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4.4000000000000004</v>
      </c>
      <c r="DO69" s="13">
        <f>IF('Données projet'!$A$166&gt;35,DO68+DN69-DW68,IF(A69&lt;'Données projet'!$A$166,$DL$205^A69,IF(A69='Données projet'!$A$166,'Données projet'!$B$166,DO68+DN69-DW68)))</f>
        <v>310.39999999999986</v>
      </c>
      <c r="DP69" s="18">
        <f>DO69*VLOOKUP('Données projet'!$B$14,Paramètres!$A$1:$I$89,3,0)*VLOOKUP('Données projet'!$B$14,Paramètres!$A$1:$I$89,5,0)</f>
        <v>227.58527999999987</v>
      </c>
      <c r="DQ69" s="14">
        <f t="shared" ref="DQ69:DQ132" si="97">EXP(-1.0587+0.8836*LN(DP69)+0.284)</f>
        <v>55.760242327696616</v>
      </c>
      <c r="DR69" s="22">
        <f t="shared" si="70"/>
        <v>493.49345138740472</v>
      </c>
      <c r="DS69" s="62">
        <f t="shared" si="71"/>
        <v>786.82678472073803</v>
      </c>
      <c r="DT69" s="62">
        <f ca="1">AVERAGE(OFFSET($DS$3,0,0,'Données projet'!$E$14+1,1))-AVERAGE(OFFSET($H$3,0,0,'Données projet'!$E$14+1,1))</f>
        <v>263.81634201637729</v>
      </c>
      <c r="DU69" s="62">
        <f t="shared" ref="DU69:DU132" si="98">$DU$3</f>
        <v>302.03767435507262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322.63846641467165</v>
      </c>
      <c r="T70" s="62">
        <f t="shared" si="88"/>
        <v>435.17386576419966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7.3585453604347153</v>
      </c>
      <c r="AB70" s="23">
        <f>EXP(-LN(2)/2)*AB69+(1-EXP(-LN(2)/2))/(LN(2)/2)*V70*Y70*VLOOKUP('Données projet'!$B$9,Paramètres!$A$1:$I$89,3,0)*0.475*44/12</f>
        <v>7.882608159559457E-6</v>
      </c>
      <c r="AC70" s="24">
        <f t="shared" si="57"/>
        <v>7.3585532430428753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175.05987582828078</v>
      </c>
      <c r="AO70" s="62">
        <f t="shared" si="90"/>
        <v>268.54782308462387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3.2553232255141618</v>
      </c>
      <c r="AW70" s="23">
        <f>EXP(-LN(2)/2)*AW69+(1-EXP(-LN(2)/2))/(LN(2)/2)*AQ70*AT70*VLOOKUP('Données projet'!$B$10,Paramètres!$A$1:$I$89,3,0)*0.475*44/12</f>
        <v>3.4119289735795113E-5</v>
      </c>
      <c r="AX70" s="23">
        <f t="shared" si="60"/>
        <v>3.2553573448038975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13.02735042735042</v>
      </c>
      <c r="BD70" s="13">
        <f>IF('Données projet'!$A$88&gt;35,BD69+BC70-BL69,IF(A70&lt;'Données projet'!$A$88,$BA$205^A70,IF(A70='Données projet'!$A$88,'Données projet'!$B$88,BD69+BC70-BL69)))</f>
        <v>326.65042735042721</v>
      </c>
      <c r="BE70" s="14">
        <f>BD70*VLOOKUP('Données projet'!$B$11,Paramètres!$A$1:$I$89,3,0)*VLOOKUP('Données projet'!$B$11,Paramètres!$A$1:$I$89,5,0)</f>
        <v>152.87239999999994</v>
      </c>
      <c r="BF70" s="14">
        <f t="shared" si="91"/>
        <v>39.230626461545988</v>
      </c>
      <c r="BG70" s="22">
        <f t="shared" si="61"/>
        <v>334.57943775385917</v>
      </c>
      <c r="BH70" s="62">
        <f t="shared" si="62"/>
        <v>627.91277108719248</v>
      </c>
      <c r="BI70" s="62">
        <f ca="1">AVERAGE(OFFSET($BH$3,0,0,'Données projet'!$E$11+1,1))-AVERAGE(OFFSET($H$3,0,0,'Données projet'!$E$11+1,1))</f>
        <v>183.46485104601493</v>
      </c>
      <c r="BJ70" s="62">
        <f t="shared" si="92"/>
        <v>127.47790120677581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6.75</v>
      </c>
      <c r="BY70" s="13">
        <f>IF('Données projet'!$A$114&gt;35,BY69+BX70-CG69,IF(A70&lt;'Données projet'!$A$114,$BV$205^A70,IF(A70='Données projet'!$A$114,'Données projet'!$B$114,BY69+BX70-CG69)))</f>
        <v>371.74999999999994</v>
      </c>
      <c r="BZ70" s="14">
        <f>BY70*VLOOKUP('Données projet'!$B$12,Paramètres!$A$1:$I$89,3,0)*VLOOKUP('Données projet'!$B$12,Paramètres!$A$1:$I$89,5,0)</f>
        <v>212.64099999999996</v>
      </c>
      <c r="CA70" s="14">
        <f t="shared" si="93"/>
        <v>52.512290191227322</v>
      </c>
      <c r="CB70" s="22">
        <f t="shared" si="64"/>
        <v>461.80864708305415</v>
      </c>
      <c r="CC70" s="62">
        <f t="shared" si="65"/>
        <v>755.14198041638747</v>
      </c>
      <c r="CD70" s="62">
        <f ca="1">AVERAGE(OFFSET($CC$3,0,0,'Données projet'!$E$12+1,1))-AVERAGE(OFFSET($H$3,0,0,'Données projet'!$E$12+1,1))</f>
        <v>228.06050741667258</v>
      </c>
      <c r="CE70" s="62">
        <f t="shared" si="94"/>
        <v>191.94885821983536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3.3091883492436414</v>
      </c>
      <c r="CM70" s="23">
        <f>EXP(-LN(2)/2)*CM69+(1-EXP(-LN(2)/2))/(LN(2)/2)*CG70*CJ70*VLOOKUP('Données projet'!$B$12,Paramètres!$A$1:$I$89,3,0)*0.475*44/12</f>
        <v>3.4687404846412147E-5</v>
      </c>
      <c r="CN70" s="24">
        <f t="shared" si="66"/>
        <v>3.3092230366484876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350.39999999999969</v>
      </c>
      <c r="CU70" s="18">
        <f>CT70*VLOOKUP('Données projet'!$B$13,Paramètres!$A$1:$I$89,3,0)*VLOOKUP('Données projet'!$B$13,Paramètres!$A$1:$I$89,5,0)</f>
        <v>278.77823999999976</v>
      </c>
      <c r="CV70" s="14">
        <f t="shared" si="95"/>
        <v>66.70875019643654</v>
      </c>
      <c r="CW70" s="22">
        <f t="shared" si="67"/>
        <v>601.7231745921265</v>
      </c>
      <c r="CX70" s="62">
        <f t="shared" si="68"/>
        <v>895.05650792545975</v>
      </c>
      <c r="CY70" s="62">
        <f ca="1">AVERAGE(OFFSET($CX$3,0,0,'Données projet'!$E$13+1,1))-AVERAGE(OFFSET($H$3,0,0,'Données projet'!$E$13+1,1))</f>
        <v>343.37244130003143</v>
      </c>
      <c r="CZ70" s="62">
        <f t="shared" si="96"/>
        <v>318.38876834819763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4.4000000000000004</v>
      </c>
      <c r="DO70" s="13">
        <f>IF('Données projet'!$A$166&gt;35,DO69+DN70-DW69,IF(A70&lt;'Données projet'!$A$166,$DL$205^A70,IF(A70='Données projet'!$A$166,'Données projet'!$B$166,DO69+DN70-DW69)))</f>
        <v>314.79999999999984</v>
      </c>
      <c r="DP70" s="18">
        <f>DO70*VLOOKUP('Données projet'!$B$14,Paramètres!$A$1:$I$89,3,0)*VLOOKUP('Données projet'!$B$14,Paramètres!$A$1:$I$89,5,0)</f>
        <v>230.81135999999987</v>
      </c>
      <c r="DQ70" s="14">
        <f t="shared" si="97"/>
        <v>56.458080561489126</v>
      </c>
      <c r="DR70" s="22">
        <f t="shared" si="70"/>
        <v>500.32760897792667</v>
      </c>
      <c r="DS70" s="62">
        <f t="shared" si="71"/>
        <v>793.66094231125999</v>
      </c>
      <c r="DT70" s="62">
        <f ca="1">AVERAGE(OFFSET($DS$3,0,0,'Données projet'!$E$14+1,1))-AVERAGE(OFFSET($H$3,0,0,'Données projet'!$E$14+1,1))</f>
        <v>263.81634201637729</v>
      </c>
      <c r="DU70" s="62">
        <f t="shared" si="98"/>
        <v>302.03767435507262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322.63846641467165</v>
      </c>
      <c r="T71" s="62">
        <f t="shared" si="88"/>
        <v>435.17386576419966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7.1573255505845461</v>
      </c>
      <c r="AB71" s="23">
        <f>EXP(-LN(2)/2)*AB70+(1-EXP(-LN(2)/2))/(LN(2)/2)*V71*Y71*VLOOKUP('Données projet'!$B$9,Paramètres!$A$1:$I$89,3,0)*0.475*44/12</f>
        <v>5.5738456830609031E-6</v>
      </c>
      <c r="AC71" s="24">
        <f t="shared" si="57"/>
        <v>7.1573311244302289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175.05987582828078</v>
      </c>
      <c r="AO71" s="62">
        <f t="shared" si="90"/>
        <v>268.54782308462387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3.1663062407224687</v>
      </c>
      <c r="AW71" s="23">
        <f>EXP(-LN(2)/2)*AW70+(1-EXP(-LN(2)/2))/(LN(2)/2)*AQ71*AT71*VLOOKUP('Données projet'!$B$10,Paramètres!$A$1:$I$89,3,0)*0.475*44/12</f>
        <v>2.4125981141449292E-5</v>
      </c>
      <c r="AX71" s="23">
        <f t="shared" si="60"/>
        <v>3.16633036670361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13.02735042735042</v>
      </c>
      <c r="BD71" s="13">
        <f>IF('Données projet'!$A$88&gt;35,BD70+BC71-BL70,IF(A71&lt;'Données projet'!$A$88,$BA$205^A71,IF(A71='Données projet'!$A$88,'Données projet'!$B$88,BD70+BC71-BL70)))</f>
        <v>339.67777777777764</v>
      </c>
      <c r="BE71" s="14">
        <f>BD71*VLOOKUP('Données projet'!$B$11,Paramètres!$A$1:$I$89,3,0)*VLOOKUP('Données projet'!$B$11,Paramètres!$A$1:$I$89,5,0)</f>
        <v>158.96919999999994</v>
      </c>
      <c r="BF71" s="14">
        <f t="shared" si="91"/>
        <v>40.60992820305048</v>
      </c>
      <c r="BG71" s="22">
        <f t="shared" si="61"/>
        <v>347.60031495364615</v>
      </c>
      <c r="BH71" s="62">
        <f t="shared" si="62"/>
        <v>640.93364828697941</v>
      </c>
      <c r="BI71" s="62">
        <f ca="1">AVERAGE(OFFSET($BH$3,0,0,'Données projet'!$E$11+1,1))-AVERAGE(OFFSET($H$3,0,0,'Données projet'!$E$11+1,1))</f>
        <v>183.46485104601493</v>
      </c>
      <c r="BJ71" s="62">
        <f t="shared" si="92"/>
        <v>127.47790120677581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6.75</v>
      </c>
      <c r="BY71" s="13">
        <f>IF('Données projet'!$A$114&gt;35,BY70+BX71-CG70,IF(A71&lt;'Données projet'!$A$114,$BV$205^A71,IF(A71='Données projet'!$A$114,'Données projet'!$B$114,BY70+BX71-CG70)))</f>
        <v>378.49999999999994</v>
      </c>
      <c r="BZ71" s="14">
        <f>BY71*VLOOKUP('Données projet'!$B$12,Paramètres!$A$1:$I$89,3,0)*VLOOKUP('Données projet'!$B$12,Paramètres!$A$1:$I$89,5,0)</f>
        <v>216.50199999999995</v>
      </c>
      <c r="CA71" s="14">
        <f t="shared" si="93"/>
        <v>53.353904963920556</v>
      </c>
      <c r="CB71" s="22">
        <f t="shared" si="64"/>
        <v>469.99903447882821</v>
      </c>
      <c r="CC71" s="62">
        <f t="shared" si="65"/>
        <v>763.33236781216146</v>
      </c>
      <c r="CD71" s="62">
        <f ca="1">AVERAGE(OFFSET($CC$3,0,0,'Données projet'!$E$12+1,1))-AVERAGE(OFFSET($H$3,0,0,'Données projet'!$E$12+1,1))</f>
        <v>228.06050741667258</v>
      </c>
      <c r="CE71" s="62">
        <f t="shared" si="94"/>
        <v>191.94885821983536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3.2186984198109219</v>
      </c>
      <c r="CM71" s="23">
        <f>EXP(-LN(2)/2)*CM70+(1-EXP(-LN(2)/2))/(LN(2)/2)*CG71*CJ71*VLOOKUP('Données projet'!$B$12,Paramètres!$A$1:$I$89,3,0)*0.475*44/12</f>
        <v>2.4527699188661142E-5</v>
      </c>
      <c r="CN71" s="24">
        <f t="shared" si="66"/>
        <v>3.2187229475101105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355.59999999999968</v>
      </c>
      <c r="CU71" s="18">
        <f>CT71*VLOOKUP('Données projet'!$B$13,Paramètres!$A$1:$I$89,3,0)*VLOOKUP('Données projet'!$B$13,Paramètres!$A$1:$I$89,5,0)</f>
        <v>282.91535999999979</v>
      </c>
      <c r="CV71" s="14">
        <f t="shared" si="95"/>
        <v>67.582736351531807</v>
      </c>
      <c r="CW71" s="22">
        <f t="shared" si="67"/>
        <v>610.45085114558412</v>
      </c>
      <c r="CX71" s="62">
        <f t="shared" si="68"/>
        <v>903.7841844789175</v>
      </c>
      <c r="CY71" s="62">
        <f ca="1">AVERAGE(OFFSET($CX$3,0,0,'Données projet'!$E$13+1,1))-AVERAGE(OFFSET($H$3,0,0,'Données projet'!$E$13+1,1))</f>
        <v>343.37244130003143</v>
      </c>
      <c r="CZ71" s="62">
        <f t="shared" si="96"/>
        <v>318.38876834819763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4.4000000000000004</v>
      </c>
      <c r="DO71" s="13">
        <f>IF('Données projet'!$A$166&gt;35,DO70+DN71-DW70,IF(A71&lt;'Données projet'!$A$166,$DL$205^A71,IF(A71='Données projet'!$A$166,'Données projet'!$B$166,DO70+DN71-DW70)))</f>
        <v>319.19999999999982</v>
      </c>
      <c r="DP71" s="18">
        <f>DO71*VLOOKUP('Données projet'!$B$14,Paramètres!$A$1:$I$89,3,0)*VLOOKUP('Données projet'!$B$14,Paramètres!$A$1:$I$89,5,0)</f>
        <v>234.03743999999989</v>
      </c>
      <c r="DQ71" s="14">
        <f t="shared" si="97"/>
        <v>57.154784339928689</v>
      </c>
      <c r="DR71" s="22">
        <f t="shared" si="70"/>
        <v>507.15979072537567</v>
      </c>
      <c r="DS71" s="62">
        <f t="shared" si="71"/>
        <v>800.49312405870899</v>
      </c>
      <c r="DT71" s="62">
        <f ca="1">AVERAGE(OFFSET($DS$3,0,0,'Données projet'!$E$14+1,1))-AVERAGE(OFFSET($H$3,0,0,'Données projet'!$E$14+1,1))</f>
        <v>263.81634201637729</v>
      </c>
      <c r="DU71" s="62">
        <f t="shared" si="98"/>
        <v>302.03767435507262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322.63846641467165</v>
      </c>
      <c r="T72" s="62">
        <f t="shared" si="88"/>
        <v>435.17386576419966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6.9616081070164189</v>
      </c>
      <c r="AB72" s="23">
        <f>EXP(-LN(2)/2)*AB71+(1-EXP(-LN(2)/2))/(LN(2)/2)*V72*Y72*VLOOKUP('Données projet'!$B$9,Paramètres!$A$1:$I$89,3,0)*0.475*44/12</f>
        <v>3.9413040797797285E-6</v>
      </c>
      <c r="AC72" s="24">
        <f t="shared" si="57"/>
        <v>6.9616120483204984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175.05987582828078</v>
      </c>
      <c r="AO72" s="62">
        <f t="shared" si="90"/>
        <v>268.54782308462387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3.0797234300611045</v>
      </c>
      <c r="AW72" s="23">
        <f>EXP(-LN(2)/2)*AW71+(1-EXP(-LN(2)/2))/(LN(2)/2)*AQ72*AT72*VLOOKUP('Données projet'!$B$10,Paramètres!$A$1:$I$89,3,0)*0.475*44/12</f>
        <v>1.7059644867897556E-5</v>
      </c>
      <c r="AX72" s="23">
        <f t="shared" si="60"/>
        <v>3.0797404897059724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13.02735042735042</v>
      </c>
      <c r="BD72" s="13">
        <f>IF('Données projet'!$A$88&gt;35,BD71+BC72-BL71,IF(A72&lt;'Données projet'!$A$88,$BA$205^A72,IF(A72='Données projet'!$A$88,'Données projet'!$B$88,BD71+BC72-BL71)))</f>
        <v>352.70512820512806</v>
      </c>
      <c r="BE72" s="14">
        <f>BD72*VLOOKUP('Données projet'!$B$11,Paramètres!$A$1:$I$89,3,0)*VLOOKUP('Données projet'!$B$11,Paramètres!$A$1:$I$89,5,0)</f>
        <v>165.06599999999992</v>
      </c>
      <c r="BF72" s="14">
        <f t="shared" si="91"/>
        <v>41.983084622237634</v>
      </c>
      <c r="BG72" s="22">
        <f t="shared" si="61"/>
        <v>360.61048905039706</v>
      </c>
      <c r="BH72" s="62">
        <f t="shared" si="62"/>
        <v>653.94382238373032</v>
      </c>
      <c r="BI72" s="62">
        <f ca="1">AVERAGE(OFFSET($BH$3,0,0,'Données projet'!$E$11+1,1))-AVERAGE(OFFSET($H$3,0,0,'Données projet'!$E$11+1,1))</f>
        <v>183.46485104601493</v>
      </c>
      <c r="BJ72" s="62">
        <f t="shared" si="92"/>
        <v>127.47790120677581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6.75</v>
      </c>
      <c r="BY72" s="13">
        <f>IF('Données projet'!$A$114&gt;35,BY71+BX72-CG71,IF(A72&lt;'Données projet'!$A$114,$BV$205^A72,IF(A72='Données projet'!$A$114,'Données projet'!$B$114,BY71+BX72-CG71)))</f>
        <v>385.24999999999994</v>
      </c>
      <c r="BZ72" s="14">
        <f>BY72*VLOOKUP('Données projet'!$B$12,Paramètres!$A$1:$I$89,3,0)*VLOOKUP('Données projet'!$B$12,Paramètres!$A$1:$I$89,5,0)</f>
        <v>220.36299999999997</v>
      </c>
      <c r="CA72" s="14">
        <f t="shared" si="93"/>
        <v>54.193774405323978</v>
      </c>
      <c r="CB72" s="22">
        <f t="shared" si="64"/>
        <v>478.18638208927251</v>
      </c>
      <c r="CC72" s="62">
        <f t="shared" si="65"/>
        <v>771.51971542260583</v>
      </c>
      <c r="CD72" s="62">
        <f ca="1">AVERAGE(OFFSET($CC$3,0,0,'Données projet'!$E$12+1,1))-AVERAGE(OFFSET($H$3,0,0,'Données projet'!$E$12+1,1))</f>
        <v>228.06050741667258</v>
      </c>
      <c r="CE72" s="62">
        <f t="shared" si="94"/>
        <v>191.94885821983536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3.1306829422571987</v>
      </c>
      <c r="CM72" s="23">
        <f>EXP(-LN(2)/2)*CM71+(1-EXP(-LN(2)/2))/(LN(2)/2)*CG72*CJ72*VLOOKUP('Données projet'!$B$12,Paramètres!$A$1:$I$89,3,0)*0.475*44/12</f>
        <v>1.7343702423206073E-5</v>
      </c>
      <c r="CN72" s="24">
        <f t="shared" si="66"/>
        <v>3.1307002859596218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360.79999999999967</v>
      </c>
      <c r="CU72" s="18">
        <f>CT72*VLOOKUP('Données projet'!$B$13,Paramètres!$A$1:$I$89,3,0)*VLOOKUP('Données projet'!$B$13,Paramètres!$A$1:$I$89,5,0)</f>
        <v>287.05247999999978</v>
      </c>
      <c r="CV72" s="14">
        <f t="shared" si="95"/>
        <v>68.455236071606535</v>
      </c>
      <c r="CW72" s="22">
        <f t="shared" si="67"/>
        <v>619.17593882471431</v>
      </c>
      <c r="CX72" s="62">
        <f t="shared" si="68"/>
        <v>912.50927215804768</v>
      </c>
      <c r="CY72" s="62">
        <f ca="1">AVERAGE(OFFSET($CX$3,0,0,'Données projet'!$E$13+1,1))-AVERAGE(OFFSET($H$3,0,0,'Données projet'!$E$13+1,1))</f>
        <v>343.37244130003143</v>
      </c>
      <c r="CZ72" s="62">
        <f t="shared" si="96"/>
        <v>318.38876834819763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4.4000000000000004</v>
      </c>
      <c r="DO72" s="13">
        <f>IF('Données projet'!$A$166&gt;35,DO71+DN72-DW71,IF(A72&lt;'Données projet'!$A$166,$DL$205^A72,IF(A72='Données projet'!$A$166,'Données projet'!$B$166,DO71+DN72-DW71)))</f>
        <v>323.5999999999998</v>
      </c>
      <c r="DP72" s="18">
        <f>DO72*VLOOKUP('Données projet'!$B$14,Paramètres!$A$1:$I$89,3,0)*VLOOKUP('Données projet'!$B$14,Paramètres!$A$1:$I$89,5,0)</f>
        <v>237.26351999999986</v>
      </c>
      <c r="DQ72" s="14">
        <f t="shared" si="97"/>
        <v>57.850371108230938</v>
      </c>
      <c r="DR72" s="22">
        <f t="shared" si="70"/>
        <v>513.99002701350196</v>
      </c>
      <c r="DS72" s="62">
        <f t="shared" si="71"/>
        <v>807.32336034683522</v>
      </c>
      <c r="DT72" s="62">
        <f ca="1">AVERAGE(OFFSET($DS$3,0,0,'Données projet'!$E$14+1,1))-AVERAGE(OFFSET($H$3,0,0,'Données projet'!$E$14+1,1))</f>
        <v>263.81634201637729</v>
      </c>
      <c r="DU72" s="62">
        <f t="shared" si="98"/>
        <v>302.03767435507262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322.63846641467165</v>
      </c>
      <c r="T73" s="62">
        <f t="shared" si="88"/>
        <v>435.17386576419966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6.7712425672349958</v>
      </c>
      <c r="AB73" s="23">
        <f>EXP(-LN(2)/2)*AB72+(1-EXP(-LN(2)/2))/(LN(2)/2)*V73*Y73*VLOOKUP('Données projet'!$B$9,Paramètres!$A$1:$I$89,3,0)*0.475*44/12</f>
        <v>2.7869228415304515E-6</v>
      </c>
      <c r="AC73" s="24">
        <f t="shared" si="57"/>
        <v>6.7712453541578377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175.05987582828078</v>
      </c>
      <c r="AO73" s="62">
        <f t="shared" si="90"/>
        <v>268.54782308462387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2.9955082309104673</v>
      </c>
      <c r="AW73" s="23">
        <f>EXP(-LN(2)/2)*AW72+(1-EXP(-LN(2)/2))/(LN(2)/2)*AQ73*AT73*VLOOKUP('Données projet'!$B$10,Paramètres!$A$1:$I$89,3,0)*0.475*44/12</f>
        <v>1.2062990570724646E-5</v>
      </c>
      <c r="AX73" s="23">
        <f t="shared" si="60"/>
        <v>2.9955202939010381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13.02735042735042</v>
      </c>
      <c r="BD73" s="13">
        <f>IF('Données projet'!$A$88&gt;35,BD72+BC73-BL72,IF(A73&lt;'Données projet'!$A$88,$BA$205^A73,IF(A73='Données projet'!$A$88,'Données projet'!$B$88,BD72+BC73-BL72)))</f>
        <v>365.73247863247849</v>
      </c>
      <c r="BE73" s="14">
        <f>BD73*VLOOKUP('Données projet'!$B$11,Paramètres!$A$1:$I$89,3,0)*VLOOKUP('Données projet'!$B$11,Paramètres!$A$1:$I$89,5,0)</f>
        <v>171.16279999999995</v>
      </c>
      <c r="BF73" s="14">
        <f t="shared" si="91"/>
        <v>43.350348693488058</v>
      </c>
      <c r="BG73" s="22">
        <f t="shared" si="61"/>
        <v>373.61040064115826</v>
      </c>
      <c r="BH73" s="62">
        <f t="shared" si="62"/>
        <v>666.94373397449158</v>
      </c>
      <c r="BI73" s="62">
        <f ca="1">AVERAGE(OFFSET($BH$3,0,0,'Données projet'!$E$11+1,1))-AVERAGE(OFFSET($H$3,0,0,'Données projet'!$E$11+1,1))</f>
        <v>183.46485104601493</v>
      </c>
      <c r="BJ73" s="62">
        <f t="shared" si="92"/>
        <v>127.47790120677581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6.75</v>
      </c>
      <c r="BY73" s="13">
        <f>IF('Données projet'!$A$114&gt;35,BY72+BX73-CG72,IF(A73&lt;'Données projet'!$A$114,$BV$205^A73,IF(A73='Données projet'!$A$114,'Données projet'!$B$114,BY72+BX73-CG72)))</f>
        <v>391.99999999999994</v>
      </c>
      <c r="BZ73" s="14">
        <f>BY73*VLOOKUP('Données projet'!$B$12,Paramètres!$A$1:$I$89,3,0)*VLOOKUP('Données projet'!$B$12,Paramètres!$A$1:$I$89,5,0)</f>
        <v>224.22399999999999</v>
      </c>
      <c r="CA73" s="14">
        <f t="shared" si="93"/>
        <v>55.031932623797523</v>
      </c>
      <c r="CB73" s="22">
        <f t="shared" si="64"/>
        <v>486.3707493197806</v>
      </c>
      <c r="CC73" s="62">
        <f t="shared" si="65"/>
        <v>779.70408265311391</v>
      </c>
      <c r="CD73" s="62">
        <f ca="1">AVERAGE(OFFSET($CC$3,0,0,'Données projet'!$E$12+1,1))-AVERAGE(OFFSET($H$3,0,0,'Données projet'!$E$12+1,1))</f>
        <v>228.06050741667258</v>
      </c>
      <c r="CE73" s="62">
        <f t="shared" si="94"/>
        <v>191.94885821983536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3.0450742525657151</v>
      </c>
      <c r="CM73" s="23">
        <f>EXP(-LN(2)/2)*CM72+(1-EXP(-LN(2)/2))/(LN(2)/2)*CG73*CJ73*VLOOKUP('Données projet'!$B$12,Paramètres!$A$1:$I$89,3,0)*0.475*44/12</f>
        <v>1.2263849594330571E-5</v>
      </c>
      <c r="CN73" s="24">
        <f t="shared" si="66"/>
        <v>3.0450865164153096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366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365.99999999999966</v>
      </c>
      <c r="CU73" s="18">
        <f>CT73*VLOOKUP('Données projet'!$B$13,Paramètres!$A$1:$I$89,3,0)*VLOOKUP('Données projet'!$B$13,Paramètres!$A$1:$I$89,5,0)</f>
        <v>291.18959999999976</v>
      </c>
      <c r="CV73" s="14">
        <f t="shared" si="95"/>
        <v>69.326273255048633</v>
      </c>
      <c r="CW73" s="22">
        <f t="shared" si="67"/>
        <v>627.89847925254264</v>
      </c>
      <c r="CX73" s="62">
        <f t="shared" si="68"/>
        <v>921.23181258587601</v>
      </c>
      <c r="CY73" s="62">
        <f ca="1">AVERAGE(OFFSET($CX$3,0,0,'Données projet'!$E$13+1,1))-AVERAGE(OFFSET($H$3,0,0,'Données projet'!$E$13+1,1))</f>
        <v>343.37244130003143</v>
      </c>
      <c r="CZ73" s="62">
        <f t="shared" si="96"/>
        <v>318.38876834819763</v>
      </c>
      <c r="DA73" s="16">
        <f>IF(ISNA(VLOOKUP(A73,'Données projet'!$A$139:$I$159,3,0)),0,VLOOKUP(A73,'Données projet'!$A$139:$I$159,3,0))</f>
        <v>7</v>
      </c>
      <c r="DB73" s="16">
        <f>IF(ISNA(VLOOKUP(A73,'Données projet'!$A$139:$I$159,4,0)),0,VLOOKUP(A73,'Données projet'!$A$139:$I$159,4,0))</f>
        <v>15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328</v>
      </c>
      <c r="DM73" s="13">
        <f>VLOOKUP(A73,'Données projet'!$A$165:$I$185,9,0)</f>
        <v>4.4000000000000004</v>
      </c>
      <c r="DN73" s="13">
        <f t="array" ref="DN73">INDEX(DM:DM,MIN(IF(ISNUMBER(DM73:DM269),ROW(DM73:DM269),"")))</f>
        <v>4.4000000000000004</v>
      </c>
      <c r="DO73" s="13">
        <f>IF('Données projet'!$A$166&gt;35,DO72+DN73-DW72,IF(A73&lt;'Données projet'!$A$166,$DL$205^A73,IF(A73='Données projet'!$A$166,'Données projet'!$B$166,DO72+DN73-DW72)))</f>
        <v>327.99999999999977</v>
      </c>
      <c r="DP73" s="18">
        <f>DO73*VLOOKUP('Données projet'!$B$14,Paramètres!$A$1:$I$89,3,0)*VLOOKUP('Données projet'!$B$14,Paramètres!$A$1:$I$89,5,0)</f>
        <v>240.48959999999983</v>
      </c>
      <c r="DQ73" s="14">
        <f t="shared" si="97"/>
        <v>58.544857809945583</v>
      </c>
      <c r="DR73" s="22">
        <f t="shared" si="70"/>
        <v>520.81834735232155</v>
      </c>
      <c r="DS73" s="62">
        <f t="shared" si="71"/>
        <v>814.15168068565481</v>
      </c>
      <c r="DT73" s="62">
        <f ca="1">AVERAGE(OFFSET($DS$3,0,0,'Données projet'!$E$14+1,1))-AVERAGE(OFFSET($H$3,0,0,'Données projet'!$E$14+1,1))</f>
        <v>263.81634201637729</v>
      </c>
      <c r="DU73" s="62">
        <f t="shared" si="98"/>
        <v>302.03767435507262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26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322.63846641467165</v>
      </c>
      <c r="T74" s="62">
        <f t="shared" si="88"/>
        <v>435.17386576419966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6.5860825831497838</v>
      </c>
      <c r="AB74" s="23">
        <f>EXP(-LN(2)/2)*AB73+(1-EXP(-LN(2)/2))/(LN(2)/2)*V74*Y74*VLOOKUP('Données projet'!$B$9,Paramètres!$A$1:$I$89,3,0)*0.475*44/12</f>
        <v>1.9706520398898642E-6</v>
      </c>
      <c r="AC74" s="24">
        <f t="shared" si="57"/>
        <v>6.5860845538018236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175.05987582828078</v>
      </c>
      <c r="AO74" s="62">
        <f t="shared" si="90"/>
        <v>268.54782308462387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2.9135959008092889</v>
      </c>
      <c r="AW74" s="23">
        <f>EXP(-LN(2)/2)*AW73+(1-EXP(-LN(2)/2))/(LN(2)/2)*AQ74*AT74*VLOOKUP('Données projet'!$B$10,Paramètres!$A$1:$I$89,3,0)*0.475*44/12</f>
        <v>8.5298224339487781E-6</v>
      </c>
      <c r="AX74" s="23">
        <f t="shared" si="60"/>
        <v>2.913604430631723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13.02735042735042</v>
      </c>
      <c r="BD74" s="13">
        <f>IF('Données projet'!$A$88&gt;35,BD73+BC74-BL73,IF(A74&lt;'Données projet'!$A$88,$BA$205^A74,IF(A74='Données projet'!$A$88,'Données projet'!$B$88,BD73+BC74-BL73)))</f>
        <v>378.75982905982892</v>
      </c>
      <c r="BE74" s="14">
        <f>BD74*VLOOKUP('Données projet'!$B$11,Paramètres!$A$1:$I$89,3,0)*VLOOKUP('Données projet'!$B$11,Paramètres!$A$1:$I$89,5,0)</f>
        <v>177.25959999999992</v>
      </c>
      <c r="BF74" s="14">
        <f t="shared" si="91"/>
        <v>44.711954347677931</v>
      </c>
      <c r="BG74" s="22">
        <f t="shared" si="61"/>
        <v>386.60045715553889</v>
      </c>
      <c r="BH74" s="62">
        <f t="shared" si="62"/>
        <v>679.93379048887221</v>
      </c>
      <c r="BI74" s="62">
        <f ca="1">AVERAGE(OFFSET($BH$3,0,0,'Données projet'!$E$11+1,1))-AVERAGE(OFFSET($H$3,0,0,'Données projet'!$E$11+1,1))</f>
        <v>183.46485104601493</v>
      </c>
      <c r="BJ74" s="62">
        <f t="shared" si="92"/>
        <v>127.47790120677581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6.75</v>
      </c>
      <c r="BY74" s="13">
        <f>IF('Données projet'!$A$114&gt;35,BY73+BX74-CG73,IF(A74&lt;'Données projet'!$A$114,$BV$205^A74,IF(A74='Données projet'!$A$114,'Données projet'!$B$114,BY73+BX74-CG73)))</f>
        <v>398.74999999999994</v>
      </c>
      <c r="BZ74" s="14">
        <f>BY74*VLOOKUP('Données projet'!$B$12,Paramètres!$A$1:$I$89,3,0)*VLOOKUP('Données projet'!$B$12,Paramètres!$A$1:$I$89,5,0)</f>
        <v>228.08499999999998</v>
      </c>
      <c r="CA74" s="14">
        <f t="shared" si="93"/>
        <v>55.868412485747712</v>
      </c>
      <c r="CB74" s="22">
        <f t="shared" si="64"/>
        <v>494.55219341267713</v>
      </c>
      <c r="CC74" s="62">
        <f t="shared" si="65"/>
        <v>787.88552674601044</v>
      </c>
      <c r="CD74" s="62">
        <f ca="1">AVERAGE(OFFSET($CC$3,0,0,'Données projet'!$E$12+1,1))-AVERAGE(OFFSET($H$3,0,0,'Données projet'!$E$12+1,1))</f>
        <v>228.06050741667258</v>
      </c>
      <c r="CE74" s="62">
        <f t="shared" si="94"/>
        <v>191.94885821983536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2.9618065369958102</v>
      </c>
      <c r="CM74" s="23">
        <f>EXP(-LN(2)/2)*CM73+(1-EXP(-LN(2)/2))/(LN(2)/2)*CG74*CJ74*VLOOKUP('Données projet'!$B$12,Paramètres!$A$1:$I$89,3,0)*0.475*44/12</f>
        <v>8.6718512116030367E-6</v>
      </c>
      <c r="CN74" s="24">
        <f t="shared" si="66"/>
        <v>2.961815208847022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355.79999999999967</v>
      </c>
      <c r="CU74" s="18">
        <f>CT74*VLOOKUP('Données projet'!$B$13,Paramètres!$A$1:$I$89,3,0)*VLOOKUP('Données projet'!$B$13,Paramètres!$A$1:$I$89,5,0)</f>
        <v>283.07447999999977</v>
      </c>
      <c r="CV74" s="14">
        <f t="shared" si="95"/>
        <v>67.616321363645156</v>
      </c>
      <c r="CW74" s="22">
        <f t="shared" si="67"/>
        <v>610.78647904168156</v>
      </c>
      <c r="CX74" s="62">
        <f t="shared" si="68"/>
        <v>904.11981237501482</v>
      </c>
      <c r="CY74" s="62">
        <f ca="1">AVERAGE(OFFSET($CX$3,0,0,'Données projet'!$E$13+1,1))-AVERAGE(OFFSET($H$3,0,0,'Données projet'!$E$13+1,1))</f>
        <v>343.37244130003143</v>
      </c>
      <c r="CZ74" s="62">
        <f t="shared" si="96"/>
        <v>318.38876834819763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4.4000000000000004</v>
      </c>
      <c r="DO74" s="13">
        <f>IF('Données projet'!$A$166&gt;35,DO73+DN74-DW73,IF(A74&lt;'Données projet'!$A$166,$DL$205^A74,IF(A74='Données projet'!$A$166,'Données projet'!$B$166,DO73+DN74-DW73)))</f>
        <v>306.39999999999975</v>
      </c>
      <c r="DP74" s="18">
        <f>DO74*VLOOKUP('Données projet'!$B$14,Paramètres!$A$1:$I$89,3,0)*VLOOKUP('Données projet'!$B$14,Paramètres!$A$1:$I$89,5,0)</f>
        <v>224.6524799999998</v>
      </c>
      <c r="DQ74" s="14">
        <f t="shared" si="97"/>
        <v>55.124844378503333</v>
      </c>
      <c r="DR74" s="22">
        <f t="shared" si="70"/>
        <v>487.27883995922622</v>
      </c>
      <c r="DS74" s="62">
        <f t="shared" si="71"/>
        <v>780.61217329255953</v>
      </c>
      <c r="DT74" s="62">
        <f ca="1">AVERAGE(OFFSET($DS$3,0,0,'Données projet'!$E$14+1,1))-AVERAGE(OFFSET($H$3,0,0,'Données projet'!$E$14+1,1))</f>
        <v>263.81634201637729</v>
      </c>
      <c r="DU74" s="62">
        <f t="shared" si="98"/>
        <v>302.03767435507262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322.63846641467165</v>
      </c>
      <c r="T75" s="62">
        <f t="shared" si="88"/>
        <v>435.17386576419966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6.4059858085665224</v>
      </c>
      <c r="AB75" s="23">
        <f>EXP(-LN(2)/2)*AB74+(1-EXP(-LN(2)/2))/(LN(2)/2)*V75*Y75*VLOOKUP('Données projet'!$B$9,Paramètres!$A$1:$I$89,3,0)*0.475*44/12</f>
        <v>1.3934614207652258E-6</v>
      </c>
      <c r="AC75" s="24">
        <f t="shared" si="57"/>
        <v>6.4059872020279434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175.05987582828078</v>
      </c>
      <c r="AO75" s="62">
        <f t="shared" si="90"/>
        <v>268.54782308462387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2.8339234676823097</v>
      </c>
      <c r="AW75" s="23">
        <f>EXP(-LN(2)/2)*AW74+(1-EXP(-LN(2)/2))/(LN(2)/2)*AQ75*AT75*VLOOKUP('Données projet'!$B$10,Paramètres!$A$1:$I$89,3,0)*0.475*44/12</f>
        <v>6.0314952853623229E-6</v>
      </c>
      <c r="AX75" s="23">
        <f t="shared" si="60"/>
        <v>2.8339294991775952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13.02735042735042</v>
      </c>
      <c r="BD75" s="13">
        <f>IF('Données projet'!$A$88&gt;35,BD74+BC75-BL74,IF(A75&lt;'Données projet'!$A$88,$BA$205^A75,IF(A75='Données projet'!$A$88,'Données projet'!$B$88,BD74+BC75-BL74)))</f>
        <v>391.78717948717934</v>
      </c>
      <c r="BE75" s="14">
        <f>BD75*VLOOKUP('Données projet'!$B$11,Paramètres!$A$1:$I$89,3,0)*VLOOKUP('Données projet'!$B$11,Paramètres!$A$1:$I$89,5,0)</f>
        <v>183.35639999999992</v>
      </c>
      <c r="BF75" s="14">
        <f t="shared" si="91"/>
        <v>46.068118510976113</v>
      </c>
      <c r="BG75" s="22">
        <f t="shared" si="61"/>
        <v>399.58103640661653</v>
      </c>
      <c r="BH75" s="62">
        <f t="shared" si="62"/>
        <v>692.91436973994985</v>
      </c>
      <c r="BI75" s="62">
        <f ca="1">AVERAGE(OFFSET($BH$3,0,0,'Données projet'!$E$11+1,1))-AVERAGE(OFFSET($H$3,0,0,'Données projet'!$E$11+1,1))</f>
        <v>183.46485104601493</v>
      </c>
      <c r="BJ75" s="62">
        <f t="shared" si="92"/>
        <v>127.47790120677581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6.75</v>
      </c>
      <c r="BY75" s="13">
        <f>IF('Données projet'!$A$114&gt;35,BY74+BX75-CG74,IF(A75&lt;'Données projet'!$A$114,$BV$205^A75,IF(A75='Données projet'!$A$114,'Données projet'!$B$114,BY74+BX75-CG74)))</f>
        <v>405.49999999999994</v>
      </c>
      <c r="BZ75" s="14">
        <f>BY75*VLOOKUP('Données projet'!$B$12,Paramètres!$A$1:$I$89,3,0)*VLOOKUP('Données projet'!$B$12,Paramètres!$A$1:$I$89,5,0)</f>
        <v>231.946</v>
      </c>
      <c r="CA75" s="14">
        <f t="shared" si="93"/>
        <v>56.703245681093705</v>
      </c>
      <c r="CB75" s="22">
        <f t="shared" si="64"/>
        <v>502.73076956123822</v>
      </c>
      <c r="CC75" s="62">
        <f t="shared" si="65"/>
        <v>796.06410289457153</v>
      </c>
      <c r="CD75" s="62">
        <f ca="1">AVERAGE(OFFSET($CC$3,0,0,'Données projet'!$E$12+1,1))-AVERAGE(OFFSET($H$3,0,0,'Données projet'!$E$12+1,1))</f>
        <v>228.06050741667258</v>
      </c>
      <c r="CE75" s="62">
        <f t="shared" si="94"/>
        <v>191.94885821983536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2.8808157814870232</v>
      </c>
      <c r="CM75" s="23">
        <f>EXP(-LN(2)/2)*CM74+(1-EXP(-LN(2)/2))/(LN(2)/2)*CG75*CJ75*VLOOKUP('Données projet'!$B$12,Paramètres!$A$1:$I$89,3,0)*0.475*44/12</f>
        <v>6.1319247971652855E-6</v>
      </c>
      <c r="CN75" s="24">
        <f t="shared" si="66"/>
        <v>2.8808219134118205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360.59999999999968</v>
      </c>
      <c r="CU75" s="18">
        <f>CT75*VLOOKUP('Données projet'!$B$13,Paramètres!$A$1:$I$89,3,0)*VLOOKUP('Données projet'!$B$13,Paramètres!$A$1:$I$89,5,0)</f>
        <v>286.89335999999975</v>
      </c>
      <c r="CV75" s="14">
        <f t="shared" si="95"/>
        <v>68.421705584684744</v>
      </c>
      <c r="CW75" s="22">
        <f t="shared" si="67"/>
        <v>618.84040589332551</v>
      </c>
      <c r="CX75" s="62">
        <f t="shared" si="68"/>
        <v>912.17373922665888</v>
      </c>
      <c r="CY75" s="62">
        <f ca="1">AVERAGE(OFFSET($CX$3,0,0,'Données projet'!$E$13+1,1))-AVERAGE(OFFSET($H$3,0,0,'Données projet'!$E$13+1,1))</f>
        <v>343.37244130003143</v>
      </c>
      <c r="CZ75" s="62">
        <f t="shared" si="96"/>
        <v>318.38876834819763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4.4000000000000004</v>
      </c>
      <c r="DO75" s="13">
        <f>IF('Données projet'!$A$166&gt;35,DO74+DN75-DW74,IF(A75&lt;'Données projet'!$A$166,$DL$205^A75,IF(A75='Données projet'!$A$166,'Données projet'!$B$166,DO74+DN75-DW74)))</f>
        <v>310.79999999999973</v>
      </c>
      <c r="DP75" s="18">
        <f>DO75*VLOOKUP('Données projet'!$B$14,Paramètres!$A$1:$I$89,3,0)*VLOOKUP('Données projet'!$B$14,Paramètres!$A$1:$I$89,5,0)</f>
        <v>227.87855999999977</v>
      </c>
      <c r="DQ75" s="14">
        <f t="shared" si="97"/>
        <v>55.823729514114589</v>
      </c>
      <c r="DR75" s="22">
        <f t="shared" si="70"/>
        <v>494.11482090374903</v>
      </c>
      <c r="DS75" s="62">
        <f t="shared" si="71"/>
        <v>787.44815423708235</v>
      </c>
      <c r="DT75" s="62">
        <f ca="1">AVERAGE(OFFSET($DS$3,0,0,'Données projet'!$E$14+1,1))-AVERAGE(OFFSET($H$3,0,0,'Données projet'!$E$14+1,1))</f>
        <v>263.81634201637729</v>
      </c>
      <c r="DU75" s="62">
        <f t="shared" si="98"/>
        <v>302.03767435507262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322.63846641467165</v>
      </c>
      <c r="T76" s="62">
        <f t="shared" si="88"/>
        <v>435.17386576419966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6.2308137897551186</v>
      </c>
      <c r="AB76" s="23">
        <f>EXP(-LN(2)/2)*AB75+(1-EXP(-LN(2)/2))/(LN(2)/2)*V76*Y76*VLOOKUP('Données projet'!$B$9,Paramètres!$A$1:$I$89,3,0)*0.475*44/12</f>
        <v>9.8532601994493212E-7</v>
      </c>
      <c r="AC76" s="24">
        <f t="shared" si="57"/>
        <v>6.2308147750811385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175.05987582828078</v>
      </c>
      <c r="AO76" s="62">
        <f t="shared" si="90"/>
        <v>268.54782308462387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2.7564296814289788</v>
      </c>
      <c r="AW76" s="23">
        <f>EXP(-LN(2)/2)*AW75+(1-EXP(-LN(2)/2))/(LN(2)/2)*AQ76*AT76*VLOOKUP('Données projet'!$B$10,Paramètres!$A$1:$I$89,3,0)*0.475*44/12</f>
        <v>4.2649112169743891E-6</v>
      </c>
      <c r="AX76" s="23">
        <f t="shared" si="60"/>
        <v>2.7564339463401959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13.02735042735042</v>
      </c>
      <c r="BD76" s="13">
        <f>IF('Données projet'!$A$88&gt;35,BD75+BC76-BL75,IF(A76&lt;'Données projet'!$A$88,$BA$205^A76,IF(A76='Données projet'!$A$88,'Données projet'!$B$88,BD75+BC76-BL75)))</f>
        <v>404.81452991452977</v>
      </c>
      <c r="BE76" s="14">
        <f>BD76*VLOOKUP('Données projet'!$B$11,Paramètres!$A$1:$I$89,3,0)*VLOOKUP('Données projet'!$B$11,Paramètres!$A$1:$I$89,5,0)</f>
        <v>189.45319999999992</v>
      </c>
      <c r="BF76" s="14">
        <f t="shared" si="91"/>
        <v>47.419042864854745</v>
      </c>
      <c r="BG76" s="22">
        <f t="shared" si="61"/>
        <v>412.55248965628857</v>
      </c>
      <c r="BH76" s="62">
        <f t="shared" si="62"/>
        <v>705.88582298962183</v>
      </c>
      <c r="BI76" s="62">
        <f ca="1">AVERAGE(OFFSET($BH$3,0,0,'Données projet'!$E$11+1,1))-AVERAGE(OFFSET($H$3,0,0,'Données projet'!$E$11+1,1))</f>
        <v>183.46485104601493</v>
      </c>
      <c r="BJ76" s="62">
        <f t="shared" si="92"/>
        <v>127.47790120677581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6.75</v>
      </c>
      <c r="BY76" s="13">
        <f>IF('Données projet'!$A$114&gt;35,BY75+BX76-CG75,IF(A76&lt;'Données projet'!$A$114,$BV$205^A76,IF(A76='Données projet'!$A$114,'Données projet'!$B$114,BY75+BX76-CG75)))</f>
        <v>412.24999999999994</v>
      </c>
      <c r="BZ76" s="14">
        <f>BY76*VLOOKUP('Données projet'!$B$12,Paramètres!$A$1:$I$89,3,0)*VLOOKUP('Données projet'!$B$12,Paramètres!$A$1:$I$89,5,0)</f>
        <v>235.80699999999999</v>
      </c>
      <c r="CA76" s="14">
        <f t="shared" si="93"/>
        <v>57.536462784250709</v>
      </c>
      <c r="CB76" s="22">
        <f t="shared" si="64"/>
        <v>510.90653101590328</v>
      </c>
      <c r="CC76" s="62">
        <f t="shared" si="65"/>
        <v>804.23986434923654</v>
      </c>
      <c r="CD76" s="62">
        <f ca="1">AVERAGE(OFFSET($CC$3,0,0,'Données projet'!$E$12+1,1))-AVERAGE(OFFSET($H$3,0,0,'Données projet'!$E$12+1,1))</f>
        <v>228.06050741667258</v>
      </c>
      <c r="CE76" s="62">
        <f t="shared" si="94"/>
        <v>191.94885821983536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2.8020397224467426</v>
      </c>
      <c r="CM76" s="23">
        <f>EXP(-LN(2)/2)*CM75+(1-EXP(-LN(2)/2))/(LN(2)/2)*CG76*CJ76*VLOOKUP('Données projet'!$B$12,Paramètres!$A$1:$I$89,3,0)*0.475*44/12</f>
        <v>4.3359256058015184E-6</v>
      </c>
      <c r="CN76" s="24">
        <f t="shared" si="66"/>
        <v>2.8020440583723483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365.39999999999969</v>
      </c>
      <c r="CU76" s="18">
        <f>CT76*VLOOKUP('Données projet'!$B$13,Paramètres!$A$1:$I$89,3,0)*VLOOKUP('Données projet'!$B$13,Paramètres!$A$1:$I$89,5,0)</f>
        <v>290.71223999999978</v>
      </c>
      <c r="CV76" s="14">
        <f t="shared" si="95"/>
        <v>69.225842856510994</v>
      </c>
      <c r="CW76" s="22">
        <f t="shared" si="67"/>
        <v>626.89216097508961</v>
      </c>
      <c r="CX76" s="62">
        <f t="shared" si="68"/>
        <v>920.22549430842287</v>
      </c>
      <c r="CY76" s="62">
        <f ca="1">AVERAGE(OFFSET($CX$3,0,0,'Données projet'!$E$13+1,1))-AVERAGE(OFFSET($H$3,0,0,'Données projet'!$E$13+1,1))</f>
        <v>343.37244130003143</v>
      </c>
      <c r="CZ76" s="62">
        <f t="shared" si="96"/>
        <v>318.38876834819763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4.4000000000000004</v>
      </c>
      <c r="DO76" s="13">
        <f>IF('Données projet'!$A$166&gt;35,DO75+DN76-DW75,IF(A76&lt;'Données projet'!$A$166,$DL$205^A76,IF(A76='Données projet'!$A$166,'Données projet'!$B$166,DO75+DN76-DW75)))</f>
        <v>315.1999999999997</v>
      </c>
      <c r="DP76" s="18">
        <f>DO76*VLOOKUP('Données projet'!$B$14,Paramètres!$A$1:$I$89,3,0)*VLOOKUP('Données projet'!$B$14,Paramètres!$A$1:$I$89,5,0)</f>
        <v>231.10463999999979</v>
      </c>
      <c r="DQ76" s="14">
        <f t="shared" si="97"/>
        <v>56.521463881114883</v>
      </c>
      <c r="DR76" s="22">
        <f t="shared" si="70"/>
        <v>500.94879759294128</v>
      </c>
      <c r="DS76" s="62">
        <f t="shared" si="71"/>
        <v>794.28213092627459</v>
      </c>
      <c r="DT76" s="62">
        <f ca="1">AVERAGE(OFFSET($DS$3,0,0,'Données projet'!$E$14+1,1))-AVERAGE(OFFSET($H$3,0,0,'Données projet'!$E$14+1,1))</f>
        <v>263.81634201637729</v>
      </c>
      <c r="DU76" s="62">
        <f t="shared" si="98"/>
        <v>302.03767435507262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322.63846641467165</v>
      </c>
      <c r="T77" s="62">
        <f t="shared" si="88"/>
        <v>435.17386576419966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6.0604318590100084</v>
      </c>
      <c r="AB77" s="23">
        <f>EXP(-LN(2)/2)*AB76+(1-EXP(-LN(2)/2))/(LN(2)/2)*V77*Y77*VLOOKUP('Données projet'!$B$9,Paramètres!$A$1:$I$89,3,0)*0.475*44/12</f>
        <v>6.9673071038261288E-7</v>
      </c>
      <c r="AC77" s="24">
        <f t="shared" si="57"/>
        <v>6.0604325557407188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175.05987582828078</v>
      </c>
      <c r="AO77" s="62">
        <f t="shared" si="90"/>
        <v>268.54782308462387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2.6810549668359664</v>
      </c>
      <c r="AW77" s="23">
        <f>EXP(-LN(2)/2)*AW76+(1-EXP(-LN(2)/2))/(LN(2)/2)*AQ77*AT77*VLOOKUP('Données projet'!$B$10,Paramètres!$A$1:$I$89,3,0)*0.475*44/12</f>
        <v>3.0157476426811615E-6</v>
      </c>
      <c r="AX77" s="23">
        <f t="shared" si="60"/>
        <v>2.6810579825836092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13.02735042735042</v>
      </c>
      <c r="BD77" s="13">
        <f>IF('Données projet'!$A$88&gt;35,BD76+BC77-BL76,IF(A77&lt;'Données projet'!$A$88,$BA$205^A77,IF(A77='Données projet'!$A$88,'Données projet'!$B$88,BD76+BC77-BL76)))</f>
        <v>417.8418803418802</v>
      </c>
      <c r="BE77" s="14">
        <f>BD77*VLOOKUP('Données projet'!$B$11,Paramètres!$A$1:$I$89,3,0)*VLOOKUP('Données projet'!$B$11,Paramètres!$A$1:$I$89,5,0)</f>
        <v>195.54999999999995</v>
      </c>
      <c r="BF77" s="14">
        <f t="shared" si="91"/>
        <v>48.764915373179647</v>
      </c>
      <c r="BG77" s="22">
        <f t="shared" si="61"/>
        <v>425.51514427495448</v>
      </c>
      <c r="BH77" s="62">
        <f t="shared" si="62"/>
        <v>718.84847760828779</v>
      </c>
      <c r="BI77" s="62">
        <f ca="1">AVERAGE(OFFSET($BH$3,0,0,'Données projet'!$E$11+1,1))-AVERAGE(OFFSET($H$3,0,0,'Données projet'!$E$11+1,1))</f>
        <v>183.46485104601493</v>
      </c>
      <c r="BJ77" s="62">
        <f t="shared" si="92"/>
        <v>127.47790120677581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419</v>
      </c>
      <c r="BW77" s="13">
        <f>VLOOKUP(A77,'Données projet'!$A$113:$I$133,9,0)</f>
        <v>6.75</v>
      </c>
      <c r="BX77" s="13">
        <f t="array" ref="BX77">INDEX(BW:BW,MIN(IF(ISNUMBER(BW77:BW273),ROW(BW77:BW273),"")))</f>
        <v>6.75</v>
      </c>
      <c r="BY77" s="13">
        <f>IF('Données projet'!$A$114&gt;35,BY76+BX77-CG76,IF(A77&lt;'Données projet'!$A$114,$BV$205^A77,IF(A77='Données projet'!$A$114,'Données projet'!$B$114,BY76+BX77-CG76)))</f>
        <v>418.99999999999994</v>
      </c>
      <c r="BZ77" s="14">
        <f>BY77*VLOOKUP('Données projet'!$B$12,Paramètres!$A$1:$I$89,3,0)*VLOOKUP('Données projet'!$B$12,Paramètres!$A$1:$I$89,5,0)</f>
        <v>239.66799999999998</v>
      </c>
      <c r="CA77" s="14">
        <f t="shared" si="93"/>
        <v>58.368093311006277</v>
      </c>
      <c r="CB77" s="22">
        <f t="shared" si="64"/>
        <v>519.07952918333581</v>
      </c>
      <c r="CC77" s="62">
        <f t="shared" si="65"/>
        <v>812.41286251666907</v>
      </c>
      <c r="CD77" s="62">
        <f ca="1">AVERAGE(OFFSET($CC$3,0,0,'Données projet'!$E$12+1,1))-AVERAGE(OFFSET($H$3,0,0,'Données projet'!$E$12+1,1))</f>
        <v>228.06050741667258</v>
      </c>
      <c r="CE77" s="62">
        <f t="shared" si="94"/>
        <v>191.94885821983536</v>
      </c>
      <c r="CF77" s="16">
        <f>IF(ISNA(VLOOKUP(A77,'Données projet'!$A$113:$I$133,3,0)),0,VLOOKUP(A77,'Données projet'!$A$113:$I$133,3,0))</f>
        <v>9</v>
      </c>
      <c r="CG77" s="16">
        <f>IF(ISNA(VLOOKUP(A77,'Données projet'!$A$113:$I$133,4,0)),0,VLOOKUP(A77,'Données projet'!$A$113:$I$133,4,0))</f>
        <v>20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2.7254177988835715</v>
      </c>
      <c r="CM77" s="23">
        <f>EXP(-LN(2)/2)*CM76+(1-EXP(-LN(2)/2))/(LN(2)/2)*CG77*CJ77*VLOOKUP('Données projet'!$B$12,Paramètres!$A$1:$I$89,3,0)*0.475*44/12</f>
        <v>3.0659623985826428E-6</v>
      </c>
      <c r="CN77" s="24">
        <f t="shared" si="66"/>
        <v>2.7254208648459701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370.1999999999997</v>
      </c>
      <c r="CU77" s="18">
        <f>CT77*VLOOKUP('Données projet'!$B$13,Paramètres!$A$1:$I$89,3,0)*VLOOKUP('Données projet'!$B$13,Paramètres!$A$1:$I$89,5,0)</f>
        <v>294.53111999999976</v>
      </c>
      <c r="CV77" s="14">
        <f t="shared" si="95"/>
        <v>70.028751453157682</v>
      </c>
      <c r="CW77" s="22">
        <f t="shared" si="67"/>
        <v>634.94177611424914</v>
      </c>
      <c r="CX77" s="62">
        <f t="shared" si="68"/>
        <v>928.27510944758251</v>
      </c>
      <c r="CY77" s="62">
        <f ca="1">AVERAGE(OFFSET($CX$3,0,0,'Données projet'!$E$13+1,1))-AVERAGE(OFFSET($H$3,0,0,'Données projet'!$E$13+1,1))</f>
        <v>343.37244130003143</v>
      </c>
      <c r="CZ77" s="62">
        <f t="shared" si="96"/>
        <v>318.38876834819763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4.4000000000000004</v>
      </c>
      <c r="DO77" s="13">
        <f>IF('Données projet'!$A$166&gt;35,DO76+DN77-DW76,IF(A77&lt;'Données projet'!$A$166,$DL$205^A77,IF(A77='Données projet'!$A$166,'Données projet'!$B$166,DO76+DN77-DW76)))</f>
        <v>319.59999999999968</v>
      </c>
      <c r="DP77" s="18">
        <f>DO77*VLOOKUP('Données projet'!$B$14,Paramètres!$A$1:$I$89,3,0)*VLOOKUP('Données projet'!$B$14,Paramètres!$A$1:$I$89,5,0)</f>
        <v>234.33071999999976</v>
      </c>
      <c r="DQ77" s="14">
        <f t="shared" si="97"/>
        <v>57.218065399995126</v>
      </c>
      <c r="DR77" s="22">
        <f t="shared" si="70"/>
        <v>507.78080123832439</v>
      </c>
      <c r="DS77" s="62">
        <f t="shared" si="71"/>
        <v>801.1141345716577</v>
      </c>
      <c r="DT77" s="62">
        <f ca="1">AVERAGE(OFFSET($DS$3,0,0,'Données projet'!$E$14+1,1))-AVERAGE(OFFSET($H$3,0,0,'Données projet'!$E$14+1,1))</f>
        <v>263.81634201637729</v>
      </c>
      <c r="DU77" s="62">
        <f t="shared" si="98"/>
        <v>302.03767435507262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322.63846641467165</v>
      </c>
      <c r="T78" s="62">
        <f t="shared" si="88"/>
        <v>435.17386576419966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5.8947090311211197</v>
      </c>
      <c r="AB78" s="23">
        <f>EXP(-LN(2)/2)*AB77+(1-EXP(-LN(2)/2))/(LN(2)/2)*V78*Y78*VLOOKUP('Données projet'!$B$9,Paramètres!$A$1:$I$89,3,0)*0.475*44/12</f>
        <v>4.9266300997246606E-7</v>
      </c>
      <c r="AC78" s="24">
        <f t="shared" si="57"/>
        <v>5.8947095237841296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175.05987582828078</v>
      </c>
      <c r="AO78" s="62">
        <f t="shared" si="90"/>
        <v>268.54782308462387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2.607741377777284</v>
      </c>
      <c r="AW78" s="23">
        <f>EXP(-LN(2)/2)*AW77+(1-EXP(-LN(2)/2))/(LN(2)/2)*AQ78*AT78*VLOOKUP('Données projet'!$B$10,Paramètres!$A$1:$I$89,3,0)*0.475*44/12</f>
        <v>2.1324556084871945E-6</v>
      </c>
      <c r="AX78" s="23">
        <f t="shared" si="60"/>
        <v>2.6077435102328925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430.86923076923074</v>
      </c>
      <c r="BB78" s="13">
        <f>VLOOKUP(A78,'Données projet'!$A$87:$I$107,9,0)</f>
        <v>13.02735042735042</v>
      </c>
      <c r="BC78" s="13">
        <f t="array" ref="BC78">INDEX(BB:BB,MIN(IF(ISNUMBER(BB78:BB274),ROW(BB78:BB274),"")))</f>
        <v>13.02735042735042</v>
      </c>
      <c r="BD78" s="13">
        <f>IF('Données projet'!$A$88&gt;35,BD77+BC78-BL77,IF(A78&lt;'Données projet'!$A$88,$BA$205^A78,IF(A78='Données projet'!$A$88,'Données projet'!$B$88,BD77+BC78-BL77)))</f>
        <v>430.86923076923063</v>
      </c>
      <c r="BE78" s="14">
        <f>BD78*VLOOKUP('Données projet'!$B$11,Paramètres!$A$1:$I$89,3,0)*VLOOKUP('Données projet'!$B$11,Paramètres!$A$1:$I$89,5,0)</f>
        <v>201.64679999999993</v>
      </c>
      <c r="BF78" s="14">
        <f t="shared" si="91"/>
        <v>50.105911613506244</v>
      </c>
      <c r="BG78" s="22">
        <f t="shared" si="61"/>
        <v>438.46930606018987</v>
      </c>
      <c r="BH78" s="62">
        <f t="shared" si="62"/>
        <v>731.80263939352312</v>
      </c>
      <c r="BI78" s="62">
        <f ca="1">AVERAGE(OFFSET($BH$3,0,0,'Données projet'!$E$11+1,1))-AVERAGE(OFFSET($H$3,0,0,'Données projet'!$E$11+1,1))</f>
        <v>183.46485104601493</v>
      </c>
      <c r="BJ78" s="62">
        <f t="shared" si="92"/>
        <v>127.47790120677581</v>
      </c>
      <c r="BK78" s="16">
        <f>IF(ISNA(VLOOKUP(A78,'Données projet'!$A$87:$I$107,3,0)),0,VLOOKUP(A78,'Données projet'!$A$87:$I$107,3,0))</f>
        <v>5</v>
      </c>
      <c r="BL78" s="16">
        <f>IF(ISNA(VLOOKUP(A78,'Données projet'!$A$87:$I$107,4,0)),0,VLOOKUP(A78,'Données projet'!$A$87:$I$107,4,0))</f>
        <v>78.307692307692321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5.625</v>
      </c>
      <c r="BY78" s="13">
        <f>IF('Données projet'!$A$114&gt;35,BY77+BX78-CG77,IF(A78&lt;'Données projet'!$A$114,$BV$205^A78,IF(A78='Données projet'!$A$114,'Données projet'!$B$114,BY77+BX78-CG77)))</f>
        <v>404.62499999999994</v>
      </c>
      <c r="BZ78" s="14">
        <f>BY78*VLOOKUP('Données projet'!$B$12,Paramètres!$A$1:$I$89,3,0)*VLOOKUP('Données projet'!$B$12,Paramètres!$A$1:$I$89,5,0)</f>
        <v>231.44549999999995</v>
      </c>
      <c r="CA78" s="14">
        <f t="shared" si="93"/>
        <v>56.595118370327334</v>
      </c>
      <c r="CB78" s="22">
        <f t="shared" si="64"/>
        <v>501.67074366165338</v>
      </c>
      <c r="CC78" s="62">
        <f t="shared" si="65"/>
        <v>795.00407699498669</v>
      </c>
      <c r="CD78" s="62">
        <f ca="1">AVERAGE(OFFSET($CC$3,0,0,'Données projet'!$E$12+1,1))-AVERAGE(OFFSET($H$3,0,0,'Données projet'!$E$12+1,1))</f>
        <v>228.06050741667258</v>
      </c>
      <c r="CE78" s="62">
        <f t="shared" si="94"/>
        <v>191.94885821983536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2.6508911058496074</v>
      </c>
      <c r="CM78" s="23">
        <f>EXP(-LN(2)/2)*CM77+(1-EXP(-LN(2)/2))/(LN(2)/2)*CG78*CJ78*VLOOKUP('Données projet'!$B$12,Paramètres!$A$1:$I$89,3,0)*0.475*44/12</f>
        <v>2.1679628029007592E-6</v>
      </c>
      <c r="CN78" s="24">
        <f t="shared" si="66"/>
        <v>2.6508932738124105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375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374.99999999999972</v>
      </c>
      <c r="CU78" s="18">
        <f>CT78*VLOOKUP('Données projet'!$B$13,Paramètres!$A$1:$I$89,3,0)*VLOOKUP('Données projet'!$B$13,Paramètres!$A$1:$I$89,5,0)</f>
        <v>298.3499999999998</v>
      </c>
      <c r="CV78" s="14">
        <f t="shared" si="95"/>
        <v>70.83044914753448</v>
      </c>
      <c r="CW78" s="22">
        <f t="shared" si="67"/>
        <v>642.98928226528881</v>
      </c>
      <c r="CX78" s="62">
        <f t="shared" si="68"/>
        <v>936.32261559862218</v>
      </c>
      <c r="CY78" s="62">
        <f ca="1">AVERAGE(OFFSET($CX$3,0,0,'Données projet'!$E$13+1,1))-AVERAGE(OFFSET($H$3,0,0,'Données projet'!$E$13+1,1))</f>
        <v>343.37244130003143</v>
      </c>
      <c r="CZ78" s="62">
        <f t="shared" si="96"/>
        <v>318.38876834819763</v>
      </c>
      <c r="DA78" s="16">
        <f>IF(ISNA(VLOOKUP(A78,'Données projet'!$A$139:$I$159,3,0)),0,VLOOKUP(A78,'Données projet'!$A$139:$I$159,3,0))</f>
        <v>8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324</v>
      </c>
      <c r="DM78" s="13">
        <f>VLOOKUP(A78,'Données projet'!$A$165:$I$185,9,0)</f>
        <v>4.4000000000000004</v>
      </c>
      <c r="DN78" s="13">
        <f t="array" ref="DN78">INDEX(DM:DM,MIN(IF(ISNUMBER(DM78:DM274),ROW(DM78:DM274),"")))</f>
        <v>4.4000000000000004</v>
      </c>
      <c r="DO78" s="13">
        <f>IF('Données projet'!$A$166&gt;35,DO77+DN78-DW77,IF(A78&lt;'Données projet'!$A$166,$DL$205^A78,IF(A78='Données projet'!$A$166,'Données projet'!$B$166,DO77+DN78-DW77)))</f>
        <v>323.99999999999966</v>
      </c>
      <c r="DP78" s="18">
        <f>DO78*VLOOKUP('Données projet'!$B$14,Paramètres!$A$1:$I$89,3,0)*VLOOKUP('Données projet'!$B$14,Paramètres!$A$1:$I$89,5,0)</f>
        <v>237.55679999999975</v>
      </c>
      <c r="DQ78" s="14">
        <f t="shared" si="97"/>
        <v>57.913551469467258</v>
      </c>
      <c r="DR78" s="22">
        <f t="shared" si="70"/>
        <v>514.61086214265504</v>
      </c>
      <c r="DS78" s="62">
        <f t="shared" si="71"/>
        <v>807.94419547598841</v>
      </c>
      <c r="DT78" s="62">
        <f ca="1">AVERAGE(OFFSET($DS$3,0,0,'Données projet'!$E$14+1,1))-AVERAGE(OFFSET($H$3,0,0,'Données projet'!$E$14+1,1))</f>
        <v>263.81634201637729</v>
      </c>
      <c r="DU78" s="62">
        <f t="shared" si="98"/>
        <v>302.03767435507262</v>
      </c>
      <c r="DV78" s="16">
        <f>IF(ISNA(VLOOKUP(A78,'Données projet'!$A$165:$I$185,3,0)),0,VLOOKUP(A78,'Données projet'!$A$165:$I$185,3,0))</f>
        <v>7</v>
      </c>
      <c r="DW78" s="16">
        <f>IF(ISNA(VLOOKUP(A78,'Données projet'!$A$165:$I$185,4,0)),0,VLOOKUP(A78,'Données projet'!$A$165:$I$185,4,0))</f>
        <v>12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322.63846641467165</v>
      </c>
      <c r="T79" s="62">
        <f t="shared" si="88"/>
        <v>435.17386576419966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5.7335179026758372</v>
      </c>
      <c r="AB79" s="23">
        <f>EXP(-LN(2)/2)*AB78+(1-EXP(-LN(2)/2))/(LN(2)/2)*V79*Y79*VLOOKUP('Données projet'!$B$9,Paramètres!$A$1:$I$89,3,0)*0.475*44/12</f>
        <v>3.4836535519130644E-7</v>
      </c>
      <c r="AC79" s="24">
        <f t="shared" si="57"/>
        <v>5.7335182510411924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175.05987582828078</v>
      </c>
      <c r="AO79" s="62">
        <f t="shared" si="90"/>
        <v>268.54782308462387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2.5364325526668052</v>
      </c>
      <c r="AW79" s="23">
        <f>EXP(-LN(2)/2)*AW78+(1-EXP(-LN(2)/2))/(LN(2)/2)*AQ79*AT79*VLOOKUP('Données projet'!$B$10,Paramètres!$A$1:$I$89,3,0)*0.475*44/12</f>
        <v>1.5078738213405807E-6</v>
      </c>
      <c r="AX79" s="23">
        <f t="shared" si="60"/>
        <v>2.5364340605406266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12.259615384615394</v>
      </c>
      <c r="BD79" s="13">
        <f>IF('Données projet'!$A$88&gt;35,BD78+BC79-BL78,IF(A79&lt;'Données projet'!$A$88,$BA$205^A79,IF(A79='Données projet'!$A$88,'Données projet'!$B$88,BD78+BC79-BL78)))</f>
        <v>364.82115384615372</v>
      </c>
      <c r="BE79" s="14">
        <f>BD79*VLOOKUP('Données projet'!$B$11,Paramètres!$A$1:$I$89,3,0)*VLOOKUP('Données projet'!$B$11,Paramètres!$A$1:$I$89,5,0)</f>
        <v>170.73629999999991</v>
      </c>
      <c r="BF79" s="14">
        <f t="shared" si="91"/>
        <v>43.254888789891751</v>
      </c>
      <c r="BG79" s="22">
        <f t="shared" si="61"/>
        <v>372.70132047572798</v>
      </c>
      <c r="BH79" s="62">
        <f t="shared" si="62"/>
        <v>666.0346538090613</v>
      </c>
      <c r="BI79" s="62">
        <f ca="1">AVERAGE(OFFSET($BH$3,0,0,'Données projet'!$E$11+1,1))-AVERAGE(OFFSET($H$3,0,0,'Données projet'!$E$11+1,1))</f>
        <v>183.46485104601493</v>
      </c>
      <c r="BJ79" s="62">
        <f t="shared" si="92"/>
        <v>127.47790120677581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5.625</v>
      </c>
      <c r="BY79" s="13">
        <f>IF('Données projet'!$A$114&gt;35,BY78+BX79-CG78,IF(A79&lt;'Données projet'!$A$114,$BV$205^A79,IF(A79='Données projet'!$A$114,'Données projet'!$B$114,BY78+BX79-CG78)))</f>
        <v>410.24999999999994</v>
      </c>
      <c r="BZ79" s="14">
        <f>BY79*VLOOKUP('Données projet'!$B$12,Paramètres!$A$1:$I$89,3,0)*VLOOKUP('Données projet'!$B$12,Paramètres!$A$1:$I$89,5,0)</f>
        <v>234.66299999999995</v>
      </c>
      <c r="CA79" s="14">
        <f t="shared" si="93"/>
        <v>57.289750356834169</v>
      </c>
      <c r="CB79" s="22">
        <f t="shared" si="64"/>
        <v>508.48437353815274</v>
      </c>
      <c r="CC79" s="62">
        <f t="shared" si="65"/>
        <v>801.81770687148605</v>
      </c>
      <c r="CD79" s="62">
        <f ca="1">AVERAGE(OFFSET($CC$3,0,0,'Données projet'!$E$12+1,1))-AVERAGE(OFFSET($H$3,0,0,'Données projet'!$E$12+1,1))</f>
        <v>228.06050741667258</v>
      </c>
      <c r="CE79" s="62">
        <f t="shared" si="94"/>
        <v>191.94885821983536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2.5784023491558452</v>
      </c>
      <c r="CM79" s="23">
        <f>EXP(-LN(2)/2)*CM78+(1-EXP(-LN(2)/2))/(LN(2)/2)*CG79*CJ79*VLOOKUP('Données projet'!$B$12,Paramètres!$A$1:$I$89,3,0)*0.475*44/12</f>
        <v>1.5329811992913214E-6</v>
      </c>
      <c r="CN79" s="24">
        <f t="shared" si="66"/>
        <v>2.5784038821370445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4.2</v>
      </c>
      <c r="CT79" s="13">
        <f>IF('Données projet'!$A$140&gt;35,CT78+CS79-DB78,IF(A79&lt;'Données projet'!$A$140,$CQ$205^A79,IF(A79='Données projet'!$A$140,'Données projet'!$B$140,CT78+CS79-DB78)))</f>
        <v>365.1999999999997</v>
      </c>
      <c r="CU79" s="18">
        <f>CT79*VLOOKUP('Données projet'!$B$13,Paramètres!$A$1:$I$89,3,0)*VLOOKUP('Données projet'!$B$13,Paramètres!$A$1:$I$89,5,0)</f>
        <v>290.55311999999975</v>
      </c>
      <c r="CV79" s="14">
        <f t="shared" si="95"/>
        <v>69.192361792646295</v>
      </c>
      <c r="CW79" s="22">
        <f t="shared" si="67"/>
        <v>626.55671412219192</v>
      </c>
      <c r="CX79" s="62">
        <f t="shared" si="68"/>
        <v>919.89004745552529</v>
      </c>
      <c r="CY79" s="62">
        <f ca="1">AVERAGE(OFFSET($CX$3,0,0,'Données projet'!$E$13+1,1))-AVERAGE(OFFSET($H$3,0,0,'Données projet'!$E$13+1,1))</f>
        <v>343.37244130003143</v>
      </c>
      <c r="CZ79" s="62">
        <f t="shared" si="96"/>
        <v>318.38876834819763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315.59999999999968</v>
      </c>
      <c r="DP79" s="18">
        <f>DO79*VLOOKUP('Données projet'!$B$14,Paramètres!$A$1:$I$89,3,0)*VLOOKUP('Données projet'!$B$14,Paramètres!$A$1:$I$89,5,0)</f>
        <v>231.39791999999977</v>
      </c>
      <c r="DQ79" s="14">
        <f t="shared" si="97"/>
        <v>56.584837838715757</v>
      </c>
      <c r="DR79" s="22">
        <f t="shared" si="70"/>
        <v>501.56996990242959</v>
      </c>
      <c r="DS79" s="62">
        <f t="shared" si="71"/>
        <v>794.90330323576291</v>
      </c>
      <c r="DT79" s="62">
        <f ca="1">AVERAGE(OFFSET($DS$3,0,0,'Données projet'!$E$14+1,1))-AVERAGE(OFFSET($H$3,0,0,'Données projet'!$E$14+1,1))</f>
        <v>263.81634201637729</v>
      </c>
      <c r="DU79" s="62">
        <f t="shared" si="98"/>
        <v>302.03767435507262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322.63846641467165</v>
      </c>
      <c r="T80" s="62">
        <f t="shared" si="88"/>
        <v>435.17386576419966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5.5767345541145641</v>
      </c>
      <c r="AB80" s="23">
        <f>EXP(-LN(2)/2)*AB79+(1-EXP(-LN(2)/2))/(LN(2)/2)*V80*Y80*VLOOKUP('Données projet'!$B$9,Paramètres!$A$1:$I$89,3,0)*0.475*44/12</f>
        <v>2.4633150498623303E-7</v>
      </c>
      <c r="AC80" s="24">
        <f t="shared" si="57"/>
        <v>5.5767348004460695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175.05987582828078</v>
      </c>
      <c r="AO80" s="62">
        <f t="shared" si="90"/>
        <v>268.54782308462387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2.4670736711289405</v>
      </c>
      <c r="AW80" s="23">
        <f>EXP(-LN(2)/2)*AW79+(1-EXP(-LN(2)/2))/(LN(2)/2)*AQ80*AT80*VLOOKUP('Données projet'!$B$10,Paramètres!$A$1:$I$89,3,0)*0.475*44/12</f>
        <v>1.0662278042435973E-6</v>
      </c>
      <c r="AX80" s="23">
        <f t="shared" si="60"/>
        <v>2.4670747373567448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12.259615384615394</v>
      </c>
      <c r="BD80" s="13">
        <f>IF('Données projet'!$A$88&gt;35,BD79+BC80-BL79,IF(A80&lt;'Données projet'!$A$88,$BA$205^A80,IF(A80='Données projet'!$A$88,'Données projet'!$B$88,BD79+BC80-BL79)))</f>
        <v>377.08076923076914</v>
      </c>
      <c r="BE80" s="14">
        <f>BD80*VLOOKUP('Données projet'!$B$11,Paramètres!$A$1:$I$89,3,0)*VLOOKUP('Données projet'!$B$11,Paramètres!$A$1:$I$89,5,0)</f>
        <v>176.47379999999993</v>
      </c>
      <c r="BF80" s="14">
        <f t="shared" si="91"/>
        <v>44.536770589031278</v>
      </c>
      <c r="BG80" s="22">
        <f t="shared" si="61"/>
        <v>384.926743775896</v>
      </c>
      <c r="BH80" s="62">
        <f t="shared" si="62"/>
        <v>678.26007710922931</v>
      </c>
      <c r="BI80" s="62">
        <f ca="1">AVERAGE(OFFSET($BH$3,0,0,'Données projet'!$E$11+1,1))-AVERAGE(OFFSET($H$3,0,0,'Données projet'!$E$11+1,1))</f>
        <v>183.46485104601493</v>
      </c>
      <c r="BJ80" s="62">
        <f t="shared" si="92"/>
        <v>127.47790120677581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5.625</v>
      </c>
      <c r="BY80" s="13">
        <f>IF('Données projet'!$A$114&gt;35,BY79+BX80-CG79,IF(A80&lt;'Données projet'!$A$114,$BV$205^A80,IF(A80='Données projet'!$A$114,'Données projet'!$B$114,BY79+BX80-CG79)))</f>
        <v>415.87499999999994</v>
      </c>
      <c r="BZ80" s="14">
        <f>BY80*VLOOKUP('Données projet'!$B$12,Paramètres!$A$1:$I$89,3,0)*VLOOKUP('Données projet'!$B$12,Paramètres!$A$1:$I$89,5,0)</f>
        <v>237.88049999999998</v>
      </c>
      <c r="CA80" s="14">
        <f t="shared" si="93"/>
        <v>57.983274573421546</v>
      </c>
      <c r="CB80" s="22">
        <f t="shared" si="64"/>
        <v>515.2960740487091</v>
      </c>
      <c r="CC80" s="62">
        <f t="shared" si="65"/>
        <v>808.62940738204247</v>
      </c>
      <c r="CD80" s="62">
        <f ca="1">AVERAGE(OFFSET($CC$3,0,0,'Données projet'!$E$12+1,1))-AVERAGE(OFFSET($H$3,0,0,'Données projet'!$E$12+1,1))</f>
        <v>228.06050741667258</v>
      </c>
      <c r="CE80" s="62">
        <f t="shared" si="94"/>
        <v>191.94885821983536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2.5078958013258923</v>
      </c>
      <c r="CM80" s="23">
        <f>EXP(-LN(2)/2)*CM79+(1-EXP(-LN(2)/2))/(LN(2)/2)*CG80*CJ80*VLOOKUP('Données projet'!$B$12,Paramètres!$A$1:$I$89,3,0)*0.475*44/12</f>
        <v>1.0839814014503796E-6</v>
      </c>
      <c r="CN80" s="24">
        <f t="shared" si="66"/>
        <v>2.5078968853072938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4.2</v>
      </c>
      <c r="CT80" s="13">
        <f>IF('Données projet'!$A$140&gt;35,CT79+CS80-DB79,IF(A80&lt;'Données projet'!$A$140,$CQ$205^A80,IF(A80='Données projet'!$A$140,'Données projet'!$B$140,CT79+CS80-DB79)))</f>
        <v>369.39999999999969</v>
      </c>
      <c r="CU80" s="18">
        <f>CT80*VLOOKUP('Données projet'!$B$13,Paramètres!$A$1:$I$89,3,0)*VLOOKUP('Données projet'!$B$13,Paramètres!$A$1:$I$89,5,0)</f>
        <v>293.89463999999975</v>
      </c>
      <c r="CV80" s="14">
        <f t="shared" si="95"/>
        <v>69.895017918070295</v>
      </c>
      <c r="CW80" s="22">
        <f t="shared" si="67"/>
        <v>633.60032087397201</v>
      </c>
      <c r="CX80" s="62">
        <f t="shared" si="68"/>
        <v>926.93365420730538</v>
      </c>
      <c r="CY80" s="62">
        <f ca="1">AVERAGE(OFFSET($CX$3,0,0,'Données projet'!$E$13+1,1))-AVERAGE(OFFSET($H$3,0,0,'Données projet'!$E$13+1,1))</f>
        <v>343.37244130003143</v>
      </c>
      <c r="CZ80" s="62">
        <f t="shared" si="96"/>
        <v>318.38876834819763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319.1999999999997</v>
      </c>
      <c r="DP80" s="18">
        <f>DO80*VLOOKUP('Données projet'!$B$14,Paramètres!$A$1:$I$89,3,0)*VLOOKUP('Données projet'!$B$14,Paramètres!$A$1:$I$89,5,0)</f>
        <v>234.03743999999978</v>
      </c>
      <c r="DQ80" s="14">
        <f t="shared" si="97"/>
        <v>57.154784339928689</v>
      </c>
      <c r="DR80" s="22">
        <f t="shared" si="70"/>
        <v>507.15979072537544</v>
      </c>
      <c r="DS80" s="62">
        <f t="shared" si="71"/>
        <v>800.49312405870876</v>
      </c>
      <c r="DT80" s="62">
        <f ca="1">AVERAGE(OFFSET($DS$3,0,0,'Données projet'!$E$14+1,1))-AVERAGE(OFFSET($H$3,0,0,'Données projet'!$E$14+1,1))</f>
        <v>263.81634201637729</v>
      </c>
      <c r="DU80" s="62">
        <f t="shared" si="98"/>
        <v>302.03767435507262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322.63846641467165</v>
      </c>
      <c r="T81" s="62">
        <f t="shared" si="88"/>
        <v>435.17386576419966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5.424238454464577</v>
      </c>
      <c r="AB81" s="23">
        <f>EXP(-LN(2)/2)*AB80+(1-EXP(-LN(2)/2))/(LN(2)/2)*V81*Y81*VLOOKUP('Données projet'!$B$9,Paramètres!$A$1:$I$89,3,0)*0.475*44/12</f>
        <v>1.7418267759565322E-7</v>
      </c>
      <c r="AC81" s="24">
        <f t="shared" si="57"/>
        <v>5.4242386286472541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175.05987582828078</v>
      </c>
      <c r="AO81" s="62">
        <f t="shared" si="90"/>
        <v>268.54782308462387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2.3996114118541536</v>
      </c>
      <c r="AW81" s="23">
        <f>EXP(-LN(2)/2)*AW80+(1-EXP(-LN(2)/2))/(LN(2)/2)*AQ81*AT81*VLOOKUP('Données projet'!$B$10,Paramètres!$A$1:$I$89,3,0)*0.475*44/12</f>
        <v>7.5393691067029037E-7</v>
      </c>
      <c r="AX81" s="23">
        <f t="shared" si="60"/>
        <v>2.3996121657910643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12.259615384615394</v>
      </c>
      <c r="BD81" s="13">
        <f>IF('Données projet'!$A$88&gt;35,BD80+BC81-BL80,IF(A81&lt;'Données projet'!$A$88,$BA$205^A81,IF(A81='Données projet'!$A$88,'Données projet'!$B$88,BD80+BC81-BL80)))</f>
        <v>389.34038461538455</v>
      </c>
      <c r="BE81" s="14">
        <f>BD81*VLOOKUP('Données projet'!$B$11,Paramètres!$A$1:$I$89,3,0)*VLOOKUP('Données projet'!$B$11,Paramètres!$A$1:$I$89,5,0)</f>
        <v>182.21129999999999</v>
      </c>
      <c r="BF81" s="14">
        <f t="shared" si="91"/>
        <v>45.813809518844209</v>
      </c>
      <c r="BG81" s="22">
        <f t="shared" si="61"/>
        <v>397.143732411987</v>
      </c>
      <c r="BH81" s="62">
        <f t="shared" si="62"/>
        <v>690.47706574532026</v>
      </c>
      <c r="BI81" s="62">
        <f ca="1">AVERAGE(OFFSET($BH$3,0,0,'Données projet'!$E$11+1,1))-AVERAGE(OFFSET($H$3,0,0,'Données projet'!$E$11+1,1))</f>
        <v>183.46485104601493</v>
      </c>
      <c r="BJ81" s="62">
        <f t="shared" si="92"/>
        <v>127.47790120677581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5.625</v>
      </c>
      <c r="BY81" s="13">
        <f>IF('Données projet'!$A$114&gt;35,BY80+BX81-CG80,IF(A81&lt;'Données projet'!$A$114,$BV$205^A81,IF(A81='Données projet'!$A$114,'Données projet'!$B$114,BY80+BX81-CG80)))</f>
        <v>421.49999999999994</v>
      </c>
      <c r="BZ81" s="14">
        <f>BY81*VLOOKUP('Données projet'!$B$12,Paramètres!$A$1:$I$89,3,0)*VLOOKUP('Données projet'!$B$12,Paramètres!$A$1:$I$89,5,0)</f>
        <v>241.09799999999998</v>
      </c>
      <c r="CA81" s="14">
        <f t="shared" si="93"/>
        <v>58.675707735379945</v>
      </c>
      <c r="CB81" s="22">
        <f t="shared" si="64"/>
        <v>522.10587430578664</v>
      </c>
      <c r="CC81" s="62">
        <f t="shared" si="65"/>
        <v>815.43920763912001</v>
      </c>
      <c r="CD81" s="62">
        <f ca="1">AVERAGE(OFFSET($CC$3,0,0,'Données projet'!$E$12+1,1))-AVERAGE(OFFSET($H$3,0,0,'Données projet'!$E$12+1,1))</f>
        <v>228.06050741667258</v>
      </c>
      <c r="CE81" s="62">
        <f t="shared" si="94"/>
        <v>191.94885821983536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2.4393172587541274</v>
      </c>
      <c r="CM81" s="23">
        <f>EXP(-LN(2)/2)*CM80+(1-EXP(-LN(2)/2))/(LN(2)/2)*CG81*CJ81*VLOOKUP('Données projet'!$B$12,Paramètres!$A$1:$I$89,3,0)*0.475*44/12</f>
        <v>7.6649059964566069E-7</v>
      </c>
      <c r="CN81" s="24">
        <f t="shared" si="66"/>
        <v>2.4393180252447269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4.2</v>
      </c>
      <c r="CT81" s="13">
        <f>IF('Données projet'!$A$140&gt;35,CT80+CS81-DB80,IF(A81&lt;'Données projet'!$A$140,$CQ$205^A81,IF(A81='Données projet'!$A$140,'Données projet'!$B$140,CT80+CS81-DB80)))</f>
        <v>373.59999999999968</v>
      </c>
      <c r="CU81" s="18">
        <f>CT81*VLOOKUP('Données projet'!$B$13,Paramètres!$A$1:$I$89,3,0)*VLOOKUP('Données projet'!$B$13,Paramètres!$A$1:$I$89,5,0)</f>
        <v>297.23615999999976</v>
      </c>
      <c r="CV81" s="14">
        <f t="shared" si="95"/>
        <v>70.596744711773169</v>
      </c>
      <c r="CW81" s="22">
        <f t="shared" si="67"/>
        <v>640.6423090396712</v>
      </c>
      <c r="CX81" s="62">
        <f t="shared" si="68"/>
        <v>933.97564237300458</v>
      </c>
      <c r="CY81" s="62">
        <f ca="1">AVERAGE(OFFSET($CX$3,0,0,'Données projet'!$E$13+1,1))-AVERAGE(OFFSET($H$3,0,0,'Données projet'!$E$13+1,1))</f>
        <v>343.37244130003143</v>
      </c>
      <c r="CZ81" s="62">
        <f t="shared" si="96"/>
        <v>318.38876834819763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322.79999999999973</v>
      </c>
      <c r="DP81" s="18">
        <f>DO81*VLOOKUP('Données projet'!$B$14,Paramètres!$A$1:$I$89,3,0)*VLOOKUP('Données projet'!$B$14,Paramètres!$A$1:$I$89,5,0)</f>
        <v>236.67695999999981</v>
      </c>
      <c r="DQ81" s="14">
        <f t="shared" si="97"/>
        <v>57.723983099802702</v>
      </c>
      <c r="DR81" s="22">
        <f t="shared" si="70"/>
        <v>512.74830923215598</v>
      </c>
      <c r="DS81" s="62">
        <f t="shared" si="71"/>
        <v>806.08164256548935</v>
      </c>
      <c r="DT81" s="62">
        <f ca="1">AVERAGE(OFFSET($DS$3,0,0,'Données projet'!$E$14+1,1))-AVERAGE(OFFSET($H$3,0,0,'Données projet'!$E$14+1,1))</f>
        <v>263.81634201637729</v>
      </c>
      <c r="DU81" s="62">
        <f t="shared" si="98"/>
        <v>302.03767435507262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322.63846641467165</v>
      </c>
      <c r="T82" s="62">
        <f t="shared" si="88"/>
        <v>435.17386576419966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5.2759123686789398</v>
      </c>
      <c r="AB82" s="23">
        <f>EXP(-LN(2)/2)*AB81+(1-EXP(-LN(2)/2))/(LN(2)/2)*V82*Y82*VLOOKUP('Données projet'!$B$9,Paramètres!$A$1:$I$89,3,0)*0.475*44/12</f>
        <v>1.2316575249311652E-7</v>
      </c>
      <c r="AC82" s="24">
        <f t="shared" si="57"/>
        <v>5.275912491844692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175.05987582828078</v>
      </c>
      <c r="AO82" s="62">
        <f t="shared" si="90"/>
        <v>268.54782308462387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2.3339939116069219</v>
      </c>
      <c r="AW82" s="23">
        <f>EXP(-LN(2)/2)*AW81+(1-EXP(-LN(2)/2))/(LN(2)/2)*AQ82*AT82*VLOOKUP('Données projet'!$B$10,Paramètres!$A$1:$I$89,3,0)*0.475*44/12</f>
        <v>5.3311390212179863E-7</v>
      </c>
      <c r="AX82" s="23">
        <f t="shared" si="60"/>
        <v>2.3339944447208238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12.259615384615394</v>
      </c>
      <c r="BD82" s="13">
        <f>IF('Données projet'!$A$88&gt;35,BD81+BC82-BL81,IF(A82&lt;'Données projet'!$A$88,$BA$205^A82,IF(A82='Données projet'!$A$88,'Données projet'!$B$88,BD81+BC82-BL81)))</f>
        <v>401.59999999999997</v>
      </c>
      <c r="BE82" s="14">
        <f>BD82*VLOOKUP('Données projet'!$B$11,Paramètres!$A$1:$I$89,3,0)*VLOOKUP('Données projet'!$B$11,Paramètres!$A$1:$I$89,5,0)</f>
        <v>187.94880000000001</v>
      </c>
      <c r="BF82" s="14">
        <f t="shared" si="91"/>
        <v>47.086175568004293</v>
      </c>
      <c r="BG82" s="22">
        <f t="shared" si="61"/>
        <v>409.35258244760752</v>
      </c>
      <c r="BH82" s="62">
        <f t="shared" si="62"/>
        <v>702.68591578094083</v>
      </c>
      <c r="BI82" s="62">
        <f ca="1">AVERAGE(OFFSET($BH$3,0,0,'Données projet'!$E$11+1,1))-AVERAGE(OFFSET($H$3,0,0,'Données projet'!$E$11+1,1))</f>
        <v>183.46485104601493</v>
      </c>
      <c r="BJ82" s="62">
        <f t="shared" si="92"/>
        <v>127.47790120677581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5.625</v>
      </c>
      <c r="BY82" s="13">
        <f>IF('Données projet'!$A$114&gt;35,BY81+BX82-CG81,IF(A82&lt;'Données projet'!$A$114,$BV$205^A82,IF(A82='Données projet'!$A$114,'Données projet'!$B$114,BY81+BX82-CG81)))</f>
        <v>427.12499999999994</v>
      </c>
      <c r="BZ82" s="14">
        <f>BY82*VLOOKUP('Données projet'!$B$12,Paramètres!$A$1:$I$89,3,0)*VLOOKUP('Données projet'!$B$12,Paramètres!$A$1:$I$89,5,0)</f>
        <v>244.31549999999999</v>
      </c>
      <c r="CA82" s="14">
        <f t="shared" si="93"/>
        <v>59.36706608622147</v>
      </c>
      <c r="CB82" s="22">
        <f t="shared" si="64"/>
        <v>528.91380260016911</v>
      </c>
      <c r="CC82" s="62">
        <f t="shared" si="65"/>
        <v>822.24713593350248</v>
      </c>
      <c r="CD82" s="62">
        <f ca="1">AVERAGE(OFFSET($CC$3,0,0,'Données projet'!$E$12+1,1))-AVERAGE(OFFSET($H$3,0,0,'Données projet'!$E$12+1,1))</f>
        <v>228.06050741667258</v>
      </c>
      <c r="CE82" s="62">
        <f t="shared" si="94"/>
        <v>191.94885821983536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2.3726140000353761</v>
      </c>
      <c r="CM82" s="23">
        <f>EXP(-LN(2)/2)*CM81+(1-EXP(-LN(2)/2))/(LN(2)/2)*CG82*CJ82*VLOOKUP('Données projet'!$B$12,Paramètres!$A$1:$I$89,3,0)*0.475*44/12</f>
        <v>5.419907007251898E-7</v>
      </c>
      <c r="CN82" s="24">
        <f t="shared" si="66"/>
        <v>2.3726145420260769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4.2</v>
      </c>
      <c r="CT82" s="13">
        <f>IF('Données projet'!$A$140&gt;35,CT81+CS82-DB81,IF(A82&lt;'Données projet'!$A$140,$CQ$205^A82,IF(A82='Données projet'!$A$140,'Données projet'!$B$140,CT81+CS82-DB81)))</f>
        <v>377.79999999999967</v>
      </c>
      <c r="CU82" s="18">
        <f>CT82*VLOOKUP('Données projet'!$B$13,Paramètres!$A$1:$I$89,3,0)*VLOOKUP('Données projet'!$B$13,Paramètres!$A$1:$I$89,5,0)</f>
        <v>300.57767999999976</v>
      </c>
      <c r="CV82" s="14">
        <f t="shared" si="95"/>
        <v>71.297553830231124</v>
      </c>
      <c r="CW82" s="22">
        <f t="shared" si="67"/>
        <v>647.68269892098544</v>
      </c>
      <c r="CX82" s="62">
        <f t="shared" si="68"/>
        <v>941.01603225431882</v>
      </c>
      <c r="CY82" s="62">
        <f ca="1">AVERAGE(OFFSET($CX$3,0,0,'Données projet'!$E$13+1,1))-AVERAGE(OFFSET($H$3,0,0,'Données projet'!$E$13+1,1))</f>
        <v>343.37244130003143</v>
      </c>
      <c r="CZ82" s="62">
        <f t="shared" si="96"/>
        <v>318.38876834819763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326.39999999999975</v>
      </c>
      <c r="DP82" s="18">
        <f>DO82*VLOOKUP('Données projet'!$B$14,Paramètres!$A$1:$I$89,3,0)*VLOOKUP('Données projet'!$B$14,Paramètres!$A$1:$I$89,5,0)</f>
        <v>239.31647999999981</v>
      </c>
      <c r="DQ82" s="14">
        <f t="shared" si="97"/>
        <v>58.292443422481945</v>
      </c>
      <c r="DR82" s="22">
        <f t="shared" si="70"/>
        <v>518.33554162748908</v>
      </c>
      <c r="DS82" s="62">
        <f t="shared" si="71"/>
        <v>811.66887496082245</v>
      </c>
      <c r="DT82" s="62">
        <f ca="1">AVERAGE(OFFSET($DS$3,0,0,'Données projet'!$E$14+1,1))-AVERAGE(OFFSET($H$3,0,0,'Données projet'!$E$14+1,1))</f>
        <v>263.81634201637729</v>
      </c>
      <c r="DU82" s="62">
        <f t="shared" si="98"/>
        <v>302.03767435507262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322.63846641467165</v>
      </c>
      <c r="T83" s="62">
        <f t="shared" si="88"/>
        <v>435.17386576419966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5.1316422675092408</v>
      </c>
      <c r="AB83" s="23">
        <f>EXP(-LN(2)/2)*AB82+(1-EXP(-LN(2)/2))/(LN(2)/2)*V83*Y83*VLOOKUP('Données projet'!$B$9,Paramètres!$A$1:$I$89,3,0)*0.475*44/12</f>
        <v>8.709133879782661E-8</v>
      </c>
      <c r="AC83" s="24">
        <f t="shared" si="57"/>
        <v>5.1316423546005794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175.05987582828078</v>
      </c>
      <c r="AO83" s="62">
        <f t="shared" si="90"/>
        <v>268.54782308462387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2.2701707253546251</v>
      </c>
      <c r="AW83" s="23">
        <f>EXP(-LN(2)/2)*AW82+(1-EXP(-LN(2)/2))/(LN(2)/2)*AQ83*AT83*VLOOKUP('Données projet'!$B$10,Paramètres!$A$1:$I$89,3,0)*0.475*44/12</f>
        <v>3.7696845533514518E-7</v>
      </c>
      <c r="AX83" s="23">
        <f t="shared" si="60"/>
        <v>2.2701711023230802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12.259615384615394</v>
      </c>
      <c r="BD83" s="13">
        <f>IF('Données projet'!$A$88&gt;35,BD82+BC83-BL82,IF(A83&lt;'Données projet'!$A$88,$BA$205^A83,IF(A83='Données projet'!$A$88,'Données projet'!$B$88,BD82+BC83-BL82)))</f>
        <v>413.85961538461538</v>
      </c>
      <c r="BE83" s="14">
        <f>BD83*VLOOKUP('Données projet'!$B$11,Paramètres!$A$1:$I$89,3,0)*VLOOKUP('Données projet'!$B$11,Paramètres!$A$1:$I$89,5,0)</f>
        <v>193.68630000000002</v>
      </c>
      <c r="BF83" s="14">
        <f t="shared" si="91"/>
        <v>48.354027757017739</v>
      </c>
      <c r="BG83" s="22">
        <f t="shared" si="61"/>
        <v>421.55357084347253</v>
      </c>
      <c r="BH83" s="62">
        <f t="shared" si="62"/>
        <v>714.88690417680584</v>
      </c>
      <c r="BI83" s="62">
        <f ca="1">AVERAGE(OFFSET($BH$3,0,0,'Données projet'!$E$11+1,1))-AVERAGE(OFFSET($H$3,0,0,'Données projet'!$E$11+1,1))</f>
        <v>183.46485104601493</v>
      </c>
      <c r="BJ83" s="62">
        <f t="shared" si="92"/>
        <v>127.47790120677581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5.625</v>
      </c>
      <c r="BY83" s="13">
        <f>IF('Données projet'!$A$114&gt;35,BY82+BX83-CG82,IF(A83&lt;'Données projet'!$A$114,$BV$205^A83,IF(A83='Données projet'!$A$114,'Données projet'!$B$114,BY82+BX83-CG82)))</f>
        <v>432.74999999999994</v>
      </c>
      <c r="BZ83" s="14">
        <f>BY83*VLOOKUP('Données projet'!$B$12,Paramètres!$A$1:$I$89,3,0)*VLOOKUP('Données projet'!$B$12,Paramètres!$A$1:$I$89,5,0)</f>
        <v>247.53299999999996</v>
      </c>
      <c r="CA83" s="14">
        <f t="shared" si="93"/>
        <v>60.057365417030148</v>
      </c>
      <c r="CB83" s="22">
        <f t="shared" si="64"/>
        <v>535.71988643466068</v>
      </c>
      <c r="CC83" s="62">
        <f t="shared" si="65"/>
        <v>829.05321976799405</v>
      </c>
      <c r="CD83" s="62">
        <f ca="1">AVERAGE(OFFSET($CC$3,0,0,'Données projet'!$E$12+1,1))-AVERAGE(OFFSET($H$3,0,0,'Données projet'!$E$12+1,1))</f>
        <v>228.06050741667258</v>
      </c>
      <c r="CE83" s="62">
        <f t="shared" si="94"/>
        <v>191.94885821983536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2.3077347454340611</v>
      </c>
      <c r="CM83" s="23">
        <f>EXP(-LN(2)/2)*CM82+(1-EXP(-LN(2)/2))/(LN(2)/2)*CG83*CJ83*VLOOKUP('Données projet'!$B$12,Paramètres!$A$1:$I$89,3,0)*0.475*44/12</f>
        <v>3.8324529982283034E-7</v>
      </c>
      <c r="CN83" s="24">
        <f t="shared" si="66"/>
        <v>2.307735128679361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382</v>
      </c>
      <c r="CR83" s="13">
        <f>VLOOKUP(A83,'Données projet'!$A$139:$I$159,9,0)</f>
        <v>4.2</v>
      </c>
      <c r="CS83" s="13">
        <f t="array" ref="CS83">INDEX(CR:CR,MIN(IF(ISNUMBER(CR83:CR279),ROW(CR83:CR279),"")))</f>
        <v>4.2</v>
      </c>
      <c r="CT83" s="13">
        <f>IF('Données projet'!$A$140&gt;35,CT82+CS83-DB82,IF(A83&lt;'Données projet'!$A$140,$CQ$205^A83,IF(A83='Données projet'!$A$140,'Données projet'!$B$140,CT82+CS83-DB82)))</f>
        <v>381.99999999999966</v>
      </c>
      <c r="CU83" s="18">
        <f>CT83*VLOOKUP('Données projet'!$B$13,Paramètres!$A$1:$I$89,3,0)*VLOOKUP('Données projet'!$B$13,Paramètres!$A$1:$I$89,5,0)</f>
        <v>303.91919999999976</v>
      </c>
      <c r="CV83" s="14">
        <f t="shared" si="95"/>
        <v>71.997456655827293</v>
      </c>
      <c r="CW83" s="22">
        <f t="shared" si="67"/>
        <v>654.72151034223214</v>
      </c>
      <c r="CX83" s="62">
        <f t="shared" si="68"/>
        <v>948.05484367556551</v>
      </c>
      <c r="CY83" s="62">
        <f ca="1">AVERAGE(OFFSET($CX$3,0,0,'Données projet'!$E$13+1,1))-AVERAGE(OFFSET($H$3,0,0,'Données projet'!$E$13+1,1))</f>
        <v>343.37244130003143</v>
      </c>
      <c r="CZ83" s="62">
        <f t="shared" si="96"/>
        <v>318.38876834819763</v>
      </c>
      <c r="DA83" s="16">
        <f>IF(ISNA(VLOOKUP(A83,'Données projet'!$A$139:$I$159,3,0)),0,VLOOKUP(A83,'Données projet'!$A$139:$I$159,3,0))</f>
        <v>9</v>
      </c>
      <c r="DB83" s="16">
        <f>IF(ISNA(VLOOKUP(A83,'Données projet'!$A$139:$I$159,4,0)),0,VLOOKUP(A83,'Données projet'!$A$139:$I$159,4,0))</f>
        <v>382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330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329.99999999999977</v>
      </c>
      <c r="DP83" s="18">
        <f>DO83*VLOOKUP('Données projet'!$B$14,Paramètres!$A$1:$I$89,3,0)*VLOOKUP('Données projet'!$B$14,Paramètres!$A$1:$I$89,5,0)</f>
        <v>241.95599999999982</v>
      </c>
      <c r="DQ83" s="14">
        <f t="shared" si="97"/>
        <v>58.860174395053612</v>
      </c>
      <c r="DR83" s="22">
        <f t="shared" si="70"/>
        <v>523.92150373805134</v>
      </c>
      <c r="DS83" s="62">
        <f t="shared" si="71"/>
        <v>817.2548370713846</v>
      </c>
      <c r="DT83" s="62">
        <f ca="1">AVERAGE(OFFSET($DS$3,0,0,'Données projet'!$E$14+1,1))-AVERAGE(OFFSET($H$3,0,0,'Données projet'!$E$14+1,1))</f>
        <v>263.81634201637729</v>
      </c>
      <c r="DU83" s="62">
        <f t="shared" si="98"/>
        <v>302.03767435507262</v>
      </c>
      <c r="DV83" s="16">
        <f>IF(ISNA(VLOOKUP(A83,'Données projet'!$A$165:$I$185,3,0)),0,VLOOKUP(A83,'Données projet'!$A$165:$I$185,3,0))</f>
        <v>8</v>
      </c>
      <c r="DW83" s="16">
        <f>IF(ISNA(VLOOKUP(A83,'Données projet'!$A$165:$I$185,4,0)),0,VLOOKUP(A83,'Données projet'!$A$165:$I$185,4,0))</f>
        <v>330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322.63846641467165</v>
      </c>
      <c r="T84" s="62">
        <f t="shared" si="88"/>
        <v>435.17386576419966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4.9913172398428625</v>
      </c>
      <c r="AB84" s="23">
        <f>EXP(-LN(2)/2)*AB83+(1-EXP(-LN(2)/2))/(LN(2)/2)*V84*Y84*VLOOKUP('Données projet'!$B$9,Paramètres!$A$1:$I$89,3,0)*0.475*44/12</f>
        <v>6.1582876246558258E-8</v>
      </c>
      <c r="AC84" s="24">
        <f t="shared" si="57"/>
        <v>4.991317301425739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175.05987582828078</v>
      </c>
      <c r="AO84" s="62">
        <f t="shared" si="90"/>
        <v>268.54782308462387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2.2080927874867129</v>
      </c>
      <c r="AW84" s="23">
        <f>EXP(-LN(2)/2)*AW83+(1-EXP(-LN(2)/2))/(LN(2)/2)*AQ84*AT84*VLOOKUP('Données projet'!$B$10,Paramètres!$A$1:$I$89,3,0)*0.475*44/12</f>
        <v>2.6655695106089932E-7</v>
      </c>
      <c r="AX84" s="23">
        <f t="shared" si="60"/>
        <v>2.2080930540436641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12.259615384615394</v>
      </c>
      <c r="BD84" s="13">
        <f>IF('Données projet'!$A$88&gt;35,BD83+BC84-BL83,IF(A84&lt;'Données projet'!$A$88,$BA$205^A84,IF(A84='Données projet'!$A$88,'Données projet'!$B$88,BD83+BC84-BL83)))</f>
        <v>426.1192307692308</v>
      </c>
      <c r="BE84" s="14">
        <f>BD84*VLOOKUP('Données projet'!$B$11,Paramètres!$A$1:$I$89,3,0)*VLOOKUP('Données projet'!$B$11,Paramètres!$A$1:$I$89,5,0)</f>
        <v>199.42380000000003</v>
      </c>
      <c r="BF84" s="14">
        <f t="shared" si="91"/>
        <v>49.617515149618292</v>
      </c>
      <c r="BG84" s="22">
        <f t="shared" si="61"/>
        <v>433.74695721891857</v>
      </c>
      <c r="BH84" s="62">
        <f t="shared" si="62"/>
        <v>727.08029055225188</v>
      </c>
      <c r="BI84" s="62">
        <f ca="1">AVERAGE(OFFSET($BH$3,0,0,'Données projet'!$E$11+1,1))-AVERAGE(OFFSET($H$3,0,0,'Données projet'!$E$11+1,1))</f>
        <v>183.46485104601493</v>
      </c>
      <c r="BJ84" s="62">
        <f t="shared" si="92"/>
        <v>127.47790120677581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5.625</v>
      </c>
      <c r="BY84" s="13">
        <f>IF('Données projet'!$A$114&gt;35,BY83+BX84-CG83,IF(A84&lt;'Données projet'!$A$114,$BV$205^A84,IF(A84='Données projet'!$A$114,'Données projet'!$B$114,BY83+BX84-CG83)))</f>
        <v>438.37499999999994</v>
      </c>
      <c r="BZ84" s="14">
        <f>BY84*VLOOKUP('Données projet'!$B$12,Paramètres!$A$1:$I$89,3,0)*VLOOKUP('Données projet'!$B$12,Paramètres!$A$1:$I$89,5,0)</f>
        <v>250.75049999999996</v>
      </c>
      <c r="CA84" s="14">
        <f t="shared" si="93"/>
        <v>60.746621084776628</v>
      </c>
      <c r="CB84" s="22">
        <f t="shared" si="64"/>
        <v>542.52415255598589</v>
      </c>
      <c r="CC84" s="62">
        <f t="shared" si="65"/>
        <v>835.85748588931915</v>
      </c>
      <c r="CD84" s="62">
        <f ca="1">AVERAGE(OFFSET($CC$3,0,0,'Données projet'!$E$12+1,1))-AVERAGE(OFFSET($H$3,0,0,'Données projet'!$E$12+1,1))</f>
        <v>228.06050741667258</v>
      </c>
      <c r="CE84" s="62">
        <f t="shared" si="94"/>
        <v>191.94885821983536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2.2446296174616709</v>
      </c>
      <c r="CM84" s="23">
        <f>EXP(-LN(2)/2)*CM83+(1-EXP(-LN(2)/2))/(LN(2)/2)*CG84*CJ84*VLOOKUP('Données projet'!$B$12,Paramètres!$A$1:$I$89,3,0)*0.475*44/12</f>
        <v>2.709953503625949E-7</v>
      </c>
      <c r="CN84" s="24">
        <f t="shared" si="66"/>
        <v>2.244629888457021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-3.4106051316484809E-13</v>
      </c>
      <c r="CU84" s="18">
        <f>CT84*VLOOKUP('Données projet'!$B$13,Paramètres!$A$1:$I$89,3,0)*VLOOKUP('Données projet'!$B$13,Paramètres!$A$1:$I$89,5,0)</f>
        <v>-2.7134774427395314E-13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343.37244130003143</v>
      </c>
      <c r="CZ84" s="62">
        <f t="shared" si="96"/>
        <v>318.38876834819763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-2.2737367544323206E-13</v>
      </c>
      <c r="DP84" s="18">
        <f>DO84*VLOOKUP('Données projet'!$B$14,Paramètres!$A$1:$I$89,3,0)*VLOOKUP('Données projet'!$B$14,Paramètres!$A$1:$I$89,5,0)</f>
        <v>-1.6671037883497774E-13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263.81634201637729</v>
      </c>
      <c r="DU84" s="62">
        <f t="shared" si="98"/>
        <v>302.03767435507262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322.63846641467165</v>
      </c>
      <c r="T85" s="62">
        <f t="shared" si="88"/>
        <v>435.17386576419966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4.8548294074373937</v>
      </c>
      <c r="AB85" s="23">
        <f>EXP(-LN(2)/2)*AB84+(1-EXP(-LN(2)/2))/(LN(2)/2)*V85*Y85*VLOOKUP('Données projet'!$B$9,Paramètres!$A$1:$I$89,3,0)*0.475*44/12</f>
        <v>4.3545669398913305E-8</v>
      </c>
      <c r="AC85" s="24">
        <f t="shared" si="57"/>
        <v>4.854829450983063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175.05987582828078</v>
      </c>
      <c r="AO85" s="62">
        <f t="shared" si="90"/>
        <v>268.54782308462387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2.1477123740943358</v>
      </c>
      <c r="AW85" s="23">
        <f>EXP(-LN(2)/2)*AW84+(1-EXP(-LN(2)/2))/(LN(2)/2)*AQ85*AT85*VLOOKUP('Données projet'!$B$10,Paramètres!$A$1:$I$89,3,0)*0.475*44/12</f>
        <v>1.8848422766757259E-7</v>
      </c>
      <c r="AX85" s="23">
        <f t="shared" si="60"/>
        <v>2.1477125625785636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12.259615384615394</v>
      </c>
      <c r="BD85" s="13">
        <f>IF('Données projet'!$A$88&gt;35,BD84+BC85-BL84,IF(A85&lt;'Données projet'!$A$88,$BA$205^A85,IF(A85='Données projet'!$A$88,'Données projet'!$B$88,BD84+BC85-BL84)))</f>
        <v>438.37884615384621</v>
      </c>
      <c r="BE85" s="14">
        <f>BD85*VLOOKUP('Données projet'!$B$11,Paramètres!$A$1:$I$89,3,0)*VLOOKUP('Données projet'!$B$11,Paramètres!$A$1:$I$89,5,0)</f>
        <v>205.16130000000004</v>
      </c>
      <c r="BF85" s="14">
        <f t="shared" si="91"/>
        <v>50.876777744497524</v>
      </c>
      <c r="BG85" s="22">
        <f t="shared" si="61"/>
        <v>445.93298540499995</v>
      </c>
      <c r="BH85" s="62">
        <f t="shared" si="62"/>
        <v>739.26631873833321</v>
      </c>
      <c r="BI85" s="62">
        <f ca="1">AVERAGE(OFFSET($BH$3,0,0,'Données projet'!$E$11+1,1))-AVERAGE(OFFSET($H$3,0,0,'Données projet'!$E$11+1,1))</f>
        <v>183.46485104601493</v>
      </c>
      <c r="BJ85" s="62">
        <f t="shared" si="92"/>
        <v>127.47790120677581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444</v>
      </c>
      <c r="BW85" s="13">
        <f>VLOOKUP(A85,'Données projet'!$A$113:$I$133,9,0)</f>
        <v>5.625</v>
      </c>
      <c r="BX85" s="13">
        <f t="array" ref="BX85">INDEX(BW:BW,MIN(IF(ISNUMBER(BW85:BW281),ROW(BW85:BW281),"")))</f>
        <v>5.625</v>
      </c>
      <c r="BY85" s="13">
        <f>IF('Données projet'!$A$114&gt;35,BY84+BX85-CG84,IF(A85&lt;'Données projet'!$A$114,$BV$205^A85,IF(A85='Données projet'!$A$114,'Données projet'!$B$114,BY84+BX85-CG84)))</f>
        <v>443.99999999999994</v>
      </c>
      <c r="BZ85" s="14">
        <f>BY85*VLOOKUP('Données projet'!$B$12,Paramètres!$A$1:$I$89,3,0)*VLOOKUP('Données projet'!$B$12,Paramètres!$A$1:$I$89,5,0)</f>
        <v>253.96799999999999</v>
      </c>
      <c r="CA85" s="14">
        <f t="shared" si="93"/>
        <v>61.434848029666512</v>
      </c>
      <c r="CB85" s="22">
        <f t="shared" si="64"/>
        <v>549.32662698500246</v>
      </c>
      <c r="CC85" s="62">
        <f t="shared" si="65"/>
        <v>842.65996031833583</v>
      </c>
      <c r="CD85" s="62">
        <f ca="1">AVERAGE(OFFSET($CC$3,0,0,'Données projet'!$E$12+1,1))-AVERAGE(OFFSET($H$3,0,0,'Données projet'!$E$12+1,1))</f>
        <v>228.06050741667258</v>
      </c>
      <c r="CE85" s="62">
        <f t="shared" si="94"/>
        <v>191.94885821983536</v>
      </c>
      <c r="CF85" s="16">
        <f>IF(ISNA(VLOOKUP(A85,'Données projet'!$A$113:$I$133,3,0)),0,VLOOKUP(A85,'Données projet'!$A$113:$I$133,3,0))</f>
        <v>10</v>
      </c>
      <c r="CG85" s="16">
        <f>IF(ISNA(VLOOKUP(A85,'Données projet'!$A$113:$I$133,4,0)),0,VLOOKUP(A85,'Données projet'!$A$113:$I$133,4,0))</f>
        <v>444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2.1832501025322402</v>
      </c>
      <c r="CM85" s="23">
        <f>EXP(-LN(2)/2)*CM84+(1-EXP(-LN(2)/2))/(LN(2)/2)*CG85*CJ85*VLOOKUP('Données projet'!$B$12,Paramètres!$A$1:$I$89,3,0)*0.475*44/12</f>
        <v>1.9162264991141517E-7</v>
      </c>
      <c r="CN85" s="24">
        <f t="shared" si="66"/>
        <v>2.1832502941548899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-3.4106051316484809E-13</v>
      </c>
      <c r="CU85" s="18">
        <f>CT85*VLOOKUP('Données projet'!$B$13,Paramètres!$A$1:$I$89,3,0)*VLOOKUP('Données projet'!$B$13,Paramètres!$A$1:$I$89,5,0)</f>
        <v>-2.7134774427395314E-13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343.37244130003143</v>
      </c>
      <c r="CZ85" s="62">
        <f t="shared" si="96"/>
        <v>318.38876834819763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-2.2737367544323206E-13</v>
      </c>
      <c r="DP85" s="18">
        <f>DO85*VLOOKUP('Données projet'!$B$14,Paramètres!$A$1:$I$89,3,0)*VLOOKUP('Données projet'!$B$14,Paramètres!$A$1:$I$89,5,0)</f>
        <v>-1.6671037883497774E-13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263.81634201637729</v>
      </c>
      <c r="DU85" s="62">
        <f t="shared" si="98"/>
        <v>302.03767435507262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322.63846641467165</v>
      </c>
      <c r="T86" s="62">
        <f t="shared" si="88"/>
        <v>435.17386576419966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4.722073841986635</v>
      </c>
      <c r="AB86" s="23">
        <f>EXP(-LN(2)/2)*AB85+(1-EXP(-LN(2)/2))/(LN(2)/2)*V86*Y86*VLOOKUP('Données projet'!$B$9,Paramètres!$A$1:$I$89,3,0)*0.475*44/12</f>
        <v>3.0791438123279129E-8</v>
      </c>
      <c r="AC86" s="24">
        <f t="shared" si="57"/>
        <v>4.7220738727780729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175.05987582828078</v>
      </c>
      <c r="AO86" s="62">
        <f t="shared" si="90"/>
        <v>268.54782308462387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2.088983066281441</v>
      </c>
      <c r="AW86" s="23">
        <f>EXP(-LN(2)/2)*AW85+(1-EXP(-LN(2)/2))/(LN(2)/2)*AQ86*AT86*VLOOKUP('Données projet'!$B$10,Paramètres!$A$1:$I$89,3,0)*0.475*44/12</f>
        <v>1.3327847553044966E-7</v>
      </c>
      <c r="AX86" s="23">
        <f t="shared" si="60"/>
        <v>2.0889831995599164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>
        <f>VLOOKUP(A86,'Données projet'!$A$87:$I$107,2,0)</f>
        <v>450.63846153846157</v>
      </c>
      <c r="BB86" s="13">
        <f>VLOOKUP(A86,'Données projet'!$A$87:$I$107,9,0)</f>
        <v>12.259615384615394</v>
      </c>
      <c r="BC86" s="13">
        <f t="array" ref="BC86">INDEX(BB:BB,MIN(IF(ISNUMBER(BB86:BB282),ROW(BB86:BB282),"")))</f>
        <v>12.259615384615394</v>
      </c>
      <c r="BD86" s="13">
        <f>IF('Données projet'!$A$88&gt;35,BD85+BC86-BL85,IF(A86&lt;'Données projet'!$A$88,$BA$205^A86,IF(A86='Données projet'!$A$88,'Données projet'!$B$88,BD85+BC86-BL85)))</f>
        <v>450.63846153846163</v>
      </c>
      <c r="BE86" s="14">
        <f>BD86*VLOOKUP('Données projet'!$B$11,Paramètres!$A$1:$I$89,3,0)*VLOOKUP('Données projet'!$B$11,Paramètres!$A$1:$I$89,5,0)</f>
        <v>210.89880000000005</v>
      </c>
      <c r="BF86" s="14">
        <f t="shared" si="91"/>
        <v>52.131947264479528</v>
      </c>
      <c r="BG86" s="22">
        <f t="shared" si="61"/>
        <v>458.11188481896869</v>
      </c>
      <c r="BH86" s="62">
        <f t="shared" si="62"/>
        <v>751.445218152302</v>
      </c>
      <c r="BI86" s="62">
        <f ca="1">AVERAGE(OFFSET($BH$3,0,0,'Données projet'!$E$11+1,1))-AVERAGE(OFFSET($H$3,0,0,'Données projet'!$E$11+1,1))</f>
        <v>183.46485104601493</v>
      </c>
      <c r="BJ86" s="62">
        <f t="shared" si="92"/>
        <v>127.47790120677581</v>
      </c>
      <c r="BK86" s="16">
        <f>IF(ISNA(VLOOKUP(A86,'Données projet'!$A$87:$I$107,3,0)),0,VLOOKUP(A86,'Données projet'!$A$87:$I$107,3,0))</f>
        <v>6</v>
      </c>
      <c r="BL86" s="16">
        <f>IF(ISNA(VLOOKUP(A86,'Données projet'!$A$87:$I$107,4,0)),0,VLOOKUP(A86,'Données projet'!$A$87:$I$107,4,0))</f>
        <v>79.707692307692355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-3.2514435588382188E-14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228.06050741667258</v>
      </c>
      <c r="CE86" s="62">
        <f t="shared" si="94"/>
        <v>191.94885821983536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2.1235490136663628</v>
      </c>
      <c r="CM86" s="23">
        <f>EXP(-LN(2)/2)*CM85+(1-EXP(-LN(2)/2))/(LN(2)/2)*CG86*CJ86*VLOOKUP('Données projet'!$B$12,Paramètres!$A$1:$I$89,3,0)*0.475*44/12</f>
        <v>1.3549767518129745E-7</v>
      </c>
      <c r="CN86" s="24">
        <f t="shared" si="66"/>
        <v>2.1235491491640381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-3.4106051316484809E-13</v>
      </c>
      <c r="CU86" s="18">
        <f>CT86*VLOOKUP('Données projet'!$B$13,Paramètres!$A$1:$I$89,3,0)*VLOOKUP('Données projet'!$B$13,Paramètres!$A$1:$I$89,5,0)</f>
        <v>-2.7134774427395314E-13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343.37244130003143</v>
      </c>
      <c r="CZ86" s="62">
        <f t="shared" si="96"/>
        <v>318.38876834819763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-2.2737367544323206E-13</v>
      </c>
      <c r="DP86" s="18">
        <f>DO86*VLOOKUP('Données projet'!$B$14,Paramètres!$A$1:$I$89,3,0)*VLOOKUP('Données projet'!$B$14,Paramètres!$A$1:$I$89,5,0)</f>
        <v>-1.6671037883497774E-13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263.81634201637729</v>
      </c>
      <c r="DU86" s="62">
        <f t="shared" si="98"/>
        <v>302.03767435507262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322.63846641467165</v>
      </c>
      <c r="T87" s="62">
        <f t="shared" si="88"/>
        <v>435.17386576419966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4.5929484844544399</v>
      </c>
      <c r="AB87" s="23">
        <f>EXP(-LN(2)/2)*AB86+(1-EXP(-LN(2)/2))/(LN(2)/2)*V87*Y87*VLOOKUP('Données projet'!$B$9,Paramètres!$A$1:$I$89,3,0)*0.475*44/12</f>
        <v>2.1772834699456653E-8</v>
      </c>
      <c r="AC87" s="24">
        <f t="shared" si="57"/>
        <v>4.592948506227275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175.05987582828078</v>
      </c>
      <c r="AO87" s="62">
        <f t="shared" si="90"/>
        <v>268.54782308462387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2.0318597144791299</v>
      </c>
      <c r="AW87" s="23">
        <f>EXP(-LN(2)/2)*AW86+(1-EXP(-LN(2)/2))/(LN(2)/2)*AQ87*AT87*VLOOKUP('Données projet'!$B$10,Paramètres!$A$1:$I$89,3,0)*0.475*44/12</f>
        <v>9.4242113833786296E-8</v>
      </c>
      <c r="AX87" s="23">
        <f t="shared" si="60"/>
        <v>2.0318598087212436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11.32884615384615</v>
      </c>
      <c r="BD87" s="13">
        <f>IF('Données projet'!$A$88&gt;35,BD86+BC87-BL86,IF(A87&lt;'Données projet'!$A$88,$BA$205^A87,IF(A87='Données projet'!$A$88,'Données projet'!$B$88,BD86+BC87-BL86)))</f>
        <v>382.25961538461542</v>
      </c>
      <c r="BE87" s="14">
        <f>BD87*VLOOKUP('Données projet'!$B$11,Paramètres!$A$1:$I$89,3,0)*VLOOKUP('Données projet'!$B$11,Paramètres!$A$1:$I$89,5,0)</f>
        <v>178.89750000000001</v>
      </c>
      <c r="BF87" s="14">
        <f t="shared" si="91"/>
        <v>45.076812590668695</v>
      </c>
      <c r="BG87" s="22">
        <f t="shared" si="61"/>
        <v>390.08859442874797</v>
      </c>
      <c r="BH87" s="62">
        <f t="shared" si="62"/>
        <v>683.42192776208128</v>
      </c>
      <c r="BI87" s="62">
        <f ca="1">AVERAGE(OFFSET($BH$3,0,0,'Données projet'!$E$11+1,1))-AVERAGE(OFFSET($H$3,0,0,'Données projet'!$E$11+1,1))</f>
        <v>183.46485104601493</v>
      </c>
      <c r="BJ87" s="62">
        <f t="shared" si="92"/>
        <v>127.47790120677581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-3.2514435588382188E-14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228.06050741667258</v>
      </c>
      <c r="CE87" s="62">
        <f t="shared" si="94"/>
        <v>191.94885821983536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2.0654804542150669</v>
      </c>
      <c r="CM87" s="23">
        <f>EXP(-LN(2)/2)*CM86+(1-EXP(-LN(2)/2))/(LN(2)/2)*CG87*CJ87*VLOOKUP('Données projet'!$B$12,Paramètres!$A$1:$I$89,3,0)*0.475*44/12</f>
        <v>9.5811324955707586E-8</v>
      </c>
      <c r="CN87" s="24">
        <f t="shared" si="66"/>
        <v>2.065480550026392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-3.4106051316484809E-13</v>
      </c>
      <c r="CU87" s="18">
        <f>CT87*VLOOKUP('Données projet'!$B$13,Paramètres!$A$1:$I$89,3,0)*VLOOKUP('Données projet'!$B$13,Paramètres!$A$1:$I$89,5,0)</f>
        <v>-2.7134774427395314E-13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343.37244130003143</v>
      </c>
      <c r="CZ87" s="62">
        <f t="shared" si="96"/>
        <v>318.38876834819763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-2.2737367544323206E-13</v>
      </c>
      <c r="DP87" s="18">
        <f>DO87*VLOOKUP('Données projet'!$B$14,Paramètres!$A$1:$I$89,3,0)*VLOOKUP('Données projet'!$B$14,Paramètres!$A$1:$I$89,5,0)</f>
        <v>-1.6671037883497774E-13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263.81634201637729</v>
      </c>
      <c r="DU87" s="62">
        <f t="shared" si="98"/>
        <v>302.03767435507262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322.63846641467165</v>
      </c>
      <c r="T88" s="62">
        <f t="shared" si="88"/>
        <v>435.17386576419966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4.4673540666143694</v>
      </c>
      <c r="AB88" s="23">
        <f>EXP(-LN(2)/2)*AB87+(1-EXP(-LN(2)/2))/(LN(2)/2)*V88*Y88*VLOOKUP('Données projet'!$B$9,Paramètres!$A$1:$I$89,3,0)*0.475*44/12</f>
        <v>1.5395719061639564E-8</v>
      </c>
      <c r="AC88" s="24">
        <f t="shared" si="57"/>
        <v>4.4673540820100888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175.05987582828078</v>
      </c>
      <c r="AO88" s="62">
        <f t="shared" si="90"/>
        <v>268.54782308462387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1.9762984037358395</v>
      </c>
      <c r="AW88" s="23">
        <f>EXP(-LN(2)/2)*AW87+(1-EXP(-LN(2)/2))/(LN(2)/2)*AQ88*AT88*VLOOKUP('Données projet'!$B$10,Paramètres!$A$1:$I$89,3,0)*0.475*44/12</f>
        <v>6.6639237765224829E-8</v>
      </c>
      <c r="AX88" s="23">
        <f t="shared" si="60"/>
        <v>1.9762984703750772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11.32884615384615</v>
      </c>
      <c r="BD88" s="13">
        <f>IF('Données projet'!$A$88&gt;35,BD87+BC88-BL87,IF(A88&lt;'Données projet'!$A$88,$BA$205^A88,IF(A88='Données projet'!$A$88,'Données projet'!$B$88,BD87+BC88-BL87)))</f>
        <v>393.58846153846156</v>
      </c>
      <c r="BE88" s="14">
        <f>BD88*VLOOKUP('Données projet'!$B$11,Paramètres!$A$1:$I$89,3,0)*VLOOKUP('Données projet'!$B$11,Paramètres!$A$1:$I$89,5,0)</f>
        <v>184.1994</v>
      </c>
      <c r="BF88" s="14">
        <f t="shared" si="91"/>
        <v>46.255217593493391</v>
      </c>
      <c r="BG88" s="22">
        <f t="shared" si="61"/>
        <v>401.37512564200097</v>
      </c>
      <c r="BH88" s="62">
        <f t="shared" si="62"/>
        <v>694.70845897533422</v>
      </c>
      <c r="BI88" s="62">
        <f ca="1">AVERAGE(OFFSET($BH$3,0,0,'Données projet'!$E$11+1,1))-AVERAGE(OFFSET($H$3,0,0,'Données projet'!$E$11+1,1))</f>
        <v>183.46485104601493</v>
      </c>
      <c r="BJ88" s="62">
        <f t="shared" si="92"/>
        <v>127.47790120677581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-3.2514435588382188E-14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228.06050741667258</v>
      </c>
      <c r="CE88" s="62">
        <f t="shared" si="94"/>
        <v>191.94885821983536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2.0089997825756596</v>
      </c>
      <c r="CM88" s="23">
        <f>EXP(-LN(2)/2)*CM87+(1-EXP(-LN(2)/2))/(LN(2)/2)*CG88*CJ88*VLOOKUP('Données projet'!$B$12,Paramètres!$A$1:$I$89,3,0)*0.475*44/12</f>
        <v>6.7748837590648724E-8</v>
      </c>
      <c r="CN88" s="24">
        <f t="shared" si="66"/>
        <v>2.0089998503244972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-3.4106051316484809E-13</v>
      </c>
      <c r="CU88" s="18">
        <f>CT88*VLOOKUP('Données projet'!$B$13,Paramètres!$A$1:$I$89,3,0)*VLOOKUP('Données projet'!$B$13,Paramètres!$A$1:$I$89,5,0)</f>
        <v>-2.7134774427395314E-13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343.37244130003143</v>
      </c>
      <c r="CZ88" s="62">
        <f t="shared" si="96"/>
        <v>318.38876834819763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-2.2737367544323206E-13</v>
      </c>
      <c r="DP88" s="18">
        <f>DO88*VLOOKUP('Données projet'!$B$14,Paramètres!$A$1:$I$89,3,0)*VLOOKUP('Données projet'!$B$14,Paramètres!$A$1:$I$89,5,0)</f>
        <v>-1.6671037883497774E-13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263.81634201637729</v>
      </c>
      <c r="DU88" s="62">
        <f t="shared" si="98"/>
        <v>302.03767435507262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322.63846641467165</v>
      </c>
      <c r="T89" s="62">
        <f t="shared" si="88"/>
        <v>435.17386576419966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4.3451940347348597</v>
      </c>
      <c r="AB89" s="23">
        <f>EXP(-LN(2)/2)*AB88+(1-EXP(-LN(2)/2))/(LN(2)/2)*V89*Y89*VLOOKUP('Données projet'!$B$9,Paramètres!$A$1:$I$89,3,0)*0.475*44/12</f>
        <v>1.0886417349728326E-8</v>
      </c>
      <c r="AC89" s="24">
        <f t="shared" si="57"/>
        <v>4.3451940456212768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175.05987582828078</v>
      </c>
      <c r="AO89" s="62">
        <f t="shared" si="90"/>
        <v>268.54782308462387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1.9222564199566667</v>
      </c>
      <c r="AW89" s="23">
        <f>EXP(-LN(2)/2)*AW88+(1-EXP(-LN(2)/2))/(LN(2)/2)*AQ89*AT89*VLOOKUP('Données projet'!$B$10,Paramètres!$A$1:$I$89,3,0)*0.475*44/12</f>
        <v>4.7121056916893148E-8</v>
      </c>
      <c r="AX89" s="23">
        <f t="shared" si="60"/>
        <v>1.9222564670777236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11.32884615384615</v>
      </c>
      <c r="BD89" s="13">
        <f>IF('Données projet'!$A$88&gt;35,BD88+BC89-BL88,IF(A89&lt;'Données projet'!$A$88,$BA$205^A89,IF(A89='Données projet'!$A$88,'Données projet'!$B$88,BD88+BC89-BL88)))</f>
        <v>404.9173076923077</v>
      </c>
      <c r="BE89" s="14">
        <f>BD89*VLOOKUP('Données projet'!$B$11,Paramètres!$A$1:$I$89,3,0)*VLOOKUP('Données projet'!$B$11,Paramètres!$A$1:$I$89,5,0)</f>
        <v>189.50130000000001</v>
      </c>
      <c r="BF89" s="14">
        <f t="shared" si="91"/>
        <v>47.429680502809688</v>
      </c>
      <c r="BG89" s="22">
        <f t="shared" si="61"/>
        <v>412.65479104239353</v>
      </c>
      <c r="BH89" s="62">
        <f t="shared" si="62"/>
        <v>705.98812437572678</v>
      </c>
      <c r="BI89" s="62">
        <f ca="1">AVERAGE(OFFSET($BH$3,0,0,'Données projet'!$E$11+1,1))-AVERAGE(OFFSET($H$3,0,0,'Données projet'!$E$11+1,1))</f>
        <v>183.46485104601493</v>
      </c>
      <c r="BJ89" s="62">
        <f t="shared" si="92"/>
        <v>127.47790120677581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-3.2514435588382188E-14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228.06050741667258</v>
      </c>
      <c r="CE89" s="62">
        <f t="shared" si="94"/>
        <v>191.94885821983536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1.9540635778724211</v>
      </c>
      <c r="CM89" s="23">
        <f>EXP(-LN(2)/2)*CM88+(1-EXP(-LN(2)/2))/(LN(2)/2)*CG89*CJ89*VLOOKUP('Données projet'!$B$12,Paramètres!$A$1:$I$89,3,0)*0.475*44/12</f>
        <v>4.7905662477853793E-8</v>
      </c>
      <c r="CN89" s="24">
        <f t="shared" si="66"/>
        <v>1.9540636257780837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-3.4106051316484809E-13</v>
      </c>
      <c r="CU89" s="18">
        <f>CT89*VLOOKUP('Données projet'!$B$13,Paramètres!$A$1:$I$89,3,0)*VLOOKUP('Données projet'!$B$13,Paramètres!$A$1:$I$89,5,0)</f>
        <v>-2.7134774427395314E-13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343.37244130003143</v>
      </c>
      <c r="CZ89" s="62">
        <f t="shared" si="96"/>
        <v>318.38876834819763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-2.2737367544323206E-13</v>
      </c>
      <c r="DP89" s="18">
        <f>DO89*VLOOKUP('Données projet'!$B$14,Paramètres!$A$1:$I$89,3,0)*VLOOKUP('Données projet'!$B$14,Paramètres!$A$1:$I$89,5,0)</f>
        <v>-1.6671037883497774E-13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263.81634201637729</v>
      </c>
      <c r="DU89" s="62">
        <f t="shared" si="98"/>
        <v>302.03767435507262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322.63846641467165</v>
      </c>
      <c r="T90" s="62">
        <f t="shared" si="88"/>
        <v>435.17386576419966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4.2263744753512116</v>
      </c>
      <c r="AB90" s="23">
        <f>EXP(-LN(2)/2)*AB89+(1-EXP(-LN(2)/2))/(LN(2)/2)*V90*Y90*VLOOKUP('Données projet'!$B$9,Paramètres!$A$1:$I$89,3,0)*0.475*44/12</f>
        <v>7.6978595308197822E-9</v>
      </c>
      <c r="AC90" s="24">
        <f t="shared" si="57"/>
        <v>4.2263744830490708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175.05987582828078</v>
      </c>
      <c r="AO90" s="62">
        <f t="shared" si="90"/>
        <v>268.54782308462387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1.8696922170658798</v>
      </c>
      <c r="AW90" s="23">
        <f>EXP(-LN(2)/2)*AW89+(1-EXP(-LN(2)/2))/(LN(2)/2)*AQ90*AT90*VLOOKUP('Données projet'!$B$10,Paramètres!$A$1:$I$89,3,0)*0.475*44/12</f>
        <v>3.3319618882612415E-8</v>
      </c>
      <c r="AX90" s="23">
        <f t="shared" si="60"/>
        <v>1.8696922503854987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11.32884615384615</v>
      </c>
      <c r="BD90" s="13">
        <f>IF('Données projet'!$A$88&gt;35,BD89+BC90-BL89,IF(A90&lt;'Données projet'!$A$88,$BA$205^A90,IF(A90='Données projet'!$A$88,'Données projet'!$B$88,BD89+BC90-BL89)))</f>
        <v>416.24615384615385</v>
      </c>
      <c r="BE90" s="14">
        <f>BD90*VLOOKUP('Données projet'!$B$11,Paramètres!$A$1:$I$89,3,0)*VLOOKUP('Données projet'!$B$11,Paramètres!$A$1:$I$89,5,0)</f>
        <v>194.8032</v>
      </c>
      <c r="BF90" s="14">
        <f t="shared" si="91"/>
        <v>48.600324281463692</v>
      </c>
      <c r="BG90" s="22">
        <f t="shared" si="61"/>
        <v>423.92780479021593</v>
      </c>
      <c r="BH90" s="62">
        <f t="shared" si="62"/>
        <v>717.26113812354924</v>
      </c>
      <c r="BI90" s="62">
        <f ca="1">AVERAGE(OFFSET($BH$3,0,0,'Données projet'!$E$11+1,1))-AVERAGE(OFFSET($H$3,0,0,'Données projet'!$E$11+1,1))</f>
        <v>183.46485104601493</v>
      </c>
      <c r="BJ90" s="62">
        <f t="shared" si="92"/>
        <v>127.47790120677581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-3.2514435588382188E-14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228.06050741667258</v>
      </c>
      <c r="CE90" s="62">
        <f t="shared" si="94"/>
        <v>191.94885821983536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1.9006296065757622</v>
      </c>
      <c r="CM90" s="23">
        <f>EXP(-LN(2)/2)*CM89+(1-EXP(-LN(2)/2))/(LN(2)/2)*CG90*CJ90*VLOOKUP('Données projet'!$B$12,Paramètres!$A$1:$I$89,3,0)*0.475*44/12</f>
        <v>3.3874418795324362E-8</v>
      </c>
      <c r="CN90" s="24">
        <f t="shared" si="66"/>
        <v>1.900629640450181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-3.4106051316484809E-13</v>
      </c>
      <c r="CU90" s="18">
        <f>CT90*VLOOKUP('Données projet'!$B$13,Paramètres!$A$1:$I$89,3,0)*VLOOKUP('Données projet'!$B$13,Paramètres!$A$1:$I$89,5,0)</f>
        <v>-2.7134774427395314E-13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343.37244130003143</v>
      </c>
      <c r="CZ90" s="62">
        <f t="shared" si="96"/>
        <v>318.38876834819763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-2.2737367544323206E-13</v>
      </c>
      <c r="DP90" s="18">
        <f>DO90*VLOOKUP('Données projet'!$B$14,Paramètres!$A$1:$I$89,3,0)*VLOOKUP('Données projet'!$B$14,Paramètres!$A$1:$I$89,5,0)</f>
        <v>-1.6671037883497774E-13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263.81634201637729</v>
      </c>
      <c r="DU90" s="62">
        <f t="shared" si="98"/>
        <v>302.03767435507262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322.63846641467165</v>
      </c>
      <c r="T91" s="62">
        <f t="shared" si="88"/>
        <v>435.17386576419966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4.1108040430673585</v>
      </c>
      <c r="AB91" s="23">
        <f>EXP(-LN(2)/2)*AB90+(1-EXP(-LN(2)/2))/(LN(2)/2)*V91*Y91*VLOOKUP('Données projet'!$B$9,Paramètres!$A$1:$I$89,3,0)*0.475*44/12</f>
        <v>5.4432086748641631E-9</v>
      </c>
      <c r="AC91" s="24">
        <f t="shared" si="57"/>
        <v>4.110804048510567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175.05987582828078</v>
      </c>
      <c r="AO91" s="62">
        <f t="shared" si="90"/>
        <v>268.54782308462387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1.8185653850673729</v>
      </c>
      <c r="AW91" s="23">
        <f>EXP(-LN(2)/2)*AW90+(1-EXP(-LN(2)/2))/(LN(2)/2)*AQ91*AT91*VLOOKUP('Données projet'!$B$10,Paramètres!$A$1:$I$89,3,0)*0.475*44/12</f>
        <v>2.3560528458446574E-8</v>
      </c>
      <c r="AX91" s="23">
        <f t="shared" si="60"/>
        <v>1.8185654086279013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11.32884615384615</v>
      </c>
      <c r="BD91" s="13">
        <f>IF('Données projet'!$A$88&gt;35,BD90+BC91-BL90,IF(A91&lt;'Données projet'!$A$88,$BA$205^A91,IF(A91='Données projet'!$A$88,'Données projet'!$B$88,BD90+BC91-BL90)))</f>
        <v>427.57499999999999</v>
      </c>
      <c r="BE91" s="14">
        <f>BD91*VLOOKUP('Données projet'!$B$11,Paramètres!$A$1:$I$89,3,0)*VLOOKUP('Données projet'!$B$11,Paramètres!$A$1:$I$89,5,0)</f>
        <v>200.10509999999999</v>
      </c>
      <c r="BF91" s="14">
        <f t="shared" si="91"/>
        <v>49.767264818035315</v>
      </c>
      <c r="BG91" s="22">
        <f t="shared" si="61"/>
        <v>435.19436872474472</v>
      </c>
      <c r="BH91" s="62">
        <f t="shared" si="62"/>
        <v>728.52770205807803</v>
      </c>
      <c r="BI91" s="62">
        <f ca="1">AVERAGE(OFFSET($BH$3,0,0,'Données projet'!$E$11+1,1))-AVERAGE(OFFSET($H$3,0,0,'Données projet'!$E$11+1,1))</f>
        <v>183.46485104601493</v>
      </c>
      <c r="BJ91" s="62">
        <f t="shared" si="92"/>
        <v>127.47790120677581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-3.2514435588382188E-14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228.06050741667258</v>
      </c>
      <c r="CE91" s="62">
        <f t="shared" si="94"/>
        <v>191.94885821983536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1.8486567900341808</v>
      </c>
      <c r="CM91" s="23">
        <f>EXP(-LN(2)/2)*CM90+(1-EXP(-LN(2)/2))/(LN(2)/2)*CG91*CJ91*VLOOKUP('Données projet'!$B$12,Paramètres!$A$1:$I$89,3,0)*0.475*44/12</f>
        <v>2.3952831238926897E-8</v>
      </c>
      <c r="CN91" s="24">
        <f t="shared" si="66"/>
        <v>1.8486568139870121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-3.4106051316484809E-13</v>
      </c>
      <c r="CU91" s="18">
        <f>CT91*VLOOKUP('Données projet'!$B$13,Paramètres!$A$1:$I$89,3,0)*VLOOKUP('Données projet'!$B$13,Paramètres!$A$1:$I$89,5,0)</f>
        <v>-2.7134774427395314E-13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343.37244130003143</v>
      </c>
      <c r="CZ91" s="62">
        <f t="shared" si="96"/>
        <v>318.38876834819763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-2.2737367544323206E-13</v>
      </c>
      <c r="DP91" s="18">
        <f>DO91*VLOOKUP('Données projet'!$B$14,Paramètres!$A$1:$I$89,3,0)*VLOOKUP('Données projet'!$B$14,Paramètres!$A$1:$I$89,5,0)</f>
        <v>-1.6671037883497774E-13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263.81634201637729</v>
      </c>
      <c r="DU91" s="62">
        <f t="shared" si="98"/>
        <v>302.03767435507262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322.63846641467165</v>
      </c>
      <c r="T92" s="62">
        <f t="shared" si="88"/>
        <v>435.17386576419966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3.9983938903318923</v>
      </c>
      <c r="AB92" s="23">
        <f>EXP(-LN(2)/2)*AB91+(1-EXP(-LN(2)/2))/(LN(2)/2)*V92*Y92*VLOOKUP('Données projet'!$B$9,Paramètres!$A$1:$I$89,3,0)*0.475*44/12</f>
        <v>3.8489297654098911E-9</v>
      </c>
      <c r="AC92" s="24">
        <f t="shared" si="57"/>
        <v>3.9983938941808219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175.05987582828078</v>
      </c>
      <c r="AO92" s="62">
        <f t="shared" si="90"/>
        <v>268.54782308462387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1.7688366189785083</v>
      </c>
      <c r="AW92" s="23">
        <f>EXP(-LN(2)/2)*AW91+(1-EXP(-LN(2)/2))/(LN(2)/2)*AQ92*AT92*VLOOKUP('Données projet'!$B$10,Paramètres!$A$1:$I$89,3,0)*0.475*44/12</f>
        <v>1.6659809441306207E-8</v>
      </c>
      <c r="AX92" s="23">
        <f t="shared" si="60"/>
        <v>1.7688366356383178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11.32884615384615</v>
      </c>
      <c r="BD92" s="13">
        <f>IF('Données projet'!$A$88&gt;35,BD91+BC92-BL91,IF(A92&lt;'Données projet'!$A$88,$BA$205^A92,IF(A92='Données projet'!$A$88,'Données projet'!$B$88,BD91+BC92-BL91)))</f>
        <v>438.90384615384613</v>
      </c>
      <c r="BE92" s="14">
        <f>BD92*VLOOKUP('Données projet'!$B$11,Paramètres!$A$1:$I$89,3,0)*VLOOKUP('Données projet'!$B$11,Paramètres!$A$1:$I$89,5,0)</f>
        <v>205.40699999999998</v>
      </c>
      <c r="BF92" s="14">
        <f t="shared" si="91"/>
        <v>50.930611510342459</v>
      </c>
      <c r="BG92" s="22">
        <f t="shared" si="61"/>
        <v>446.45467338051299</v>
      </c>
      <c r="BH92" s="62">
        <f t="shared" si="62"/>
        <v>739.78800671384624</v>
      </c>
      <c r="BI92" s="62">
        <f ca="1">AVERAGE(OFFSET($BH$3,0,0,'Données projet'!$E$11+1,1))-AVERAGE(OFFSET($H$3,0,0,'Données projet'!$E$11+1,1))</f>
        <v>183.46485104601493</v>
      </c>
      <c r="BJ92" s="62">
        <f t="shared" si="92"/>
        <v>127.47790120677581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-3.2514435588382188E-14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228.06050741667258</v>
      </c>
      <c r="CE92" s="62">
        <f t="shared" si="94"/>
        <v>191.94885821983536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1.7981051728940607</v>
      </c>
      <c r="CM92" s="23">
        <f>EXP(-LN(2)/2)*CM91+(1-EXP(-LN(2)/2))/(LN(2)/2)*CG92*CJ92*VLOOKUP('Données projet'!$B$12,Paramètres!$A$1:$I$89,3,0)*0.475*44/12</f>
        <v>1.6937209397662181E-8</v>
      </c>
      <c r="CN92" s="24">
        <f t="shared" si="66"/>
        <v>1.7981051898312701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-3.4106051316484809E-13</v>
      </c>
      <c r="CU92" s="18">
        <f>CT92*VLOOKUP('Données projet'!$B$13,Paramètres!$A$1:$I$89,3,0)*VLOOKUP('Données projet'!$B$13,Paramètres!$A$1:$I$89,5,0)</f>
        <v>-2.7134774427395314E-13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343.37244130003143</v>
      </c>
      <c r="CZ92" s="62">
        <f t="shared" si="96"/>
        <v>318.38876834819763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-2.2737367544323206E-13</v>
      </c>
      <c r="DP92" s="18">
        <f>DO92*VLOOKUP('Données projet'!$B$14,Paramètres!$A$1:$I$89,3,0)*VLOOKUP('Données projet'!$B$14,Paramètres!$A$1:$I$89,5,0)</f>
        <v>-1.6671037883497774E-13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263.81634201637729</v>
      </c>
      <c r="DU92" s="62">
        <f t="shared" si="98"/>
        <v>302.03767435507262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322.63846641467165</v>
      </c>
      <c r="T93" s="62">
        <f t="shared" si="88"/>
        <v>435.17386576419966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3.8890575991343703</v>
      </c>
      <c r="AB93" s="23">
        <f>EXP(-LN(2)/2)*AB92+(1-EXP(-LN(2)/2))/(LN(2)/2)*V93*Y93*VLOOKUP('Données projet'!$B$9,Paramètres!$A$1:$I$89,3,0)*0.475*44/12</f>
        <v>2.7216043374320816E-9</v>
      </c>
      <c r="AC93" s="24">
        <f t="shared" si="57"/>
        <v>3.8890576018559746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175.05987582828078</v>
      </c>
      <c r="AO93" s="62">
        <f t="shared" si="90"/>
        <v>268.54782308462387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1.720467688613466</v>
      </c>
      <c r="AW93" s="23">
        <f>EXP(-LN(2)/2)*AW92+(1-EXP(-LN(2)/2))/(LN(2)/2)*AQ93*AT93*VLOOKUP('Données projet'!$B$10,Paramètres!$A$1:$I$89,3,0)*0.475*44/12</f>
        <v>1.1780264229223287E-8</v>
      </c>
      <c r="AX93" s="23">
        <f t="shared" si="60"/>
        <v>1.7204677003937303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11.32884615384615</v>
      </c>
      <c r="BD93" s="13">
        <f>IF('Données projet'!$A$88&gt;35,BD92+BC93-BL92,IF(A93&lt;'Données projet'!$A$88,$BA$205^A93,IF(A93='Données projet'!$A$88,'Données projet'!$B$88,BD92+BC93-BL92)))</f>
        <v>450.23269230769228</v>
      </c>
      <c r="BE93" s="14">
        <f>BD93*VLOOKUP('Données projet'!$B$11,Paramètres!$A$1:$I$89,3,0)*VLOOKUP('Données projet'!$B$11,Paramètres!$A$1:$I$89,5,0)</f>
        <v>210.70889999999997</v>
      </c>
      <c r="BF93" s="14">
        <f t="shared" si="91"/>
        <v>52.090467787005082</v>
      </c>
      <c r="BG93" s="22">
        <f t="shared" si="61"/>
        <v>457.70889889570049</v>
      </c>
      <c r="BH93" s="62">
        <f t="shared" si="62"/>
        <v>751.04223222903374</v>
      </c>
      <c r="BI93" s="62">
        <f ca="1">AVERAGE(OFFSET($BH$3,0,0,'Données projet'!$E$11+1,1))-AVERAGE(OFFSET($H$3,0,0,'Données projet'!$E$11+1,1))</f>
        <v>183.46485104601493</v>
      </c>
      <c r="BJ93" s="62">
        <f t="shared" si="92"/>
        <v>127.47790120677581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-3.2514435588382188E-14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228.06050741667258</v>
      </c>
      <c r="CE93" s="62">
        <f t="shared" si="94"/>
        <v>191.94885821983536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1.7489358923830312</v>
      </c>
      <c r="CM93" s="23">
        <f>EXP(-LN(2)/2)*CM92+(1-EXP(-LN(2)/2))/(LN(2)/2)*CG93*CJ93*VLOOKUP('Données projet'!$B$12,Paramètres!$A$1:$I$89,3,0)*0.475*44/12</f>
        <v>1.1976415619463448E-8</v>
      </c>
      <c r="CN93" s="24">
        <f t="shared" si="66"/>
        <v>1.7489359043594468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-3.4106051316484809E-13</v>
      </c>
      <c r="CU93" s="18">
        <f>CT93*VLOOKUP('Données projet'!$B$13,Paramètres!$A$1:$I$89,3,0)*VLOOKUP('Données projet'!$B$13,Paramètres!$A$1:$I$89,5,0)</f>
        <v>-2.7134774427395314E-13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343.37244130003143</v>
      </c>
      <c r="CZ93" s="62">
        <f t="shared" si="96"/>
        <v>318.38876834819763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-2.2737367544323206E-13</v>
      </c>
      <c r="DP93" s="18">
        <f>DO93*VLOOKUP('Données projet'!$B$14,Paramètres!$A$1:$I$89,3,0)*VLOOKUP('Données projet'!$B$14,Paramètres!$A$1:$I$89,5,0)</f>
        <v>-1.6671037883497774E-13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263.81634201637729</v>
      </c>
      <c r="DU93" s="62">
        <f t="shared" si="98"/>
        <v>302.03767435507262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322.63846641467165</v>
      </c>
      <c r="T94" s="62">
        <f t="shared" si="88"/>
        <v>435.17386576419966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3.7827111145693904</v>
      </c>
      <c r="AB94" s="23">
        <f>EXP(-LN(2)/2)*AB93+(1-EXP(-LN(2)/2))/(LN(2)/2)*V94*Y94*VLOOKUP('Données projet'!$B$9,Paramètres!$A$1:$I$89,3,0)*0.475*44/12</f>
        <v>1.9244648827049456E-9</v>
      </c>
      <c r="AC94" s="24">
        <f t="shared" si="57"/>
        <v>3.7827111164938554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175.05987582828078</v>
      </c>
      <c r="AO94" s="62">
        <f t="shared" si="90"/>
        <v>268.54782308462387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1.6734214091928672</v>
      </c>
      <c r="AW94" s="23">
        <f>EXP(-LN(2)/2)*AW93+(1-EXP(-LN(2)/2))/(LN(2)/2)*AQ94*AT94*VLOOKUP('Données projet'!$B$10,Paramètres!$A$1:$I$89,3,0)*0.475*44/12</f>
        <v>8.3299047206531036E-9</v>
      </c>
      <c r="AX94" s="23">
        <f t="shared" si="60"/>
        <v>1.673421417522772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>
        <f>VLOOKUP(A94,'Données projet'!$A$87:$I$107,2,0)</f>
        <v>461.56153846153842</v>
      </c>
      <c r="BB94" s="13">
        <f>VLOOKUP(A94,'Données projet'!$A$87:$I$107,9,0)</f>
        <v>11.32884615384615</v>
      </c>
      <c r="BC94" s="13">
        <f t="array" ref="BC94">INDEX(BB:BB,MIN(IF(ISNUMBER(BB94:BB290),ROW(BB94:BB290),"")))</f>
        <v>11.32884615384615</v>
      </c>
      <c r="BD94" s="13">
        <f>IF('Données projet'!$A$88&gt;35,BD93+BC94-BL93,IF(A94&lt;'Données projet'!$A$88,$BA$205^A94,IF(A94='Données projet'!$A$88,'Données projet'!$B$88,BD93+BC94-BL93)))</f>
        <v>461.56153846153842</v>
      </c>
      <c r="BE94" s="14">
        <f>BD94*VLOOKUP('Données projet'!$B$11,Paramètres!$A$1:$I$89,3,0)*VLOOKUP('Données projet'!$B$11,Paramètres!$A$1:$I$89,5,0)</f>
        <v>216.01079999999996</v>
      </c>
      <c r="BF94" s="14">
        <f t="shared" si="91"/>
        <v>53.246931575036982</v>
      </c>
      <c r="BG94" s="22">
        <f t="shared" si="61"/>
        <v>468.9572158265226</v>
      </c>
      <c r="BH94" s="62">
        <f t="shared" si="62"/>
        <v>762.29054915985591</v>
      </c>
      <c r="BI94" s="62">
        <f ca="1">AVERAGE(OFFSET($BH$3,0,0,'Données projet'!$E$11+1,1))-AVERAGE(OFFSET($H$3,0,0,'Données projet'!$E$11+1,1))</f>
        <v>183.46485104601493</v>
      </c>
      <c r="BJ94" s="62">
        <f t="shared" si="92"/>
        <v>127.47790120677581</v>
      </c>
      <c r="BK94" s="16">
        <f>IF(ISNA(VLOOKUP(A94,'Données projet'!$A$87:$I$107,3,0)),0,VLOOKUP(A94,'Données projet'!$A$87:$I$107,3,0))</f>
        <v>7</v>
      </c>
      <c r="BL94" s="16">
        <f>IF(ISNA(VLOOKUP(A94,'Données projet'!$A$87:$I$107,4,0)),0,VLOOKUP(A94,'Données projet'!$A$87:$I$107,4,0))</f>
        <v>229.73846153846151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-3.2514435588382188E-14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228.06050741667258</v>
      </c>
      <c r="CE94" s="62">
        <f t="shared" si="94"/>
        <v>191.94885821983536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1.7011111484332759</v>
      </c>
      <c r="CM94" s="23">
        <f>EXP(-LN(2)/2)*CM93+(1-EXP(-LN(2)/2))/(LN(2)/2)*CG94*CJ94*VLOOKUP('Données projet'!$B$12,Paramètres!$A$1:$I$89,3,0)*0.475*44/12</f>
        <v>8.4686046988310905E-9</v>
      </c>
      <c r="CN94" s="24">
        <f t="shared" si="66"/>
        <v>1.7011111569018806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-3.4106051316484809E-13</v>
      </c>
      <c r="CU94" s="18">
        <f>CT94*VLOOKUP('Données projet'!$B$13,Paramètres!$A$1:$I$89,3,0)*VLOOKUP('Données projet'!$B$13,Paramètres!$A$1:$I$89,5,0)</f>
        <v>-2.7134774427395314E-13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343.37244130003143</v>
      </c>
      <c r="CZ94" s="62">
        <f t="shared" si="96"/>
        <v>318.38876834819763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-2.2737367544323206E-13</v>
      </c>
      <c r="DP94" s="18">
        <f>DO94*VLOOKUP('Données projet'!$B$14,Paramètres!$A$1:$I$89,3,0)*VLOOKUP('Données projet'!$B$14,Paramètres!$A$1:$I$89,5,0)</f>
        <v>-1.6671037883497774E-13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263.81634201637729</v>
      </c>
      <c r="DU94" s="62">
        <f t="shared" si="98"/>
        <v>302.03767435507262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322.63846641467165</v>
      </c>
      <c r="T95" s="62">
        <f t="shared" si="88"/>
        <v>435.17386576419966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3.6792726802173585</v>
      </c>
      <c r="AB95" s="23">
        <f>EXP(-LN(2)/2)*AB94+(1-EXP(-LN(2)/2))/(LN(2)/2)*V95*Y95*VLOOKUP('Données projet'!$B$9,Paramètres!$A$1:$I$89,3,0)*0.475*44/12</f>
        <v>1.3608021687160408E-9</v>
      </c>
      <c r="AC95" s="24">
        <f t="shared" si="57"/>
        <v>3.6792726815781607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175.05987582828078</v>
      </c>
      <c r="AO95" s="62">
        <f t="shared" si="90"/>
        <v>268.54782308462387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1.6276616127570809</v>
      </c>
      <c r="AW95" s="23">
        <f>EXP(-LN(2)/2)*AW94+(1-EXP(-LN(2)/2))/(LN(2)/2)*AQ95*AT95*VLOOKUP('Données projet'!$B$10,Paramètres!$A$1:$I$89,3,0)*0.475*44/12</f>
        <v>5.8901321146116435E-9</v>
      </c>
      <c r="AX95" s="23">
        <f t="shared" si="60"/>
        <v>1.627661618647213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7.5784615384615366</v>
      </c>
      <c r="BD95" s="13">
        <f>IF('Données projet'!$A$88&gt;35,BD94+BC95-BL94,IF(A95&lt;'Données projet'!$A$88,$BA$205^A95,IF(A95='Données projet'!$A$88,'Données projet'!$B$88,BD94+BC95-BL94)))</f>
        <v>239.40153846153842</v>
      </c>
      <c r="BE95" s="14">
        <f>BD95*VLOOKUP('Données projet'!$B$11,Paramètres!$A$1:$I$89,3,0)*VLOOKUP('Données projet'!$B$11,Paramètres!$A$1:$I$89,5,0)</f>
        <v>112.03991999999998</v>
      </c>
      <c r="BF95" s="14">
        <f t="shared" si="91"/>
        <v>29.811090444660159</v>
      </c>
      <c r="BG95" s="22">
        <f t="shared" si="61"/>
        <v>247.05717652444977</v>
      </c>
      <c r="BH95" s="62">
        <f t="shared" si="62"/>
        <v>540.39050985778306</v>
      </c>
      <c r="BI95" s="62">
        <f ca="1">AVERAGE(OFFSET($BH$3,0,0,'Données projet'!$E$11+1,1))-AVERAGE(OFFSET($H$3,0,0,'Données projet'!$E$11+1,1))</f>
        <v>183.46485104601493</v>
      </c>
      <c r="BJ95" s="62">
        <f t="shared" si="92"/>
        <v>127.47790120677581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-3.2514435588382188E-14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228.06050741667258</v>
      </c>
      <c r="CE95" s="62">
        <f t="shared" si="94"/>
        <v>191.94885821983536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1.6545941746218207</v>
      </c>
      <c r="CM95" s="23">
        <f>EXP(-LN(2)/2)*CM94+(1-EXP(-LN(2)/2))/(LN(2)/2)*CG95*CJ95*VLOOKUP('Données projet'!$B$12,Paramètres!$A$1:$I$89,3,0)*0.475*44/12</f>
        <v>5.9882078097317241E-9</v>
      </c>
      <c r="CN95" s="24">
        <f t="shared" si="66"/>
        <v>1.6545941806100284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-3.4106051316484809E-13</v>
      </c>
      <c r="CU95" s="18">
        <f>CT95*VLOOKUP('Données projet'!$B$13,Paramètres!$A$1:$I$89,3,0)*VLOOKUP('Données projet'!$B$13,Paramètres!$A$1:$I$89,5,0)</f>
        <v>-2.7134774427395314E-13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343.37244130003143</v>
      </c>
      <c r="CZ95" s="62">
        <f t="shared" si="96"/>
        <v>318.38876834819763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-2.2737367544323206E-13</v>
      </c>
      <c r="DP95" s="18">
        <f>DO95*VLOOKUP('Données projet'!$B$14,Paramètres!$A$1:$I$89,3,0)*VLOOKUP('Données projet'!$B$14,Paramètres!$A$1:$I$89,5,0)</f>
        <v>-1.6671037883497774E-13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263.81634201637729</v>
      </c>
      <c r="DU95" s="62">
        <f t="shared" si="98"/>
        <v>302.03767435507262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322.63846641467165</v>
      </c>
      <c r="T96" s="62">
        <f t="shared" si="88"/>
        <v>435.17386576419966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3.5786627752922735</v>
      </c>
      <c r="AB96" s="23">
        <f>EXP(-LN(2)/2)*AB95+(1-EXP(-LN(2)/2))/(LN(2)/2)*V96*Y96*VLOOKUP('Données projet'!$B$9,Paramètres!$A$1:$I$89,3,0)*0.475*44/12</f>
        <v>9.6223244135247278E-10</v>
      </c>
      <c r="AC96" s="24">
        <f t="shared" si="57"/>
        <v>3.578662776254506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175.05987582828078</v>
      </c>
      <c r="AO96" s="62">
        <f t="shared" si="90"/>
        <v>268.54782308462387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1.5831531203612343</v>
      </c>
      <c r="AW96" s="23">
        <f>EXP(-LN(2)/2)*AW95+(1-EXP(-LN(2)/2))/(LN(2)/2)*AQ96*AT96*VLOOKUP('Données projet'!$B$10,Paramètres!$A$1:$I$89,3,0)*0.475*44/12</f>
        <v>4.1649523603265518E-9</v>
      </c>
      <c r="AX96" s="23">
        <f t="shared" si="60"/>
        <v>1.5831531245261867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7.5784615384615366</v>
      </c>
      <c r="BD96" s="13">
        <f>IF('Données projet'!$A$88&gt;35,BD95+BC96-BL95,IF(A96&lt;'Données projet'!$A$88,$BA$205^A96,IF(A96='Données projet'!$A$88,'Données projet'!$B$88,BD95+BC96-BL95)))</f>
        <v>246.97999999999996</v>
      </c>
      <c r="BE96" s="14">
        <f>BD96*VLOOKUP('Données projet'!$B$11,Paramètres!$A$1:$I$89,3,0)*VLOOKUP('Données projet'!$B$11,Paramètres!$A$1:$I$89,5,0)</f>
        <v>115.58663999999997</v>
      </c>
      <c r="BF96" s="14">
        <f t="shared" si="91"/>
        <v>30.643421504922383</v>
      </c>
      <c r="BG96" s="22">
        <f t="shared" si="61"/>
        <v>254.68402378773976</v>
      </c>
      <c r="BH96" s="62">
        <f t="shared" si="62"/>
        <v>548.01735712107302</v>
      </c>
      <c r="BI96" s="62">
        <f ca="1">AVERAGE(OFFSET($BH$3,0,0,'Données projet'!$E$11+1,1))-AVERAGE(OFFSET($H$3,0,0,'Données projet'!$E$11+1,1))</f>
        <v>183.46485104601493</v>
      </c>
      <c r="BJ96" s="62">
        <f t="shared" si="92"/>
        <v>127.47790120677581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-3.2514435588382188E-14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228.06050741667258</v>
      </c>
      <c r="CE96" s="62">
        <f t="shared" si="94"/>
        <v>191.94885821983536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1.6093492099054609</v>
      </c>
      <c r="CM96" s="23">
        <f>EXP(-LN(2)/2)*CM95+(1-EXP(-LN(2)/2))/(LN(2)/2)*CG96*CJ96*VLOOKUP('Données projet'!$B$12,Paramètres!$A$1:$I$89,3,0)*0.475*44/12</f>
        <v>4.2343023494155453E-9</v>
      </c>
      <c r="CN96" s="24">
        <f t="shared" si="66"/>
        <v>1.6093492141397632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-3.4106051316484809E-13</v>
      </c>
      <c r="CU96" s="18">
        <f>CT96*VLOOKUP('Données projet'!$B$13,Paramètres!$A$1:$I$89,3,0)*VLOOKUP('Données projet'!$B$13,Paramètres!$A$1:$I$89,5,0)</f>
        <v>-2.7134774427395314E-13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343.37244130003143</v>
      </c>
      <c r="CZ96" s="62">
        <f t="shared" si="96"/>
        <v>318.38876834819763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-2.2737367544323206E-13</v>
      </c>
      <c r="DP96" s="18">
        <f>DO96*VLOOKUP('Données projet'!$B$14,Paramètres!$A$1:$I$89,3,0)*VLOOKUP('Données projet'!$B$14,Paramètres!$A$1:$I$89,5,0)</f>
        <v>-1.6671037883497774E-13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263.81634201637729</v>
      </c>
      <c r="DU96" s="62">
        <f t="shared" si="98"/>
        <v>302.03767435507262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322.63846641467165</v>
      </c>
      <c r="T97" s="62">
        <f t="shared" si="88"/>
        <v>435.17386576419966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3.4808040535082099</v>
      </c>
      <c r="AB97" s="23">
        <f>EXP(-LN(2)/2)*AB96+(1-EXP(-LN(2)/2))/(LN(2)/2)*V97*Y97*VLOOKUP('Données projet'!$B$9,Paramètres!$A$1:$I$89,3,0)*0.475*44/12</f>
        <v>6.8040108435802039E-10</v>
      </c>
      <c r="AC97" s="24">
        <f t="shared" si="57"/>
        <v>3.4808040541886109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175.05987582828078</v>
      </c>
      <c r="AO97" s="62">
        <f t="shared" si="90"/>
        <v>268.54782308462387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1.5398617150305522</v>
      </c>
      <c r="AW97" s="23">
        <f>EXP(-LN(2)/2)*AW96+(1-EXP(-LN(2)/2))/(LN(2)/2)*AQ97*AT97*VLOOKUP('Données projet'!$B$10,Paramètres!$A$1:$I$89,3,0)*0.475*44/12</f>
        <v>2.9450660573058217E-9</v>
      </c>
      <c r="AX97" s="23">
        <f t="shared" si="60"/>
        <v>1.5398617179756182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7.5784615384615366</v>
      </c>
      <c r="BD97" s="13">
        <f>IF('Données projet'!$A$88&gt;35,BD96+BC97-BL96,IF(A97&lt;'Données projet'!$A$88,$BA$205^A97,IF(A97='Données projet'!$A$88,'Données projet'!$B$88,BD96+BC97-BL96)))</f>
        <v>254.5584615384615</v>
      </c>
      <c r="BE97" s="14">
        <f>BD97*VLOOKUP('Données projet'!$B$11,Paramètres!$A$1:$I$89,3,0)*VLOOKUP('Données projet'!$B$11,Paramètres!$A$1:$I$89,5,0)</f>
        <v>119.13335999999998</v>
      </c>
      <c r="BF97" s="14">
        <f t="shared" si="91"/>
        <v>31.472784557586763</v>
      </c>
      <c r="BG97" s="22">
        <f t="shared" si="61"/>
        <v>262.3057017711302</v>
      </c>
      <c r="BH97" s="62">
        <f t="shared" si="62"/>
        <v>555.63903510446357</v>
      </c>
      <c r="BI97" s="62">
        <f ca="1">AVERAGE(OFFSET($BH$3,0,0,'Données projet'!$E$11+1,1))-AVERAGE(OFFSET($H$3,0,0,'Données projet'!$E$11+1,1))</f>
        <v>183.46485104601493</v>
      </c>
      <c r="BJ97" s="62">
        <f t="shared" si="92"/>
        <v>127.47790120677581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-3.2514435588382188E-14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228.06050741667258</v>
      </c>
      <c r="CE97" s="62">
        <f t="shared" si="94"/>
        <v>191.94885821983536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1.5653414711285993</v>
      </c>
      <c r="CM97" s="23">
        <f>EXP(-LN(2)/2)*CM96+(1-EXP(-LN(2)/2))/(LN(2)/2)*CG97*CJ97*VLOOKUP('Données projet'!$B$12,Paramètres!$A$1:$I$89,3,0)*0.475*44/12</f>
        <v>2.9941039048658621E-9</v>
      </c>
      <c r="CN97" s="24">
        <f t="shared" si="66"/>
        <v>1.5653414741227032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-3.4106051316484809E-13</v>
      </c>
      <c r="CU97" s="18">
        <f>CT97*VLOOKUP('Données projet'!$B$13,Paramètres!$A$1:$I$89,3,0)*VLOOKUP('Données projet'!$B$13,Paramètres!$A$1:$I$89,5,0)</f>
        <v>-2.7134774427395314E-13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343.37244130003143</v>
      </c>
      <c r="CZ97" s="62">
        <f t="shared" si="96"/>
        <v>318.38876834819763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-2.2737367544323206E-13</v>
      </c>
      <c r="DP97" s="18">
        <f>DO97*VLOOKUP('Données projet'!$B$14,Paramètres!$A$1:$I$89,3,0)*VLOOKUP('Données projet'!$B$14,Paramètres!$A$1:$I$89,5,0)</f>
        <v>-1.6671037883497774E-13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263.81634201637729</v>
      </c>
      <c r="DU97" s="62">
        <f t="shared" si="98"/>
        <v>302.03767435507262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322.63846641467165</v>
      </c>
      <c r="T98" s="62">
        <f t="shared" si="88"/>
        <v>435.17386576419966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3.3856212836174984</v>
      </c>
      <c r="AB98" s="23">
        <f>EXP(-LN(2)/2)*AB97+(1-EXP(-LN(2)/2))/(LN(2)/2)*V98*Y98*VLOOKUP('Données projet'!$B$9,Paramètres!$A$1:$I$89,3,0)*0.475*44/12</f>
        <v>4.8111622067623639E-10</v>
      </c>
      <c r="AC98" s="24">
        <f t="shared" si="57"/>
        <v>3.3856212840986144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175.05987582828078</v>
      </c>
      <c r="AO98" s="62">
        <f t="shared" si="90"/>
        <v>268.54782308462387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1.4977541154552336</v>
      </c>
      <c r="AW98" s="23">
        <f>EXP(-LN(2)/2)*AW97+(1-EXP(-LN(2)/2))/(LN(2)/2)*AQ98*AT98*VLOOKUP('Données projet'!$B$10,Paramètres!$A$1:$I$89,3,0)*0.475*44/12</f>
        <v>2.0824761801632759E-9</v>
      </c>
      <c r="AX98" s="23">
        <f t="shared" si="60"/>
        <v>1.4977541175377098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7.5784615384615366</v>
      </c>
      <c r="BD98" s="13">
        <f>IF('Données projet'!$A$88&gt;35,BD97+BC98-BL97,IF(A98&lt;'Données projet'!$A$88,$BA$205^A98,IF(A98='Données projet'!$A$88,'Données projet'!$B$88,BD97+BC98-BL97)))</f>
        <v>262.13692307692304</v>
      </c>
      <c r="BE98" s="14">
        <f>BD98*VLOOKUP('Données projet'!$B$11,Paramètres!$A$1:$I$89,3,0)*VLOOKUP('Données projet'!$B$11,Paramètres!$A$1:$I$89,5,0)</f>
        <v>122.68007999999998</v>
      </c>
      <c r="BF98" s="14">
        <f t="shared" si="91"/>
        <v>32.299278107177336</v>
      </c>
      <c r="BG98" s="22">
        <f t="shared" si="61"/>
        <v>269.9223820366671</v>
      </c>
      <c r="BH98" s="62">
        <f t="shared" si="62"/>
        <v>563.25571537000042</v>
      </c>
      <c r="BI98" s="62">
        <f ca="1">AVERAGE(OFFSET($BH$3,0,0,'Données projet'!$E$11+1,1))-AVERAGE(OFFSET($H$3,0,0,'Données projet'!$E$11+1,1))</f>
        <v>183.46485104601493</v>
      </c>
      <c r="BJ98" s="62">
        <f t="shared" si="92"/>
        <v>127.47790120677581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-3.2514435588382188E-14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228.06050741667258</v>
      </c>
      <c r="CE98" s="62">
        <f t="shared" si="94"/>
        <v>191.94885821983536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1.5225371262828575</v>
      </c>
      <c r="CM98" s="23">
        <f>EXP(-LN(2)/2)*CM97+(1-EXP(-LN(2)/2))/(LN(2)/2)*CG98*CJ98*VLOOKUP('Données projet'!$B$12,Paramètres!$A$1:$I$89,3,0)*0.475*44/12</f>
        <v>2.1171511747077726E-9</v>
      </c>
      <c r="CN98" s="24">
        <f t="shared" si="66"/>
        <v>1.5225371284000087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-3.4106051316484809E-13</v>
      </c>
      <c r="CU98" s="18">
        <f>CT98*VLOOKUP('Données projet'!$B$13,Paramètres!$A$1:$I$89,3,0)*VLOOKUP('Données projet'!$B$13,Paramètres!$A$1:$I$89,5,0)</f>
        <v>-2.7134774427395314E-13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343.37244130003143</v>
      </c>
      <c r="CZ98" s="62">
        <f t="shared" si="96"/>
        <v>318.38876834819763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-2.2737367544323206E-13</v>
      </c>
      <c r="DP98" s="18">
        <f>DO98*VLOOKUP('Données projet'!$B$14,Paramètres!$A$1:$I$89,3,0)*VLOOKUP('Données projet'!$B$14,Paramètres!$A$1:$I$89,5,0)</f>
        <v>-1.6671037883497774E-13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263.81634201637729</v>
      </c>
      <c r="DU98" s="62">
        <f t="shared" si="98"/>
        <v>302.03767435507262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322.63846641467165</v>
      </c>
      <c r="T99" s="62">
        <f t="shared" si="88"/>
        <v>435.17386576419966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3.2930412915748923</v>
      </c>
      <c r="AB99" s="23">
        <f>EXP(-LN(2)/2)*AB98+(1-EXP(-LN(2)/2))/(LN(2)/2)*V99*Y99*VLOOKUP('Données projet'!$B$9,Paramètres!$A$1:$I$89,3,0)*0.475*44/12</f>
        <v>3.402005421790102E-10</v>
      </c>
      <c r="AC99" s="24">
        <f t="shared" si="57"/>
        <v>3.2930412919150931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175.05987582828078</v>
      </c>
      <c r="AO99" s="62">
        <f t="shared" si="90"/>
        <v>268.54782308462387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1.4567979504046444</v>
      </c>
      <c r="AW99" s="23">
        <f>EXP(-LN(2)/2)*AW98+(1-EXP(-LN(2)/2))/(LN(2)/2)*AQ99*AT99*VLOOKUP('Données projet'!$B$10,Paramètres!$A$1:$I$89,3,0)*0.475*44/12</f>
        <v>1.4725330286529109E-9</v>
      </c>
      <c r="AX99" s="23">
        <f t="shared" si="60"/>
        <v>1.4567979518771774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7.5784615384615366</v>
      </c>
      <c r="BD99" s="13">
        <f>IF('Données projet'!$A$88&gt;35,BD98+BC99-BL98,IF(A99&lt;'Données projet'!$A$88,$BA$205^A99,IF(A99='Données projet'!$A$88,'Données projet'!$B$88,BD98+BC99-BL98)))</f>
        <v>269.71538461538455</v>
      </c>
      <c r="BE99" s="14">
        <f>BD99*VLOOKUP('Données projet'!$B$11,Paramètres!$A$1:$I$89,3,0)*VLOOKUP('Données projet'!$B$11,Paramètres!$A$1:$I$89,5,0)</f>
        <v>126.22679999999997</v>
      </c>
      <c r="BF99" s="14">
        <f t="shared" si="91"/>
        <v>33.122994638732159</v>
      </c>
      <c r="BG99" s="22">
        <f t="shared" si="61"/>
        <v>277.53422566245848</v>
      </c>
      <c r="BH99" s="62">
        <f t="shared" si="62"/>
        <v>570.8675589957918</v>
      </c>
      <c r="BI99" s="62">
        <f ca="1">AVERAGE(OFFSET($BH$3,0,0,'Données projet'!$E$11+1,1))-AVERAGE(OFFSET($H$3,0,0,'Données projet'!$E$11+1,1))</f>
        <v>183.46485104601493</v>
      </c>
      <c r="BJ99" s="62">
        <f t="shared" si="92"/>
        <v>127.47790120677581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-3.2514435588382188E-14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228.06050741667258</v>
      </c>
      <c r="CE99" s="62">
        <f t="shared" si="94"/>
        <v>191.94885821983536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1.4809032684979051</v>
      </c>
      <c r="CM99" s="23">
        <f>EXP(-LN(2)/2)*CM98+(1-EXP(-LN(2)/2))/(LN(2)/2)*CG99*CJ99*VLOOKUP('Données projet'!$B$12,Paramètres!$A$1:$I$89,3,0)*0.475*44/12</f>
        <v>1.497051952432931E-9</v>
      </c>
      <c r="CN99" s="24">
        <f t="shared" si="66"/>
        <v>1.4809032699949571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-3.4106051316484809E-13</v>
      </c>
      <c r="CU99" s="18">
        <f>CT99*VLOOKUP('Données projet'!$B$13,Paramètres!$A$1:$I$89,3,0)*VLOOKUP('Données projet'!$B$13,Paramètres!$A$1:$I$89,5,0)</f>
        <v>-2.7134774427395314E-13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343.37244130003143</v>
      </c>
      <c r="CZ99" s="62">
        <f t="shared" si="96"/>
        <v>318.38876834819763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-2.2737367544323206E-13</v>
      </c>
      <c r="DP99" s="18">
        <f>DO99*VLOOKUP('Données projet'!$B$14,Paramètres!$A$1:$I$89,3,0)*VLOOKUP('Données projet'!$B$14,Paramètres!$A$1:$I$89,5,0)</f>
        <v>-1.6671037883497774E-13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263.81634201637729</v>
      </c>
      <c r="DU99" s="62">
        <f t="shared" si="98"/>
        <v>302.03767435507262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322.63846641467165</v>
      </c>
      <c r="T100" s="62">
        <f t="shared" si="88"/>
        <v>435.17386576419966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3.2029929042832617</v>
      </c>
      <c r="AB100" s="23">
        <f>EXP(-LN(2)/2)*AB99+(1-EXP(-LN(2)/2))/(LN(2)/2)*V100*Y100*VLOOKUP('Données projet'!$B$9,Paramètres!$A$1:$I$89,3,0)*0.475*44/12</f>
        <v>2.4055811033811819E-10</v>
      </c>
      <c r="AC100" s="24">
        <f t="shared" si="57"/>
        <v>3.2029929045238199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175.05987582828078</v>
      </c>
      <c r="AO100" s="62">
        <f t="shared" si="90"/>
        <v>268.54782308462387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1.4169617338411549</v>
      </c>
      <c r="AW100" s="23">
        <f>EXP(-LN(2)/2)*AW99+(1-EXP(-LN(2)/2))/(LN(2)/2)*AQ100*AT100*VLOOKUP('Données projet'!$B$10,Paramètres!$A$1:$I$89,3,0)*0.475*44/12</f>
        <v>1.041238090081638E-9</v>
      </c>
      <c r="AX100" s="23">
        <f t="shared" si="60"/>
        <v>1.4169617348823929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7.5784615384615366</v>
      </c>
      <c r="BD100" s="13">
        <f>IF('Données projet'!$A$88&gt;35,BD99+BC100-BL99,IF(A100&lt;'Données projet'!$A$88,$BA$205^A100,IF(A100='Données projet'!$A$88,'Données projet'!$B$88,BD99+BC100-BL99)))</f>
        <v>277.29384615384606</v>
      </c>
      <c r="BE100" s="14">
        <f>BD100*VLOOKUP('Données projet'!$B$11,Paramètres!$A$1:$I$89,3,0)*VLOOKUP('Données projet'!$B$11,Paramètres!$A$1:$I$89,5,0)</f>
        <v>129.77351999999996</v>
      </c>
      <c r="BF100" s="14">
        <f t="shared" si="91"/>
        <v>33.944021144316885</v>
      </c>
      <c r="BG100" s="22">
        <f t="shared" si="61"/>
        <v>285.14138415968512</v>
      </c>
      <c r="BH100" s="62">
        <f t="shared" si="62"/>
        <v>578.47471749301849</v>
      </c>
      <c r="BI100" s="62">
        <f ca="1">AVERAGE(OFFSET($BH$3,0,0,'Données projet'!$E$11+1,1))-AVERAGE(OFFSET($H$3,0,0,'Données projet'!$E$11+1,1))</f>
        <v>183.46485104601493</v>
      </c>
      <c r="BJ100" s="62">
        <f t="shared" si="92"/>
        <v>127.47790120677581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-3.2514435588382188E-14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228.06050741667258</v>
      </c>
      <c r="CE100" s="62">
        <f t="shared" si="94"/>
        <v>191.94885821983536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1.4404078907435116</v>
      </c>
      <c r="CM100" s="23">
        <f>EXP(-LN(2)/2)*CM99+(1-EXP(-LN(2)/2))/(LN(2)/2)*CG100*CJ100*VLOOKUP('Données projet'!$B$12,Paramètres!$A$1:$I$89,3,0)*0.475*44/12</f>
        <v>1.0585755873538863E-9</v>
      </c>
      <c r="CN100" s="24">
        <f t="shared" si="66"/>
        <v>1.4404078918020873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-3.4106051316484809E-13</v>
      </c>
      <c r="CU100" s="18">
        <f>CT100*VLOOKUP('Données projet'!$B$13,Paramètres!$A$1:$I$89,3,0)*VLOOKUP('Données projet'!$B$13,Paramètres!$A$1:$I$89,5,0)</f>
        <v>-2.7134774427395314E-13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343.37244130003143</v>
      </c>
      <c r="CZ100" s="62">
        <f t="shared" si="96"/>
        <v>318.38876834819763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-2.2737367544323206E-13</v>
      </c>
      <c r="DP100" s="18">
        <f>DO100*VLOOKUP('Données projet'!$B$14,Paramètres!$A$1:$I$89,3,0)*VLOOKUP('Données projet'!$B$14,Paramètres!$A$1:$I$89,5,0)</f>
        <v>-1.6671037883497774E-13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263.81634201637729</v>
      </c>
      <c r="DU100" s="62">
        <f t="shared" si="98"/>
        <v>302.03767435507262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322.63846641467165</v>
      </c>
      <c r="T101" s="62">
        <f t="shared" si="88"/>
        <v>435.17386576419966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3.1154068948775597</v>
      </c>
      <c r="AB101" s="23">
        <f>EXP(-LN(2)/2)*AB100+(1-EXP(-LN(2)/2))/(LN(2)/2)*V101*Y101*VLOOKUP('Données projet'!$B$9,Paramètres!$A$1:$I$89,3,0)*0.475*44/12</f>
        <v>1.701002710895051E-10</v>
      </c>
      <c r="AC101" s="24">
        <f t="shared" si="57"/>
        <v>3.1154068950476601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175.05987582828078</v>
      </c>
      <c r="AO101" s="62">
        <f t="shared" si="90"/>
        <v>268.54782308462387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1.3782148407144894</v>
      </c>
      <c r="AW101" s="23">
        <f>EXP(-LN(2)/2)*AW100+(1-EXP(-LN(2)/2))/(LN(2)/2)*AQ101*AT101*VLOOKUP('Données projet'!$B$10,Paramètres!$A$1:$I$89,3,0)*0.475*44/12</f>
        <v>7.3626651432645543E-10</v>
      </c>
      <c r="AX101" s="23">
        <f t="shared" si="60"/>
        <v>1.378214841450756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7.5784615384615366</v>
      </c>
      <c r="BD101" s="13">
        <f>IF('Données projet'!$A$88&gt;35,BD100+BC101-BL100,IF(A101&lt;'Données projet'!$A$88,$BA$205^A101,IF(A101='Données projet'!$A$88,'Données projet'!$B$88,BD100+BC101-BL100)))</f>
        <v>284.87230769230757</v>
      </c>
      <c r="BE101" s="14">
        <f>BD101*VLOOKUP('Données projet'!$B$11,Paramètres!$A$1:$I$89,3,0)*VLOOKUP('Données projet'!$B$11,Paramètres!$A$1:$I$89,5,0)</f>
        <v>133.32023999999996</v>
      </c>
      <c r="BF101" s="14">
        <f t="shared" si="91"/>
        <v>34.762439590361396</v>
      </c>
      <c r="BG101" s="22">
        <f t="shared" si="61"/>
        <v>292.74400028654605</v>
      </c>
      <c r="BH101" s="62">
        <f t="shared" si="62"/>
        <v>586.07733361987937</v>
      </c>
      <c r="BI101" s="62">
        <f ca="1">AVERAGE(OFFSET($BH$3,0,0,'Données projet'!$E$11+1,1))-AVERAGE(OFFSET($H$3,0,0,'Données projet'!$E$11+1,1))</f>
        <v>183.46485104601493</v>
      </c>
      <c r="BJ101" s="62">
        <f t="shared" si="92"/>
        <v>127.47790120677581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-3.2514435588382188E-14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228.06050741667258</v>
      </c>
      <c r="CE101" s="62">
        <f t="shared" si="94"/>
        <v>191.94885821983536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1.4010198612233713</v>
      </c>
      <c r="CM101" s="23">
        <f>EXP(-LN(2)/2)*CM100+(1-EXP(-LN(2)/2))/(LN(2)/2)*CG101*CJ101*VLOOKUP('Données projet'!$B$12,Paramètres!$A$1:$I$89,3,0)*0.475*44/12</f>
        <v>7.4852597621646552E-10</v>
      </c>
      <c r="CN101" s="24">
        <f t="shared" si="66"/>
        <v>1.4010198619718972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-3.4106051316484809E-13</v>
      </c>
      <c r="CU101" s="18">
        <f>CT101*VLOOKUP('Données projet'!$B$13,Paramètres!$A$1:$I$89,3,0)*VLOOKUP('Données projet'!$B$13,Paramètres!$A$1:$I$89,5,0)</f>
        <v>-2.7134774427395314E-13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343.37244130003143</v>
      </c>
      <c r="CZ101" s="62">
        <f t="shared" si="96"/>
        <v>318.38876834819763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-2.2737367544323206E-13</v>
      </c>
      <c r="DP101" s="18">
        <f>DO101*VLOOKUP('Données projet'!$B$14,Paramètres!$A$1:$I$89,3,0)*VLOOKUP('Données projet'!$B$14,Paramètres!$A$1:$I$89,5,0)</f>
        <v>-1.6671037883497774E-13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263.81634201637729</v>
      </c>
      <c r="DU101" s="62">
        <f t="shared" si="98"/>
        <v>302.03767435507262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322.63846641467165</v>
      </c>
      <c r="T102" s="62">
        <f t="shared" si="88"/>
        <v>435.17386576419966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3.0302159295050046</v>
      </c>
      <c r="AB102" s="23">
        <f>EXP(-LN(2)/2)*AB101+(1-EXP(-LN(2)/2))/(LN(2)/2)*V102*Y102*VLOOKUP('Données projet'!$B$9,Paramètres!$A$1:$I$89,3,0)*0.475*44/12</f>
        <v>1.202790551690591E-10</v>
      </c>
      <c r="AC102" s="24">
        <f t="shared" si="57"/>
        <v>3.0302159296252835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175.05987582828078</v>
      </c>
      <c r="AO102" s="62">
        <f t="shared" si="90"/>
        <v>268.54782308462387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1.3405274834179832</v>
      </c>
      <c r="AW102" s="23">
        <f>EXP(-LN(2)/2)*AW101+(1-EXP(-LN(2)/2))/(LN(2)/2)*AQ102*AT102*VLOOKUP('Données projet'!$B$10,Paramètres!$A$1:$I$89,3,0)*0.475*44/12</f>
        <v>5.2061904504081898E-10</v>
      </c>
      <c r="AX102" s="23">
        <f t="shared" si="60"/>
        <v>1.3405274839386023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7.5784615384615366</v>
      </c>
      <c r="BD102" s="13">
        <f>IF('Données projet'!$A$88&gt;35,BD101+BC102-BL101,IF(A102&lt;'Données projet'!$A$88,$BA$205^A102,IF(A102='Données projet'!$A$88,'Données projet'!$B$88,BD101+BC102-BL101)))</f>
        <v>292.45076923076908</v>
      </c>
      <c r="BE102" s="14">
        <f>BD102*VLOOKUP('Données projet'!$B$11,Paramètres!$A$1:$I$89,3,0)*VLOOKUP('Données projet'!$B$11,Paramètres!$A$1:$I$89,5,0)</f>
        <v>136.86695999999992</v>
      </c>
      <c r="BF102" s="14">
        <f t="shared" si="91"/>
        <v>35.578327333867314</v>
      </c>
      <c r="BG102" s="22">
        <f t="shared" si="61"/>
        <v>300.34220877315209</v>
      </c>
      <c r="BH102" s="62">
        <f t="shared" si="62"/>
        <v>593.67554210648541</v>
      </c>
      <c r="BI102" s="62">
        <f ca="1">AVERAGE(OFFSET($BH$3,0,0,'Données projet'!$E$11+1,1))-AVERAGE(OFFSET($H$3,0,0,'Données projet'!$E$11+1,1))</f>
        <v>183.46485104601493</v>
      </c>
      <c r="BJ102" s="62">
        <f t="shared" si="92"/>
        <v>127.47790120677581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-3.2514435588382188E-14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228.06050741667258</v>
      </c>
      <c r="CE102" s="62">
        <f t="shared" si="94"/>
        <v>191.94885821983536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1.3627088994417857</v>
      </c>
      <c r="CM102" s="23">
        <f>EXP(-LN(2)/2)*CM101+(1-EXP(-LN(2)/2))/(LN(2)/2)*CG102*CJ102*VLOOKUP('Données projet'!$B$12,Paramètres!$A$1:$I$89,3,0)*0.475*44/12</f>
        <v>5.2928779367694316E-10</v>
      </c>
      <c r="CN102" s="24">
        <f t="shared" si="66"/>
        <v>1.3627088999710735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-3.4106051316484809E-13</v>
      </c>
      <c r="CU102" s="18">
        <f>CT102*VLOOKUP('Données projet'!$B$13,Paramètres!$A$1:$I$89,3,0)*VLOOKUP('Données projet'!$B$13,Paramètres!$A$1:$I$89,5,0)</f>
        <v>-2.7134774427395314E-13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343.37244130003143</v>
      </c>
      <c r="CZ102" s="62">
        <f t="shared" si="96"/>
        <v>318.38876834819763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-2.2737367544323206E-13</v>
      </c>
      <c r="DP102" s="18">
        <f>DO102*VLOOKUP('Données projet'!$B$14,Paramètres!$A$1:$I$89,3,0)*VLOOKUP('Données projet'!$B$14,Paramètres!$A$1:$I$89,5,0)</f>
        <v>-1.6671037883497774E-13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263.81634201637729</v>
      </c>
      <c r="DU102" s="62">
        <f t="shared" si="98"/>
        <v>302.03767435507262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322.63846641467165</v>
      </c>
      <c r="T103" s="62">
        <f t="shared" si="88"/>
        <v>435.17386576419966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2.9473545155605603</v>
      </c>
      <c r="AB103" s="23">
        <f>EXP(-LN(2)/2)*AB102+(1-EXP(-LN(2)/2))/(LN(2)/2)*V103*Y103*VLOOKUP('Données projet'!$B$9,Paramètres!$A$1:$I$89,3,0)*0.475*44/12</f>
        <v>8.5050135544752549E-11</v>
      </c>
      <c r="AC103" s="24">
        <f t="shared" si="57"/>
        <v>2.9473545156456105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175.05987582828078</v>
      </c>
      <c r="AO103" s="62">
        <f t="shared" si="90"/>
        <v>268.54782308462387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1.303870688888642</v>
      </c>
      <c r="AW103" s="23">
        <f>EXP(-LN(2)/2)*AW102+(1-EXP(-LN(2)/2))/(LN(2)/2)*AQ103*AT103*VLOOKUP('Données projet'!$B$10,Paramètres!$A$1:$I$89,3,0)*0.475*44/12</f>
        <v>3.6813325716322772E-10</v>
      </c>
      <c r="AX103" s="23">
        <f t="shared" si="60"/>
        <v>1.3038706892567753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7.5784615384615366</v>
      </c>
      <c r="BD103" s="13">
        <f>IF('Données projet'!$A$88&gt;35,BD102+BC103-BL102,IF(A103&lt;'Données projet'!$A$88,$BA$205^A103,IF(A103='Données projet'!$A$88,'Données projet'!$B$88,BD102+BC103-BL102)))</f>
        <v>300.02923076923059</v>
      </c>
      <c r="BE103" s="14">
        <f>BD103*VLOOKUP('Données projet'!$B$11,Paramètres!$A$1:$I$89,3,0)*VLOOKUP('Données projet'!$B$11,Paramètres!$A$1:$I$89,5,0)</f>
        <v>140.41367999999991</v>
      </c>
      <c r="BF103" s="14">
        <f t="shared" si="91"/>
        <v>36.391757494259892</v>
      </c>
      <c r="BG103" s="22">
        <f t="shared" si="61"/>
        <v>307.93613696916913</v>
      </c>
      <c r="BH103" s="62">
        <f t="shared" si="62"/>
        <v>601.26947030250244</v>
      </c>
      <c r="BI103" s="62">
        <f ca="1">AVERAGE(OFFSET($BH$3,0,0,'Données projet'!$E$11+1,1))-AVERAGE(OFFSET($H$3,0,0,'Données projet'!$E$11+1,1))</f>
        <v>183.46485104601493</v>
      </c>
      <c r="BJ103" s="62">
        <f t="shared" si="92"/>
        <v>127.47790120677581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-3.2514435588382188E-14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228.06050741667258</v>
      </c>
      <c r="CE103" s="62">
        <f t="shared" si="94"/>
        <v>191.94885821983536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1.3254455529248037</v>
      </c>
      <c r="CM103" s="23">
        <f>EXP(-LN(2)/2)*CM102+(1-EXP(-LN(2)/2))/(LN(2)/2)*CG103*CJ103*VLOOKUP('Données projet'!$B$12,Paramètres!$A$1:$I$89,3,0)*0.475*44/12</f>
        <v>3.7426298810823276E-10</v>
      </c>
      <c r="CN103" s="24">
        <f t="shared" si="66"/>
        <v>1.3254455532990668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-3.4106051316484809E-13</v>
      </c>
      <c r="CU103" s="18">
        <f>CT103*VLOOKUP('Données projet'!$B$13,Paramètres!$A$1:$I$89,3,0)*VLOOKUP('Données projet'!$B$13,Paramètres!$A$1:$I$89,5,0)</f>
        <v>-2.7134774427395314E-13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343.37244130003143</v>
      </c>
      <c r="CZ103" s="62">
        <f t="shared" si="96"/>
        <v>318.38876834819763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-2.2737367544323206E-13</v>
      </c>
      <c r="DP103" s="18">
        <f>DO103*VLOOKUP('Données projet'!$B$14,Paramètres!$A$1:$I$89,3,0)*VLOOKUP('Données projet'!$B$14,Paramètres!$A$1:$I$89,5,0)</f>
        <v>-1.6671037883497774E-13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263.81634201637729</v>
      </c>
      <c r="DU103" s="62">
        <f t="shared" si="98"/>
        <v>302.03767435507262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322.63846641467165</v>
      </c>
      <c r="T104" s="62">
        <f t="shared" si="88"/>
        <v>435.17386576419966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2.866758951337919</v>
      </c>
      <c r="AB104" s="23">
        <f>EXP(-LN(2)/2)*AB103+(1-EXP(-LN(2)/2))/(LN(2)/2)*V104*Y104*VLOOKUP('Données projet'!$B$9,Paramètres!$A$1:$I$89,3,0)*0.475*44/12</f>
        <v>6.0139527584529549E-11</v>
      </c>
      <c r="AC104" s="24">
        <f t="shared" si="57"/>
        <v>2.8667589513980585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175.05987582828078</v>
      </c>
      <c r="AO104" s="62">
        <f t="shared" si="90"/>
        <v>268.54782308462387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1.2682162763334026</v>
      </c>
      <c r="AW104" s="23">
        <f>EXP(-LN(2)/2)*AW103+(1-EXP(-LN(2)/2))/(LN(2)/2)*AQ104*AT104*VLOOKUP('Données projet'!$B$10,Paramètres!$A$1:$I$89,3,0)*0.475*44/12</f>
        <v>2.6030952252040949E-10</v>
      </c>
      <c r="AX104" s="23">
        <f t="shared" si="60"/>
        <v>1.2682162765937122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>
        <f>VLOOKUP(A104,'Données projet'!$A$87:$I$107,2,0)</f>
        <v>307.60769230769228</v>
      </c>
      <c r="BB104" s="13">
        <f>VLOOKUP(A104,'Données projet'!$A$87:$I$107,9,0)</f>
        <v>7.5784615384615366</v>
      </c>
      <c r="BC104" s="13">
        <f t="array" ref="BC104">INDEX(BB:BB,MIN(IF(ISNUMBER(BB104:BB300),ROW(BB104:BB300),"")))</f>
        <v>7.5784615384615366</v>
      </c>
      <c r="BD104" s="13">
        <f>IF('Données projet'!$A$88&gt;35,BD103+BC104-BL103,IF(A104&lt;'Données projet'!$A$88,$BA$205^A104,IF(A104='Données projet'!$A$88,'Données projet'!$B$88,BD103+BC104-BL103)))</f>
        <v>307.6076923076921</v>
      </c>
      <c r="BE104" s="14">
        <f>BD104*VLOOKUP('Données projet'!$B$11,Paramètres!$A$1:$I$89,3,0)*VLOOKUP('Données projet'!$B$11,Paramètres!$A$1:$I$89,5,0)</f>
        <v>143.96039999999991</v>
      </c>
      <c r="BF104" s="14">
        <f t="shared" si="91"/>
        <v>37.20279928661224</v>
      </c>
      <c r="BG104" s="22">
        <f t="shared" si="61"/>
        <v>315.52590542418278</v>
      </c>
      <c r="BH104" s="62">
        <f t="shared" si="62"/>
        <v>608.8592387575161</v>
      </c>
      <c r="BI104" s="62">
        <f ca="1">AVERAGE(OFFSET($BH$3,0,0,'Données projet'!$E$11+1,1))-AVERAGE(OFFSET($H$3,0,0,'Données projet'!$E$11+1,1))</f>
        <v>183.46485104601493</v>
      </c>
      <c r="BJ104" s="62">
        <f t="shared" si="92"/>
        <v>127.47790120677581</v>
      </c>
      <c r="BK104" s="16">
        <f>IF(ISNA(VLOOKUP(A104,'Données projet'!$A$87:$I$107,3,0)),0,VLOOKUP(A104,'Données projet'!$A$87:$I$107,3,0))</f>
        <v>8</v>
      </c>
      <c r="BL104" s="16">
        <f>IF(ISNA(VLOOKUP(A104,'Données projet'!$A$87:$I$107,4,0)),0,VLOOKUP(A104,'Données projet'!$A$87:$I$107,4,0))</f>
        <v>307.60769230769228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-3.2514435588382188E-14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228.06050741667258</v>
      </c>
      <c r="CE104" s="62">
        <f t="shared" si="94"/>
        <v>191.94885821983536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1.2892011745779226</v>
      </c>
      <c r="CM104" s="23">
        <f>EXP(-LN(2)/2)*CM103+(1-EXP(-LN(2)/2))/(LN(2)/2)*CG104*CJ104*VLOOKUP('Données projet'!$B$12,Paramètres!$A$1:$I$89,3,0)*0.475*44/12</f>
        <v>2.6464389683847158E-10</v>
      </c>
      <c r="CN104" s="24">
        <f t="shared" si="66"/>
        <v>1.2892011748425665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-3.4106051316484809E-13</v>
      </c>
      <c r="CU104" s="18">
        <f>CT104*VLOOKUP('Données projet'!$B$13,Paramètres!$A$1:$I$89,3,0)*VLOOKUP('Données projet'!$B$13,Paramètres!$A$1:$I$89,5,0)</f>
        <v>-2.7134774427395314E-13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343.37244130003143</v>
      </c>
      <c r="CZ104" s="62">
        <f t="shared" si="96"/>
        <v>318.38876834819763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-2.2737367544323206E-13</v>
      </c>
      <c r="DP104" s="18">
        <f>DO104*VLOOKUP('Données projet'!$B$14,Paramètres!$A$1:$I$89,3,0)*VLOOKUP('Données projet'!$B$14,Paramètres!$A$1:$I$89,5,0)</f>
        <v>-1.6671037883497774E-13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263.81634201637729</v>
      </c>
      <c r="DU104" s="62">
        <f t="shared" si="98"/>
        <v>302.03767435507262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322.63846641467165</v>
      </c>
      <c r="T105" s="62">
        <f t="shared" si="88"/>
        <v>435.17386576419966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2.7883672770572825</v>
      </c>
      <c r="AB105" s="23">
        <f>EXP(-LN(2)/2)*AB104+(1-EXP(-LN(2)/2))/(LN(2)/2)*V105*Y105*VLOOKUP('Données projet'!$B$9,Paramètres!$A$1:$I$89,3,0)*0.475*44/12</f>
        <v>4.2525067772376275E-11</v>
      </c>
      <c r="AC105" s="24">
        <f t="shared" si="57"/>
        <v>2.7883672770998076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175.05987582828078</v>
      </c>
      <c r="AO105" s="62">
        <f t="shared" si="90"/>
        <v>268.54782308462387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1.2335368355644702</v>
      </c>
      <c r="AW105" s="23">
        <f>EXP(-LN(2)/2)*AW104+(1-EXP(-LN(2)/2))/(LN(2)/2)*AQ105*AT105*VLOOKUP('Données projet'!$B$10,Paramètres!$A$1:$I$89,3,0)*0.475*44/12</f>
        <v>1.8406662858161386E-10</v>
      </c>
      <c r="AX105" s="23">
        <f t="shared" si="60"/>
        <v>1.2335368357485368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-7.9808160080574461E-14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183.46485104601493</v>
      </c>
      <c r="BJ105" s="62">
        <f t="shared" si="92"/>
        <v>127.47790120677581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-3.2514435588382188E-14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228.06050741667258</v>
      </c>
      <c r="CE105" s="62">
        <f t="shared" si="94"/>
        <v>191.94885821983536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1.2539479006629461</v>
      </c>
      <c r="CM105" s="23">
        <f>EXP(-LN(2)/2)*CM104+(1-EXP(-LN(2)/2))/(LN(2)/2)*CG105*CJ105*VLOOKUP('Données projet'!$B$12,Paramètres!$A$1:$I$89,3,0)*0.475*44/12</f>
        <v>1.8713149405411638E-10</v>
      </c>
      <c r="CN105" s="24">
        <f t="shared" si="66"/>
        <v>1.2539479008500776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-3.4106051316484809E-13</v>
      </c>
      <c r="CU105" s="18">
        <f>CT105*VLOOKUP('Données projet'!$B$13,Paramètres!$A$1:$I$89,3,0)*VLOOKUP('Données projet'!$B$13,Paramètres!$A$1:$I$89,5,0)</f>
        <v>-2.7134774427395314E-13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343.37244130003143</v>
      </c>
      <c r="CZ105" s="62">
        <f t="shared" si="96"/>
        <v>318.38876834819763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-2.2737367544323206E-13</v>
      </c>
      <c r="DP105" s="18">
        <f>DO105*VLOOKUP('Données projet'!$B$14,Paramètres!$A$1:$I$89,3,0)*VLOOKUP('Données projet'!$B$14,Paramètres!$A$1:$I$89,5,0)</f>
        <v>-1.6671037883497774E-13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263.81634201637729</v>
      </c>
      <c r="DU105" s="62">
        <f t="shared" si="98"/>
        <v>302.03767435507262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322.63846641467165</v>
      </c>
      <c r="T106" s="62">
        <f t="shared" si="88"/>
        <v>435.17386576419966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2.7121192272322889</v>
      </c>
      <c r="AB106" s="23">
        <f>EXP(-LN(2)/2)*AB105+(1-EXP(-LN(2)/2))/(LN(2)/2)*V106*Y106*VLOOKUP('Données projet'!$B$9,Paramètres!$A$1:$I$89,3,0)*0.475*44/12</f>
        <v>3.0069763792264774E-11</v>
      </c>
      <c r="AC106" s="24">
        <f t="shared" si="57"/>
        <v>2.7121192272623587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175.05987582828078</v>
      </c>
      <c r="AO106" s="62">
        <f t="shared" si="90"/>
        <v>268.54782308462387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1.1998057059270768</v>
      </c>
      <c r="AW106" s="23">
        <f>EXP(-LN(2)/2)*AW105+(1-EXP(-LN(2)/2))/(LN(2)/2)*AQ106*AT106*VLOOKUP('Données projet'!$B$10,Paramètres!$A$1:$I$89,3,0)*0.475*44/12</f>
        <v>1.3015476126020474E-10</v>
      </c>
      <c r="AX106" s="23">
        <f t="shared" si="60"/>
        <v>1.1998057060572316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-7.9808160080574461E-14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183.46485104601493</v>
      </c>
      <c r="BJ106" s="62">
        <f t="shared" si="92"/>
        <v>127.47790120677581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-3.2514435588382188E-14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228.06050741667258</v>
      </c>
      <c r="CE106" s="62">
        <f t="shared" si="94"/>
        <v>191.94885821983536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1.2196586293770637</v>
      </c>
      <c r="CM106" s="23">
        <f>EXP(-LN(2)/2)*CM105+(1-EXP(-LN(2)/2))/(LN(2)/2)*CG106*CJ106*VLOOKUP('Données projet'!$B$12,Paramètres!$A$1:$I$89,3,0)*0.475*44/12</f>
        <v>1.3232194841923579E-10</v>
      </c>
      <c r="CN106" s="24">
        <f t="shared" si="66"/>
        <v>1.2196586295093856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-3.4106051316484809E-13</v>
      </c>
      <c r="CU106" s="18">
        <f>CT106*VLOOKUP('Données projet'!$B$13,Paramètres!$A$1:$I$89,3,0)*VLOOKUP('Données projet'!$B$13,Paramètres!$A$1:$I$89,5,0)</f>
        <v>-2.7134774427395314E-13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343.37244130003143</v>
      </c>
      <c r="CZ106" s="62">
        <f t="shared" si="96"/>
        <v>318.38876834819763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-2.2737367544323206E-13</v>
      </c>
      <c r="DP106" s="18">
        <f>DO106*VLOOKUP('Données projet'!$B$14,Paramètres!$A$1:$I$89,3,0)*VLOOKUP('Données projet'!$B$14,Paramètres!$A$1:$I$89,5,0)</f>
        <v>-1.6671037883497774E-13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263.81634201637729</v>
      </c>
      <c r="DU106" s="62">
        <f t="shared" si="98"/>
        <v>302.03767435507262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322.63846641467165</v>
      </c>
      <c r="T107" s="62">
        <f t="shared" si="88"/>
        <v>435.17386576419966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2.6379561843394703</v>
      </c>
      <c r="AB107" s="23">
        <f>EXP(-LN(2)/2)*AB106+(1-EXP(-LN(2)/2))/(LN(2)/2)*V107*Y107*VLOOKUP('Données projet'!$B$9,Paramètres!$A$1:$I$89,3,0)*0.475*44/12</f>
        <v>2.1262533886188137E-11</v>
      </c>
      <c r="AC107" s="24">
        <f t="shared" si="57"/>
        <v>2.6379561843607329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175.05987582828078</v>
      </c>
      <c r="AO107" s="62">
        <f t="shared" si="90"/>
        <v>268.54782308462387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1.166996955803461</v>
      </c>
      <c r="AW107" s="23">
        <f>EXP(-LN(2)/2)*AW106+(1-EXP(-LN(2)/2))/(LN(2)/2)*AQ107*AT107*VLOOKUP('Données projet'!$B$10,Paramètres!$A$1:$I$89,3,0)*0.475*44/12</f>
        <v>9.2033314290806929E-11</v>
      </c>
      <c r="AX107" s="23">
        <f t="shared" si="60"/>
        <v>1.1669969558954942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-7.9808160080574461E-14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183.46485104601493</v>
      </c>
      <c r="BJ107" s="62">
        <f t="shared" si="92"/>
        <v>127.47790120677581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-3.2514435588382188E-14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228.06050741667258</v>
      </c>
      <c r="CE107" s="62">
        <f t="shared" si="94"/>
        <v>191.94885821983536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1.1863070000176881</v>
      </c>
      <c r="CM107" s="23">
        <f>EXP(-LN(2)/2)*CM106+(1-EXP(-LN(2)/2))/(LN(2)/2)*CG107*CJ107*VLOOKUP('Données projet'!$B$12,Paramètres!$A$1:$I$89,3,0)*0.475*44/12</f>
        <v>9.356574702705819E-11</v>
      </c>
      <c r="CN107" s="24">
        <f t="shared" si="66"/>
        <v>1.1863070001112539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-3.4106051316484809E-13</v>
      </c>
      <c r="CU107" s="18">
        <f>CT107*VLOOKUP('Données projet'!$B$13,Paramètres!$A$1:$I$89,3,0)*VLOOKUP('Données projet'!$B$13,Paramètres!$A$1:$I$89,5,0)</f>
        <v>-2.7134774427395314E-13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343.37244130003143</v>
      </c>
      <c r="CZ107" s="62">
        <f t="shared" si="96"/>
        <v>318.38876834819763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-2.2737367544323206E-13</v>
      </c>
      <c r="DP107" s="18">
        <f>DO107*VLOOKUP('Données projet'!$B$14,Paramètres!$A$1:$I$89,3,0)*VLOOKUP('Données projet'!$B$14,Paramètres!$A$1:$I$89,5,0)</f>
        <v>-1.6671037883497774E-13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263.81634201637729</v>
      </c>
      <c r="DU107" s="62">
        <f t="shared" si="98"/>
        <v>302.03767435507262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322.63846641467165</v>
      </c>
      <c r="T108" s="62">
        <f t="shared" si="88"/>
        <v>435.17386576419966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2.5658211337546208</v>
      </c>
      <c r="AB108" s="23">
        <f>EXP(-LN(2)/2)*AB107+(1-EXP(-LN(2)/2))/(LN(2)/2)*V108*Y108*VLOOKUP('Données projet'!$B$9,Paramètres!$A$1:$I$89,3,0)*0.475*44/12</f>
        <v>1.5034881896132387E-11</v>
      </c>
      <c r="AC108" s="24">
        <f t="shared" si="57"/>
        <v>2.5658211337696559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175.05987582828078</v>
      </c>
      <c r="AO108" s="62">
        <f t="shared" si="90"/>
        <v>268.54782308462387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1.1350853626773125</v>
      </c>
      <c r="AW108" s="23">
        <f>EXP(-LN(2)/2)*AW107+(1-EXP(-LN(2)/2))/(LN(2)/2)*AQ108*AT108*VLOOKUP('Données projet'!$B$10,Paramètres!$A$1:$I$89,3,0)*0.475*44/12</f>
        <v>6.5077380630102372E-11</v>
      </c>
      <c r="AX108" s="23">
        <f t="shared" si="60"/>
        <v>1.1350853627423898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-7.9808160080574461E-14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183.46485104601493</v>
      </c>
      <c r="BJ108" s="62">
        <f t="shared" si="92"/>
        <v>127.47790120677581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-3.2514435588382188E-14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228.06050741667258</v>
      </c>
      <c r="CE108" s="62">
        <f t="shared" si="94"/>
        <v>191.94885821983536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1.1538673727170305</v>
      </c>
      <c r="CM108" s="23">
        <f>EXP(-LN(2)/2)*CM107+(1-EXP(-LN(2)/2))/(LN(2)/2)*CG108*CJ108*VLOOKUP('Données projet'!$B$12,Paramètres!$A$1:$I$89,3,0)*0.475*44/12</f>
        <v>6.6160974209617895E-11</v>
      </c>
      <c r="CN108" s="24">
        <f t="shared" si="66"/>
        <v>1.1538673727831916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-3.4106051316484809E-13</v>
      </c>
      <c r="CU108" s="18">
        <f>CT108*VLOOKUP('Données projet'!$B$13,Paramètres!$A$1:$I$89,3,0)*VLOOKUP('Données projet'!$B$13,Paramètres!$A$1:$I$89,5,0)</f>
        <v>-2.7134774427395314E-13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343.37244130003143</v>
      </c>
      <c r="CZ108" s="62">
        <f t="shared" si="96"/>
        <v>318.38876834819763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-2.2737367544323206E-13</v>
      </c>
      <c r="DP108" s="18">
        <f>DO108*VLOOKUP('Données projet'!$B$14,Paramètres!$A$1:$I$89,3,0)*VLOOKUP('Données projet'!$B$14,Paramètres!$A$1:$I$89,5,0)</f>
        <v>-1.6671037883497774E-13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263.81634201637729</v>
      </c>
      <c r="DU108" s="62">
        <f t="shared" si="98"/>
        <v>302.03767435507262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322.63846641467165</v>
      </c>
      <c r="T109" s="62">
        <f t="shared" si="88"/>
        <v>435.17386576419966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2.4956586199214317</v>
      </c>
      <c r="AB109" s="23">
        <f>EXP(-LN(2)/2)*AB108+(1-EXP(-LN(2)/2))/(LN(2)/2)*V109*Y109*VLOOKUP('Données projet'!$B$9,Paramètres!$A$1:$I$89,3,0)*0.475*44/12</f>
        <v>1.0631266943094069E-11</v>
      </c>
      <c r="AC109" s="24">
        <f t="shared" si="57"/>
        <v>2.4956586199320627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175.05987582828078</v>
      </c>
      <c r="AO109" s="62">
        <f t="shared" si="90"/>
        <v>268.54782308462387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1.1040463937433564</v>
      </c>
      <c r="AW109" s="23">
        <f>EXP(-LN(2)/2)*AW108+(1-EXP(-LN(2)/2))/(LN(2)/2)*AQ109*AT109*VLOOKUP('Données projet'!$B$10,Paramètres!$A$1:$I$89,3,0)*0.475*44/12</f>
        <v>4.6016657145403465E-11</v>
      </c>
      <c r="AX109" s="23">
        <f t="shared" si="60"/>
        <v>1.1040463937893732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-7.9808160080574461E-14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183.46485104601493</v>
      </c>
      <c r="BJ109" s="62">
        <f t="shared" si="92"/>
        <v>127.47790120677581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-3.2514435588382188E-14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228.06050741667258</v>
      </c>
      <c r="CE109" s="62">
        <f t="shared" si="94"/>
        <v>191.94885821983536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1.1223148087308354</v>
      </c>
      <c r="CM109" s="23">
        <f>EXP(-LN(2)/2)*CM108+(1-EXP(-LN(2)/2))/(LN(2)/2)*CG109*CJ109*VLOOKUP('Données projet'!$B$12,Paramètres!$A$1:$I$89,3,0)*0.475*44/12</f>
        <v>4.6782873513529095E-11</v>
      </c>
      <c r="CN109" s="24">
        <f t="shared" si="66"/>
        <v>1.1223148087776182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-3.4106051316484809E-13</v>
      </c>
      <c r="CU109" s="18">
        <f>CT109*VLOOKUP('Données projet'!$B$13,Paramètres!$A$1:$I$89,3,0)*VLOOKUP('Données projet'!$B$13,Paramètres!$A$1:$I$89,5,0)</f>
        <v>-2.7134774427395314E-13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343.37244130003143</v>
      </c>
      <c r="CZ109" s="62">
        <f t="shared" si="96"/>
        <v>318.38876834819763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-2.2737367544323206E-13</v>
      </c>
      <c r="DP109" s="18">
        <f>DO109*VLOOKUP('Données projet'!$B$14,Paramètres!$A$1:$I$89,3,0)*VLOOKUP('Données projet'!$B$14,Paramètres!$A$1:$I$89,5,0)</f>
        <v>-1.6671037883497774E-13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263.81634201637729</v>
      </c>
      <c r="DU109" s="62">
        <f t="shared" si="98"/>
        <v>302.03767435507262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322.63846641467165</v>
      </c>
      <c r="T110" s="62">
        <f t="shared" si="88"/>
        <v>435.17386576419966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2.4274147037186973</v>
      </c>
      <c r="AB110" s="23">
        <f>EXP(-LN(2)/2)*AB109+(1-EXP(-LN(2)/2))/(LN(2)/2)*V110*Y110*VLOOKUP('Données projet'!$B$9,Paramètres!$A$1:$I$89,3,0)*0.475*44/12</f>
        <v>7.5174409480661936E-12</v>
      </c>
      <c r="AC110" s="24">
        <f t="shared" si="57"/>
        <v>2.4274147037262148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175.05987582828078</v>
      </c>
      <c r="AO110" s="62">
        <f t="shared" si="90"/>
        <v>268.54782308462387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1.0738561870471679</v>
      </c>
      <c r="AW110" s="23">
        <f>EXP(-LN(2)/2)*AW109+(1-EXP(-LN(2)/2))/(LN(2)/2)*AQ110*AT110*VLOOKUP('Données projet'!$B$10,Paramètres!$A$1:$I$89,3,0)*0.475*44/12</f>
        <v>3.2538690315051186E-11</v>
      </c>
      <c r="AX110" s="23">
        <f t="shared" si="60"/>
        <v>1.0738561870797065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-7.9808160080574461E-14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183.46485104601493</v>
      </c>
      <c r="BJ110" s="62">
        <f t="shared" si="92"/>
        <v>127.47790120677581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-3.2514435588382188E-14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228.06050741667258</v>
      </c>
      <c r="CE110" s="62">
        <f t="shared" si="94"/>
        <v>191.94885821983536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1.0916250512661201</v>
      </c>
      <c r="CM110" s="23">
        <f>EXP(-LN(2)/2)*CM109+(1-EXP(-LN(2)/2))/(LN(2)/2)*CG110*CJ110*VLOOKUP('Données projet'!$B$12,Paramètres!$A$1:$I$89,3,0)*0.475*44/12</f>
        <v>3.3080487104808947E-11</v>
      </c>
      <c r="CN110" s="24">
        <f t="shared" si="66"/>
        <v>1.0916250512992005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-3.4106051316484809E-13</v>
      </c>
      <c r="CU110" s="18">
        <f>CT110*VLOOKUP('Données projet'!$B$13,Paramètres!$A$1:$I$89,3,0)*VLOOKUP('Données projet'!$B$13,Paramètres!$A$1:$I$89,5,0)</f>
        <v>-2.7134774427395314E-13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343.37244130003143</v>
      </c>
      <c r="CZ110" s="62">
        <f t="shared" si="96"/>
        <v>318.38876834819763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-2.2737367544323206E-13</v>
      </c>
      <c r="DP110" s="18">
        <f>DO110*VLOOKUP('Données projet'!$B$14,Paramètres!$A$1:$I$89,3,0)*VLOOKUP('Données projet'!$B$14,Paramètres!$A$1:$I$89,5,0)</f>
        <v>-1.6671037883497774E-13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263.81634201637729</v>
      </c>
      <c r="DU110" s="62">
        <f t="shared" si="98"/>
        <v>302.03767435507262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322.63846641467165</v>
      </c>
      <c r="T111" s="62">
        <f t="shared" si="88"/>
        <v>435.17386576419966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2.361036920993318</v>
      </c>
      <c r="AB111" s="23">
        <f>EXP(-LN(2)/2)*AB110+(1-EXP(-LN(2)/2))/(LN(2)/2)*V111*Y111*VLOOKUP('Données projet'!$B$9,Paramètres!$A$1:$I$89,3,0)*0.475*44/12</f>
        <v>5.3156334715470343E-12</v>
      </c>
      <c r="AC111" s="24">
        <f t="shared" si="57"/>
        <v>2.3610369209986337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175.05987582828078</v>
      </c>
      <c r="AO111" s="62">
        <f t="shared" si="90"/>
        <v>268.54782308462387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1.0444915331407205</v>
      </c>
      <c r="AW111" s="23">
        <f>EXP(-LN(2)/2)*AW110+(1-EXP(-LN(2)/2))/(LN(2)/2)*AQ111*AT111*VLOOKUP('Données projet'!$B$10,Paramètres!$A$1:$I$89,3,0)*0.475*44/12</f>
        <v>2.3008328572701732E-11</v>
      </c>
      <c r="AX111" s="23">
        <f t="shared" si="60"/>
        <v>1.0444915331637288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-7.9808160080574461E-14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183.46485104601493</v>
      </c>
      <c r="BJ111" s="62">
        <f t="shared" si="92"/>
        <v>127.47790120677581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-3.2514435588382188E-14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228.06050741667258</v>
      </c>
      <c r="CE111" s="62">
        <f t="shared" si="94"/>
        <v>191.94885821983536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1.0617745068331814</v>
      </c>
      <c r="CM111" s="23">
        <f>EXP(-LN(2)/2)*CM110+(1-EXP(-LN(2)/2))/(LN(2)/2)*CG111*CJ111*VLOOKUP('Données projet'!$B$12,Paramètres!$A$1:$I$89,3,0)*0.475*44/12</f>
        <v>2.3391436756764547E-11</v>
      </c>
      <c r="CN111" s="24">
        <f t="shared" si="66"/>
        <v>1.0617745068565729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-3.4106051316484809E-13</v>
      </c>
      <c r="CU111" s="18">
        <f>CT111*VLOOKUP('Données projet'!$B$13,Paramètres!$A$1:$I$89,3,0)*VLOOKUP('Données projet'!$B$13,Paramètres!$A$1:$I$89,5,0)</f>
        <v>-2.7134774427395314E-13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343.37244130003143</v>
      </c>
      <c r="CZ111" s="62">
        <f t="shared" si="96"/>
        <v>318.38876834819763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-2.2737367544323206E-13</v>
      </c>
      <c r="DP111" s="18">
        <f>DO111*VLOOKUP('Données projet'!$B$14,Paramètres!$A$1:$I$89,3,0)*VLOOKUP('Données projet'!$B$14,Paramètres!$A$1:$I$89,5,0)</f>
        <v>-1.6671037883497774E-13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263.81634201637729</v>
      </c>
      <c r="DU111" s="62">
        <f t="shared" si="98"/>
        <v>302.03767435507262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322.63846641467165</v>
      </c>
      <c r="T112" s="62">
        <f t="shared" si="88"/>
        <v>435.17386576419966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2.2964742422272204</v>
      </c>
      <c r="AB112" s="23">
        <f>EXP(-LN(2)/2)*AB111+(1-EXP(-LN(2)/2))/(LN(2)/2)*V112*Y112*VLOOKUP('Données projet'!$B$9,Paramètres!$A$1:$I$89,3,0)*0.475*44/12</f>
        <v>3.7587204740330968E-12</v>
      </c>
      <c r="AC112" s="24">
        <f t="shared" si="57"/>
        <v>2.2964742422309792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175.05987582828078</v>
      </c>
      <c r="AO112" s="62">
        <f t="shared" si="90"/>
        <v>268.54782308462387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1.015929857239565</v>
      </c>
      <c r="AW112" s="23">
        <f>EXP(-LN(2)/2)*AW111+(1-EXP(-LN(2)/2))/(LN(2)/2)*AQ112*AT112*VLOOKUP('Données projet'!$B$10,Paramètres!$A$1:$I$89,3,0)*0.475*44/12</f>
        <v>1.6269345157525593E-11</v>
      </c>
      <c r="AX112" s="23">
        <f t="shared" si="60"/>
        <v>1.0159298572558344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-7.9808160080574461E-14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183.46485104601493</v>
      </c>
      <c r="BJ112" s="62">
        <f t="shared" si="92"/>
        <v>127.47790120677581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-3.2514435588382188E-14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228.06050741667258</v>
      </c>
      <c r="CE112" s="62">
        <f t="shared" si="94"/>
        <v>191.94885821983536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1.0327402271075334</v>
      </c>
      <c r="CM112" s="23">
        <f>EXP(-LN(2)/2)*CM111+(1-EXP(-LN(2)/2))/(LN(2)/2)*CG112*CJ112*VLOOKUP('Données projet'!$B$12,Paramètres!$A$1:$I$89,3,0)*0.475*44/12</f>
        <v>1.6540243552404474E-11</v>
      </c>
      <c r="CN112" s="24">
        <f t="shared" si="66"/>
        <v>1.0327402271240738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-3.4106051316484809E-13</v>
      </c>
      <c r="CU112" s="18">
        <f>CT112*VLOOKUP('Données projet'!$B$13,Paramètres!$A$1:$I$89,3,0)*VLOOKUP('Données projet'!$B$13,Paramètres!$A$1:$I$89,5,0)</f>
        <v>-2.7134774427395314E-13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343.37244130003143</v>
      </c>
      <c r="CZ112" s="62">
        <f t="shared" si="96"/>
        <v>318.38876834819763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-2.2737367544323206E-13</v>
      </c>
      <c r="DP112" s="18">
        <f>DO112*VLOOKUP('Données projet'!$B$14,Paramètres!$A$1:$I$89,3,0)*VLOOKUP('Données projet'!$B$14,Paramètres!$A$1:$I$89,5,0)</f>
        <v>-1.6671037883497774E-13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263.81634201637729</v>
      </c>
      <c r="DU112" s="62">
        <f t="shared" si="98"/>
        <v>302.03767435507262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322.63846641467165</v>
      </c>
      <c r="T113" s="62">
        <f t="shared" si="88"/>
        <v>435.17386576419966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2.2336770333071851</v>
      </c>
      <c r="AB113" s="23">
        <f>EXP(-LN(2)/2)*AB112+(1-EXP(-LN(2)/2))/(LN(2)/2)*V113*Y113*VLOOKUP('Données projet'!$B$9,Paramètres!$A$1:$I$89,3,0)*0.475*44/12</f>
        <v>2.6578167357735172E-12</v>
      </c>
      <c r="AC113" s="24">
        <f t="shared" si="57"/>
        <v>2.233677033309843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175.05987582828078</v>
      </c>
      <c r="AO113" s="62">
        <f t="shared" si="90"/>
        <v>268.54782308462387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0.98814920186791977</v>
      </c>
      <c r="AW113" s="23">
        <f>EXP(-LN(2)/2)*AW112+(1-EXP(-LN(2)/2))/(LN(2)/2)*AQ113*AT113*VLOOKUP('Données projet'!$B$10,Paramètres!$A$1:$I$89,3,0)*0.475*44/12</f>
        <v>1.1504164286350866E-11</v>
      </c>
      <c r="AX113" s="23">
        <f t="shared" si="60"/>
        <v>0.9881492018794239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-7.9808160080574461E-14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183.46485104601493</v>
      </c>
      <c r="BJ113" s="62">
        <f t="shared" si="92"/>
        <v>127.47790120677581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-3.2514435588382188E-14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228.06050741667258</v>
      </c>
      <c r="CE113" s="62">
        <f t="shared" si="94"/>
        <v>191.94885821983536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1.0044998912878298</v>
      </c>
      <c r="CM113" s="23">
        <f>EXP(-LN(2)/2)*CM112+(1-EXP(-LN(2)/2))/(LN(2)/2)*CG113*CJ113*VLOOKUP('Données projet'!$B$12,Paramètres!$A$1:$I$89,3,0)*0.475*44/12</f>
        <v>1.1695718378382274E-11</v>
      </c>
      <c r="CN113" s="24">
        <f t="shared" si="66"/>
        <v>1.0044998912995255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-3.4106051316484809E-13</v>
      </c>
      <c r="CU113" s="18">
        <f>CT113*VLOOKUP('Données projet'!$B$13,Paramètres!$A$1:$I$89,3,0)*VLOOKUP('Données projet'!$B$13,Paramètres!$A$1:$I$89,5,0)</f>
        <v>-2.7134774427395314E-13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343.37244130003143</v>
      </c>
      <c r="CZ113" s="62">
        <f t="shared" si="96"/>
        <v>318.38876834819763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-2.2737367544323206E-13</v>
      </c>
      <c r="DP113" s="18">
        <f>DO113*VLOOKUP('Données projet'!$B$14,Paramètres!$A$1:$I$89,3,0)*VLOOKUP('Données projet'!$B$14,Paramètres!$A$1:$I$89,5,0)</f>
        <v>-1.6671037883497774E-13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263.81634201637729</v>
      </c>
      <c r="DU113" s="62">
        <f t="shared" si="98"/>
        <v>302.03767435507262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322.63846641467165</v>
      </c>
      <c r="T114" s="62">
        <f t="shared" si="88"/>
        <v>435.17386576419966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2.1725970173674303</v>
      </c>
      <c r="AB114" s="23">
        <f>EXP(-LN(2)/2)*AB113+(1-EXP(-LN(2)/2))/(LN(2)/2)*V114*Y114*VLOOKUP('Données projet'!$B$9,Paramètres!$A$1:$I$89,3,0)*0.475*44/12</f>
        <v>1.8793602370165484E-12</v>
      </c>
      <c r="AC114" s="24">
        <f t="shared" si="57"/>
        <v>2.1725970173693097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175.05987582828078</v>
      </c>
      <c r="AO114" s="62">
        <f t="shared" si="90"/>
        <v>268.54782308462387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0.96112820997833337</v>
      </c>
      <c r="AW114" s="23">
        <f>EXP(-LN(2)/2)*AW113+(1-EXP(-LN(2)/2))/(LN(2)/2)*AQ114*AT114*VLOOKUP('Données projet'!$B$10,Paramètres!$A$1:$I$89,3,0)*0.475*44/12</f>
        <v>8.1346725787627965E-12</v>
      </c>
      <c r="AX114" s="23">
        <f t="shared" si="60"/>
        <v>0.96112820998646809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-7.9808160080574461E-14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183.46485104601493</v>
      </c>
      <c r="BJ114" s="62">
        <f t="shared" si="92"/>
        <v>127.47790120677581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-3.2514435588382188E-14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228.06050741667258</v>
      </c>
      <c r="CE114" s="62">
        <f t="shared" si="94"/>
        <v>191.94885821983536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0.97703178893621057</v>
      </c>
      <c r="CM114" s="23">
        <f>EXP(-LN(2)/2)*CM113+(1-EXP(-LN(2)/2))/(LN(2)/2)*CG114*CJ114*VLOOKUP('Données projet'!$B$12,Paramètres!$A$1:$I$89,3,0)*0.475*44/12</f>
        <v>8.2701217762022369E-12</v>
      </c>
      <c r="CN114" s="24">
        <f t="shared" si="66"/>
        <v>0.97703178894448073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-3.4106051316484809E-13</v>
      </c>
      <c r="CU114" s="18">
        <f>CT114*VLOOKUP('Données projet'!$B$13,Paramètres!$A$1:$I$89,3,0)*VLOOKUP('Données projet'!$B$13,Paramètres!$A$1:$I$89,5,0)</f>
        <v>-2.7134774427395314E-13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343.37244130003143</v>
      </c>
      <c r="CZ114" s="62">
        <f t="shared" si="96"/>
        <v>318.38876834819763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-2.2737367544323206E-13</v>
      </c>
      <c r="DP114" s="18">
        <f>DO114*VLOOKUP('Données projet'!$B$14,Paramètres!$A$1:$I$89,3,0)*VLOOKUP('Données projet'!$B$14,Paramètres!$A$1:$I$89,5,0)</f>
        <v>-1.6671037883497774E-13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263.81634201637729</v>
      </c>
      <c r="DU114" s="62">
        <f t="shared" si="98"/>
        <v>302.03767435507262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322.63846641467165</v>
      </c>
      <c r="T115" s="62">
        <f t="shared" si="88"/>
        <v>435.17386576419966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2.1131872376756062</v>
      </c>
      <c r="AB115" s="23">
        <f>EXP(-LN(2)/2)*AB114+(1-EXP(-LN(2)/2))/(LN(2)/2)*V115*Y115*VLOOKUP('Données projet'!$B$9,Paramètres!$A$1:$I$89,3,0)*0.475*44/12</f>
        <v>1.3289083678867586E-12</v>
      </c>
      <c r="AC115" s="24">
        <f t="shared" si="57"/>
        <v>2.1131872376769349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175.05987582828078</v>
      </c>
      <c r="AO115" s="62">
        <f t="shared" si="90"/>
        <v>268.54782308462387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0.93484610853293992</v>
      </c>
      <c r="AW115" s="23">
        <f>EXP(-LN(2)/2)*AW114+(1-EXP(-LN(2)/2))/(LN(2)/2)*AQ115*AT115*VLOOKUP('Données projet'!$B$10,Paramètres!$A$1:$I$89,3,0)*0.475*44/12</f>
        <v>5.7520821431754331E-12</v>
      </c>
      <c r="AX115" s="23">
        <f t="shared" si="60"/>
        <v>0.93484610853869199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-7.9808160080574461E-14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183.46485104601493</v>
      </c>
      <c r="BJ115" s="62">
        <f t="shared" si="92"/>
        <v>127.47790120677581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-3.2514435588382188E-14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228.06050741667258</v>
      </c>
      <c r="CE115" s="62">
        <f t="shared" si="94"/>
        <v>191.94885821983536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0.95031480328788109</v>
      </c>
      <c r="CM115" s="23">
        <f>EXP(-LN(2)/2)*CM114+(1-EXP(-LN(2)/2))/(LN(2)/2)*CG115*CJ115*VLOOKUP('Données projet'!$B$12,Paramètres!$A$1:$I$89,3,0)*0.475*44/12</f>
        <v>5.8478591891911369E-12</v>
      </c>
      <c r="CN115" s="24">
        <f t="shared" si="66"/>
        <v>0.95031480329372897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-3.4106051316484809E-13</v>
      </c>
      <c r="CU115" s="18">
        <f>CT115*VLOOKUP('Données projet'!$B$13,Paramètres!$A$1:$I$89,3,0)*VLOOKUP('Données projet'!$B$13,Paramètres!$A$1:$I$89,5,0)</f>
        <v>-2.7134774427395314E-13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343.37244130003143</v>
      </c>
      <c r="CZ115" s="62">
        <f t="shared" si="96"/>
        <v>318.38876834819763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-2.2737367544323206E-13</v>
      </c>
      <c r="DP115" s="18">
        <f>DO115*VLOOKUP('Données projet'!$B$14,Paramètres!$A$1:$I$89,3,0)*VLOOKUP('Données projet'!$B$14,Paramètres!$A$1:$I$89,5,0)</f>
        <v>-1.6671037883497774E-13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263.81634201637729</v>
      </c>
      <c r="DU115" s="62">
        <f t="shared" si="98"/>
        <v>302.03767435507262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322.63846641467165</v>
      </c>
      <c r="T116" s="62">
        <f t="shared" si="88"/>
        <v>435.17386576419966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2.0554020215336797</v>
      </c>
      <c r="AB116" s="23">
        <f>EXP(-LN(2)/2)*AB115+(1-EXP(-LN(2)/2))/(LN(2)/2)*V116*Y116*VLOOKUP('Données projet'!$B$9,Paramètres!$A$1:$I$89,3,0)*0.475*44/12</f>
        <v>9.396801185082742E-13</v>
      </c>
      <c r="AC116" s="24">
        <f t="shared" si="57"/>
        <v>2.0554020215346194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175.05987582828078</v>
      </c>
      <c r="AO116" s="62">
        <f t="shared" si="90"/>
        <v>268.54782308462387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0.90928269253368643</v>
      </c>
      <c r="AW116" s="23">
        <f>EXP(-LN(2)/2)*AW115+(1-EXP(-LN(2)/2))/(LN(2)/2)*AQ116*AT116*VLOOKUP('Données projet'!$B$10,Paramètres!$A$1:$I$89,3,0)*0.475*44/12</f>
        <v>4.0673362893813983E-12</v>
      </c>
      <c r="AX116" s="23">
        <f t="shared" si="60"/>
        <v>0.90928269253775373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-7.9808160080574461E-14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183.46485104601493</v>
      </c>
      <c r="BJ116" s="62">
        <f t="shared" si="92"/>
        <v>127.47790120677581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-3.2514435588382188E-14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228.06050741667258</v>
      </c>
      <c r="CE116" s="62">
        <f t="shared" si="94"/>
        <v>191.94885821983536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0.92432839501709041</v>
      </c>
      <c r="CM116" s="23">
        <f>EXP(-LN(2)/2)*CM115+(1-EXP(-LN(2)/2))/(LN(2)/2)*CG116*CJ116*VLOOKUP('Données projet'!$B$12,Paramètres!$A$1:$I$89,3,0)*0.475*44/12</f>
        <v>4.1350608881011184E-12</v>
      </c>
      <c r="CN116" s="24">
        <f t="shared" si="66"/>
        <v>0.92432839502122544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-3.4106051316484809E-13</v>
      </c>
      <c r="CU116" s="18">
        <f>CT116*VLOOKUP('Données projet'!$B$13,Paramètres!$A$1:$I$89,3,0)*VLOOKUP('Données projet'!$B$13,Paramètres!$A$1:$I$89,5,0)</f>
        <v>-2.7134774427395314E-13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343.37244130003143</v>
      </c>
      <c r="CZ116" s="62">
        <f t="shared" si="96"/>
        <v>318.38876834819763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-2.2737367544323206E-13</v>
      </c>
      <c r="DP116" s="18">
        <f>DO116*VLOOKUP('Données projet'!$B$14,Paramètres!$A$1:$I$89,3,0)*VLOOKUP('Données projet'!$B$14,Paramètres!$A$1:$I$89,5,0)</f>
        <v>-1.6671037883497774E-13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263.81634201637729</v>
      </c>
      <c r="DU116" s="62">
        <f t="shared" si="98"/>
        <v>302.03767435507262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322.63846641467165</v>
      </c>
      <c r="T117" s="62">
        <f t="shared" si="88"/>
        <v>435.17386576419966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1.9991969451659466</v>
      </c>
      <c r="AB117" s="23">
        <f>EXP(-LN(2)/2)*AB116+(1-EXP(-LN(2)/2))/(LN(2)/2)*V117*Y117*VLOOKUP('Données projet'!$B$9,Paramètres!$A$1:$I$89,3,0)*0.475*44/12</f>
        <v>6.6445418394337929E-13</v>
      </c>
      <c r="AC117" s="24">
        <f t="shared" si="57"/>
        <v>1.999196945166611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175.05987582828078</v>
      </c>
      <c r="AO117" s="62">
        <f t="shared" si="90"/>
        <v>268.54782308462387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0.88441830948925415</v>
      </c>
      <c r="AW117" s="23">
        <f>EXP(-LN(2)/2)*AW116+(1-EXP(-LN(2)/2))/(LN(2)/2)*AQ117*AT117*VLOOKUP('Données projet'!$B$10,Paramètres!$A$1:$I$89,3,0)*0.475*44/12</f>
        <v>2.8760410715877165E-12</v>
      </c>
      <c r="AX117" s="23">
        <f t="shared" si="60"/>
        <v>0.88441830949213018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-7.9808160080574461E-14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183.46485104601493</v>
      </c>
      <c r="BJ117" s="62">
        <f t="shared" si="92"/>
        <v>127.47790120677581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-3.2514435588382188E-14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228.06050741667258</v>
      </c>
      <c r="CE117" s="62">
        <f t="shared" si="94"/>
        <v>191.94885821983536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0.89905258644703034</v>
      </c>
      <c r="CM117" s="23">
        <f>EXP(-LN(2)/2)*CM116+(1-EXP(-LN(2)/2))/(LN(2)/2)*CG117*CJ117*VLOOKUP('Données projet'!$B$12,Paramètres!$A$1:$I$89,3,0)*0.475*44/12</f>
        <v>2.9239295945955684E-12</v>
      </c>
      <c r="CN117" s="24">
        <f t="shared" si="66"/>
        <v>0.89905258644995423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-3.4106051316484809E-13</v>
      </c>
      <c r="CU117" s="18">
        <f>CT117*VLOOKUP('Données projet'!$B$13,Paramètres!$A$1:$I$89,3,0)*VLOOKUP('Données projet'!$B$13,Paramètres!$A$1:$I$89,5,0)</f>
        <v>-2.7134774427395314E-13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343.37244130003143</v>
      </c>
      <c r="CZ117" s="62">
        <f t="shared" si="96"/>
        <v>318.38876834819763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-2.2737367544323206E-13</v>
      </c>
      <c r="DP117" s="18">
        <f>DO117*VLOOKUP('Données projet'!$B$14,Paramètres!$A$1:$I$89,3,0)*VLOOKUP('Données projet'!$B$14,Paramètres!$A$1:$I$89,5,0)</f>
        <v>-1.6671037883497774E-13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263.81634201637729</v>
      </c>
      <c r="DU117" s="62">
        <f t="shared" si="98"/>
        <v>302.03767435507262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322.63846641467165</v>
      </c>
      <c r="T118" s="62">
        <f t="shared" si="88"/>
        <v>435.17386576419966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1.9445287995671856</v>
      </c>
      <c r="AB118" s="23">
        <f>EXP(-LN(2)/2)*AB117+(1-EXP(-LN(2)/2))/(LN(2)/2)*V118*Y118*VLOOKUP('Données projet'!$B$9,Paramètres!$A$1:$I$89,3,0)*0.475*44/12</f>
        <v>4.698400592541371E-13</v>
      </c>
      <c r="AC118" s="24">
        <f t="shared" si="57"/>
        <v>1.9445287995676555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175.05987582828078</v>
      </c>
      <c r="AO118" s="62">
        <f t="shared" si="90"/>
        <v>268.54782308462387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0.860233844306733</v>
      </c>
      <c r="AW118" s="23">
        <f>EXP(-LN(2)/2)*AW117+(1-EXP(-LN(2)/2))/(LN(2)/2)*AQ118*AT118*VLOOKUP('Données projet'!$B$10,Paramètres!$A$1:$I$89,3,0)*0.475*44/12</f>
        <v>2.0336681446906991E-12</v>
      </c>
      <c r="AX118" s="23">
        <f t="shared" si="60"/>
        <v>0.8602338443087667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-7.9808160080574461E-14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183.46485104601493</v>
      </c>
      <c r="BJ118" s="62">
        <f t="shared" si="92"/>
        <v>127.47790120677581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-3.2514435588382188E-14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228.06050741667258</v>
      </c>
      <c r="CE118" s="62">
        <f t="shared" si="94"/>
        <v>191.94885821983536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0.87446794619151558</v>
      </c>
      <c r="CM118" s="23">
        <f>EXP(-LN(2)/2)*CM117+(1-EXP(-LN(2)/2))/(LN(2)/2)*CG118*CJ118*VLOOKUP('Données projet'!$B$12,Paramètres!$A$1:$I$89,3,0)*0.475*44/12</f>
        <v>2.0675304440505592E-12</v>
      </c>
      <c r="CN118" s="24">
        <f t="shared" si="66"/>
        <v>0.87446794619358315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-3.4106051316484809E-13</v>
      </c>
      <c r="CU118" s="18">
        <f>CT118*VLOOKUP('Données projet'!$B$13,Paramètres!$A$1:$I$89,3,0)*VLOOKUP('Données projet'!$B$13,Paramètres!$A$1:$I$89,5,0)</f>
        <v>-2.7134774427395314E-13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343.37244130003143</v>
      </c>
      <c r="CZ118" s="62">
        <f t="shared" si="96"/>
        <v>318.38876834819763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-2.2737367544323206E-13</v>
      </c>
      <c r="DP118" s="18">
        <f>DO118*VLOOKUP('Données projet'!$B$14,Paramètres!$A$1:$I$89,3,0)*VLOOKUP('Données projet'!$B$14,Paramètres!$A$1:$I$89,5,0)</f>
        <v>-1.6671037883497774E-13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263.81634201637729</v>
      </c>
      <c r="DU118" s="62">
        <f t="shared" si="98"/>
        <v>302.03767435507262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322.63846641467165</v>
      </c>
      <c r="T119" s="62">
        <f t="shared" si="88"/>
        <v>435.17386576419966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1.8913555572846956</v>
      </c>
      <c r="AB119" s="23">
        <f>EXP(-LN(2)/2)*AB118+(1-EXP(-LN(2)/2))/(LN(2)/2)*V119*Y119*VLOOKUP('Données projet'!$B$9,Paramètres!$A$1:$I$89,3,0)*0.475*44/12</f>
        <v>3.3222709197168965E-13</v>
      </c>
      <c r="AC119" s="24">
        <f t="shared" si="57"/>
        <v>1.8913555572850278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175.05987582828078</v>
      </c>
      <c r="AO119" s="62">
        <f t="shared" si="90"/>
        <v>268.54782308462387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0.8367107045964336</v>
      </c>
      <c r="AW119" s="23">
        <f>EXP(-LN(2)/2)*AW118+(1-EXP(-LN(2)/2))/(LN(2)/2)*AQ119*AT119*VLOOKUP('Données projet'!$B$10,Paramètres!$A$1:$I$89,3,0)*0.475*44/12</f>
        <v>1.4380205357938583E-12</v>
      </c>
      <c r="AX119" s="23">
        <f t="shared" si="60"/>
        <v>0.83671070459787167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-7.9808160080574461E-14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183.46485104601493</v>
      </c>
      <c r="BJ119" s="62">
        <f t="shared" si="92"/>
        <v>127.47790120677581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-3.2514435588382188E-14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228.06050741667258</v>
      </c>
      <c r="CE119" s="62">
        <f t="shared" si="94"/>
        <v>191.94885821983536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0.85055557421663797</v>
      </c>
      <c r="CM119" s="23">
        <f>EXP(-LN(2)/2)*CM118+(1-EXP(-LN(2)/2))/(LN(2)/2)*CG119*CJ119*VLOOKUP('Données projet'!$B$12,Paramètres!$A$1:$I$89,3,0)*0.475*44/12</f>
        <v>1.4619647972977842E-12</v>
      </c>
      <c r="CN119" s="24">
        <f t="shared" si="66"/>
        <v>0.85055557421809991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-3.4106051316484809E-13</v>
      </c>
      <c r="CU119" s="18">
        <f>CT119*VLOOKUP('Données projet'!$B$13,Paramètres!$A$1:$I$89,3,0)*VLOOKUP('Données projet'!$B$13,Paramètres!$A$1:$I$89,5,0)</f>
        <v>-2.7134774427395314E-13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343.37244130003143</v>
      </c>
      <c r="CZ119" s="62">
        <f t="shared" si="96"/>
        <v>318.38876834819763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-2.2737367544323206E-13</v>
      </c>
      <c r="DP119" s="18">
        <f>DO119*VLOOKUP('Données projet'!$B$14,Paramètres!$A$1:$I$89,3,0)*VLOOKUP('Données projet'!$B$14,Paramètres!$A$1:$I$89,5,0)</f>
        <v>-1.6671037883497774E-13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263.81634201637729</v>
      </c>
      <c r="DU119" s="62">
        <f t="shared" si="98"/>
        <v>302.03767435507262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322.63846641467165</v>
      </c>
      <c r="T120" s="62">
        <f t="shared" si="88"/>
        <v>435.17386576419966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1.8396363401086797</v>
      </c>
      <c r="AB120" s="23">
        <f>EXP(-LN(2)/2)*AB119+(1-EXP(-LN(2)/2))/(LN(2)/2)*V120*Y120*VLOOKUP('Données projet'!$B$9,Paramètres!$A$1:$I$89,3,0)*0.475*44/12</f>
        <v>2.3492002962706855E-13</v>
      </c>
      <c r="AC120" s="24">
        <f t="shared" si="57"/>
        <v>1.8396363401089146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175.05987582828078</v>
      </c>
      <c r="AO120" s="62">
        <f t="shared" si="90"/>
        <v>268.54782308462387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0.81383080637854044</v>
      </c>
      <c r="AW120" s="23">
        <f>EXP(-LN(2)/2)*AW119+(1-EXP(-LN(2)/2))/(LN(2)/2)*AQ120*AT120*VLOOKUP('Données projet'!$B$10,Paramètres!$A$1:$I$89,3,0)*0.475*44/12</f>
        <v>1.0168340723453496E-12</v>
      </c>
      <c r="AX120" s="23">
        <f t="shared" si="60"/>
        <v>0.81383080637955729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-7.9808160080574461E-14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183.46485104601493</v>
      </c>
      <c r="BJ120" s="62">
        <f t="shared" si="92"/>
        <v>127.47790120677581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-3.2514435588382188E-14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228.06050741667258</v>
      </c>
      <c r="CE120" s="62">
        <f t="shared" si="94"/>
        <v>191.94885821983536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0.82729708731091034</v>
      </c>
      <c r="CM120" s="23">
        <f>EXP(-LN(2)/2)*CM119+(1-EXP(-LN(2)/2))/(LN(2)/2)*CG120*CJ120*VLOOKUP('Données projet'!$B$12,Paramètres!$A$1:$I$89,3,0)*0.475*44/12</f>
        <v>1.0337652220252796E-12</v>
      </c>
      <c r="CN120" s="24">
        <f t="shared" si="66"/>
        <v>0.82729708731194407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-3.4106051316484809E-13</v>
      </c>
      <c r="CU120" s="18">
        <f>CT120*VLOOKUP('Données projet'!$B$13,Paramètres!$A$1:$I$89,3,0)*VLOOKUP('Données projet'!$B$13,Paramètres!$A$1:$I$89,5,0)</f>
        <v>-2.7134774427395314E-13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343.37244130003143</v>
      </c>
      <c r="CZ120" s="62">
        <f t="shared" si="96"/>
        <v>318.38876834819763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-2.2737367544323206E-13</v>
      </c>
      <c r="DP120" s="18">
        <f>DO120*VLOOKUP('Données projet'!$B$14,Paramètres!$A$1:$I$89,3,0)*VLOOKUP('Données projet'!$B$14,Paramètres!$A$1:$I$89,5,0)</f>
        <v>-1.6671037883497774E-13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263.81634201637729</v>
      </c>
      <c r="DU120" s="62">
        <f t="shared" si="98"/>
        <v>302.03767435507262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322.63846641467165</v>
      </c>
      <c r="T121" s="62">
        <f t="shared" si="88"/>
        <v>435.17386576419966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1.7893313876461372</v>
      </c>
      <c r="AB121" s="23">
        <f>EXP(-LN(2)/2)*AB120+(1-EXP(-LN(2)/2))/(LN(2)/2)*V121*Y121*VLOOKUP('Données projet'!$B$9,Paramètres!$A$1:$I$89,3,0)*0.475*44/12</f>
        <v>1.6611354598584482E-13</v>
      </c>
      <c r="AC121" s="24">
        <f t="shared" si="57"/>
        <v>1.7893313876463033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175.05987582828078</v>
      </c>
      <c r="AO121" s="62">
        <f t="shared" si="90"/>
        <v>268.54782308462387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0.79157656018061717</v>
      </c>
      <c r="AW121" s="23">
        <f>EXP(-LN(2)/2)*AW120+(1-EXP(-LN(2)/2))/(LN(2)/2)*AQ121*AT121*VLOOKUP('Données projet'!$B$10,Paramètres!$A$1:$I$89,3,0)*0.475*44/12</f>
        <v>7.1901026789692914E-13</v>
      </c>
      <c r="AX121" s="23">
        <f t="shared" si="60"/>
        <v>0.79157656018133615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-7.9808160080574461E-14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183.46485104601493</v>
      </c>
      <c r="BJ121" s="62">
        <f t="shared" si="92"/>
        <v>127.47790120677581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-3.2514435588382188E-14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228.06050741667258</v>
      </c>
      <c r="CE121" s="62">
        <f t="shared" si="94"/>
        <v>191.94885821983536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0.80467460495273047</v>
      </c>
      <c r="CM121" s="23">
        <f>EXP(-LN(2)/2)*CM120+(1-EXP(-LN(2)/2))/(LN(2)/2)*CG121*CJ121*VLOOKUP('Données projet'!$B$12,Paramètres!$A$1:$I$89,3,0)*0.475*44/12</f>
        <v>7.3098239864889211E-13</v>
      </c>
      <c r="CN121" s="24">
        <f t="shared" si="66"/>
        <v>0.80467460495346144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-3.4106051316484809E-13</v>
      </c>
      <c r="CU121" s="18">
        <f>CT121*VLOOKUP('Données projet'!$B$13,Paramètres!$A$1:$I$89,3,0)*VLOOKUP('Données projet'!$B$13,Paramètres!$A$1:$I$89,5,0)</f>
        <v>-2.7134774427395314E-13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343.37244130003143</v>
      </c>
      <c r="CZ121" s="62">
        <f t="shared" si="96"/>
        <v>318.38876834819763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-2.2737367544323206E-13</v>
      </c>
      <c r="DP121" s="18">
        <f>DO121*VLOOKUP('Données projet'!$B$14,Paramètres!$A$1:$I$89,3,0)*VLOOKUP('Données projet'!$B$14,Paramètres!$A$1:$I$89,5,0)</f>
        <v>-1.6671037883497774E-13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263.81634201637729</v>
      </c>
      <c r="DU121" s="62">
        <f t="shared" si="98"/>
        <v>302.03767435507262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322.63846641467165</v>
      </c>
      <c r="T122" s="62">
        <f t="shared" si="88"/>
        <v>435.17386576419966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1.7404020267541054</v>
      </c>
      <c r="AB122" s="23">
        <f>EXP(-LN(2)/2)*AB121+(1-EXP(-LN(2)/2))/(LN(2)/2)*V122*Y122*VLOOKUP('Données projet'!$B$9,Paramètres!$A$1:$I$89,3,0)*0.475*44/12</f>
        <v>1.1746001481353427E-13</v>
      </c>
      <c r="AC122" s="24">
        <f t="shared" si="57"/>
        <v>1.7404020267542228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175.05987582828078</v>
      </c>
      <c r="AO122" s="62">
        <f t="shared" si="90"/>
        <v>268.54782308462387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0.76993085751527612</v>
      </c>
      <c r="AW122" s="23">
        <f>EXP(-LN(2)/2)*AW121+(1-EXP(-LN(2)/2))/(LN(2)/2)*AQ122*AT122*VLOOKUP('Données projet'!$B$10,Paramètres!$A$1:$I$89,3,0)*0.475*44/12</f>
        <v>5.0841703617267478E-13</v>
      </c>
      <c r="AX122" s="23">
        <f t="shared" si="60"/>
        <v>0.76993085751578449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-7.9808160080574461E-14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183.46485104601493</v>
      </c>
      <c r="BJ122" s="62">
        <f t="shared" si="92"/>
        <v>127.47790120677581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-3.2514435588382188E-14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228.06050741667258</v>
      </c>
      <c r="CE122" s="62">
        <f t="shared" si="94"/>
        <v>191.94885821983536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0.78267073556429967</v>
      </c>
      <c r="CM122" s="23">
        <f>EXP(-LN(2)/2)*CM121+(1-EXP(-LN(2)/2))/(LN(2)/2)*CG122*CJ122*VLOOKUP('Données projet'!$B$12,Paramètres!$A$1:$I$89,3,0)*0.475*44/12</f>
        <v>5.168826110126398E-13</v>
      </c>
      <c r="CN122" s="24">
        <f t="shared" si="66"/>
        <v>0.78267073556481659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-3.4106051316484809E-13</v>
      </c>
      <c r="CU122" s="18">
        <f>CT122*VLOOKUP('Données projet'!$B$13,Paramètres!$A$1:$I$89,3,0)*VLOOKUP('Données projet'!$B$13,Paramètres!$A$1:$I$89,5,0)</f>
        <v>-2.7134774427395314E-13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343.37244130003143</v>
      </c>
      <c r="CZ122" s="62">
        <f t="shared" si="96"/>
        <v>318.38876834819763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-2.2737367544323206E-13</v>
      </c>
      <c r="DP122" s="18">
        <f>DO122*VLOOKUP('Données projet'!$B$14,Paramètres!$A$1:$I$89,3,0)*VLOOKUP('Données projet'!$B$14,Paramètres!$A$1:$I$89,5,0)</f>
        <v>-1.6671037883497774E-13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263.81634201637729</v>
      </c>
      <c r="DU122" s="62">
        <f t="shared" si="98"/>
        <v>302.03767435507262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322.63846641467165</v>
      </c>
      <c r="T123" s="62">
        <f t="shared" si="88"/>
        <v>435.17386576419966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1.6928106418087496</v>
      </c>
      <c r="AB123" s="23">
        <f>EXP(-LN(2)/2)*AB122+(1-EXP(-LN(2)/2))/(LN(2)/2)*V123*Y123*VLOOKUP('Données projet'!$B$9,Paramètres!$A$1:$I$89,3,0)*0.475*44/12</f>
        <v>8.3056772992922411E-14</v>
      </c>
      <c r="AC123" s="24">
        <f t="shared" si="57"/>
        <v>1.6928106418088327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175.05987582828078</v>
      </c>
      <c r="AO123" s="62">
        <f t="shared" si="90"/>
        <v>268.54782308462387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0.74887705772761681</v>
      </c>
      <c r="AW123" s="23">
        <f>EXP(-LN(2)/2)*AW122+(1-EXP(-LN(2)/2))/(LN(2)/2)*AQ123*AT123*VLOOKUP('Données projet'!$B$10,Paramètres!$A$1:$I$89,3,0)*0.475*44/12</f>
        <v>3.5950513394846457E-13</v>
      </c>
      <c r="AX123" s="23">
        <f t="shared" si="60"/>
        <v>0.7488770577279763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-7.9808160080574461E-14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183.46485104601493</v>
      </c>
      <c r="BJ123" s="62">
        <f t="shared" si="92"/>
        <v>127.47790120677581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-3.2514435588382188E-14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228.06050741667258</v>
      </c>
      <c r="CE123" s="62">
        <f t="shared" si="94"/>
        <v>191.94885821983536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0.76126856314142877</v>
      </c>
      <c r="CM123" s="23">
        <f>EXP(-LN(2)/2)*CM122+(1-EXP(-LN(2)/2))/(LN(2)/2)*CG123*CJ123*VLOOKUP('Données projet'!$B$12,Paramètres!$A$1:$I$89,3,0)*0.475*44/12</f>
        <v>3.6549119932444605E-13</v>
      </c>
      <c r="CN123" s="24">
        <f t="shared" si="66"/>
        <v>0.76126856314179425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-3.4106051316484809E-13</v>
      </c>
      <c r="CU123" s="18">
        <f>CT123*VLOOKUP('Données projet'!$B$13,Paramètres!$A$1:$I$89,3,0)*VLOOKUP('Données projet'!$B$13,Paramètres!$A$1:$I$89,5,0)</f>
        <v>-2.7134774427395314E-13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343.37244130003143</v>
      </c>
      <c r="CZ123" s="62">
        <f t="shared" si="96"/>
        <v>318.38876834819763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-2.2737367544323206E-13</v>
      </c>
      <c r="DP123" s="18">
        <f>DO123*VLOOKUP('Données projet'!$B$14,Paramètres!$A$1:$I$89,3,0)*VLOOKUP('Données projet'!$B$14,Paramètres!$A$1:$I$89,5,0)</f>
        <v>-1.6671037883497774E-13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263.81634201637729</v>
      </c>
      <c r="DU123" s="62">
        <f t="shared" si="98"/>
        <v>302.03767435507262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322.63846641467165</v>
      </c>
      <c r="T124" s="62">
        <f t="shared" si="88"/>
        <v>435.17386576419966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1.6465206457874466</v>
      </c>
      <c r="AB124" s="23">
        <f>EXP(-LN(2)/2)*AB123+(1-EXP(-LN(2)/2))/(LN(2)/2)*V124*Y124*VLOOKUP('Données projet'!$B$9,Paramètres!$A$1:$I$89,3,0)*0.475*44/12</f>
        <v>5.8730007406767137E-14</v>
      </c>
      <c r="AC124" s="24">
        <f t="shared" si="57"/>
        <v>1.6465206457875052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175.05987582828078</v>
      </c>
      <c r="AO124" s="62">
        <f t="shared" si="90"/>
        <v>268.54782308462387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0.72839897520232222</v>
      </c>
      <c r="AW124" s="23">
        <f>EXP(-LN(2)/2)*AW123+(1-EXP(-LN(2)/2))/(LN(2)/2)*AQ124*AT124*VLOOKUP('Données projet'!$B$10,Paramètres!$A$1:$I$89,3,0)*0.475*44/12</f>
        <v>2.5420851808633739E-13</v>
      </c>
      <c r="AX124" s="23">
        <f t="shared" si="60"/>
        <v>0.72839897520257646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-7.9808160080574461E-14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183.46485104601493</v>
      </c>
      <c r="BJ124" s="62">
        <f t="shared" si="92"/>
        <v>127.47790120677581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-3.2514435588382188E-14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228.06050741667258</v>
      </c>
      <c r="CE124" s="62">
        <f t="shared" si="94"/>
        <v>191.94885821983536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0.74045163424895255</v>
      </c>
      <c r="CM124" s="23">
        <f>EXP(-LN(2)/2)*CM123+(1-EXP(-LN(2)/2))/(LN(2)/2)*CG124*CJ124*VLOOKUP('Données projet'!$B$12,Paramètres!$A$1:$I$89,3,0)*0.475*44/12</f>
        <v>2.584413055063199E-13</v>
      </c>
      <c r="CN124" s="24">
        <f t="shared" si="66"/>
        <v>0.74045163424921101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-3.4106051316484809E-13</v>
      </c>
      <c r="CU124" s="18">
        <f>CT124*VLOOKUP('Données projet'!$B$13,Paramètres!$A$1:$I$89,3,0)*VLOOKUP('Données projet'!$B$13,Paramètres!$A$1:$I$89,5,0)</f>
        <v>-2.7134774427395314E-13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343.37244130003143</v>
      </c>
      <c r="CZ124" s="62">
        <f t="shared" si="96"/>
        <v>318.38876834819763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-2.2737367544323206E-13</v>
      </c>
      <c r="DP124" s="18">
        <f>DO124*VLOOKUP('Données projet'!$B$14,Paramètres!$A$1:$I$89,3,0)*VLOOKUP('Données projet'!$B$14,Paramètres!$A$1:$I$89,5,0)</f>
        <v>-1.6671037883497774E-13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263.81634201637729</v>
      </c>
      <c r="DU124" s="62">
        <f t="shared" si="98"/>
        <v>302.03767435507262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322.63846641467165</v>
      </c>
      <c r="T125" s="62">
        <f t="shared" si="88"/>
        <v>435.17386576419966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1.6014964521416313</v>
      </c>
      <c r="AB125" s="23">
        <f>EXP(-LN(2)/2)*AB124+(1-EXP(-LN(2)/2))/(LN(2)/2)*V125*Y125*VLOOKUP('Données projet'!$B$9,Paramètres!$A$1:$I$89,3,0)*0.475*44/12</f>
        <v>4.1528386496461206E-14</v>
      </c>
      <c r="AC125" s="24">
        <f t="shared" si="57"/>
        <v>1.6014964521416728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175.05987582828078</v>
      </c>
      <c r="AO125" s="62">
        <f t="shared" si="90"/>
        <v>268.54782308462387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0.70848086692057743</v>
      </c>
      <c r="AW125" s="23">
        <f>EXP(-LN(2)/2)*AW124+(1-EXP(-LN(2)/2))/(LN(2)/2)*AQ125*AT125*VLOOKUP('Données projet'!$B$10,Paramètres!$A$1:$I$89,3,0)*0.475*44/12</f>
        <v>1.7975256697423228E-13</v>
      </c>
      <c r="AX125" s="23">
        <f t="shared" si="60"/>
        <v>0.70848086692075718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-7.9808160080574461E-14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183.46485104601493</v>
      </c>
      <c r="BJ125" s="62">
        <f t="shared" si="92"/>
        <v>127.47790120677581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-3.2514435588382188E-14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228.06050741667258</v>
      </c>
      <c r="CE125" s="62">
        <f t="shared" si="94"/>
        <v>191.94885821983536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0.7202039453717558</v>
      </c>
      <c r="CM125" s="23">
        <f>EXP(-LN(2)/2)*CM124+(1-EXP(-LN(2)/2))/(LN(2)/2)*CG125*CJ125*VLOOKUP('Données projet'!$B$12,Paramètres!$A$1:$I$89,3,0)*0.475*44/12</f>
        <v>1.8274559966222303E-13</v>
      </c>
      <c r="CN125" s="24">
        <f t="shared" si="66"/>
        <v>0.72020394537193855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-3.4106051316484809E-13</v>
      </c>
      <c r="CU125" s="18">
        <f>CT125*VLOOKUP('Données projet'!$B$13,Paramètres!$A$1:$I$89,3,0)*VLOOKUP('Données projet'!$B$13,Paramètres!$A$1:$I$89,5,0)</f>
        <v>-2.7134774427395314E-13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343.37244130003143</v>
      </c>
      <c r="CZ125" s="62">
        <f t="shared" si="96"/>
        <v>318.38876834819763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-2.2737367544323206E-13</v>
      </c>
      <c r="DP125" s="18">
        <f>DO125*VLOOKUP('Données projet'!$B$14,Paramètres!$A$1:$I$89,3,0)*VLOOKUP('Données projet'!$B$14,Paramètres!$A$1:$I$89,5,0)</f>
        <v>-1.6671037883497774E-13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263.81634201637729</v>
      </c>
      <c r="DU125" s="62">
        <f t="shared" si="98"/>
        <v>302.03767435507262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322.63846641467165</v>
      </c>
      <c r="T126" s="62">
        <f t="shared" si="88"/>
        <v>435.17386576419966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1.5577034474387803</v>
      </c>
      <c r="AB126" s="23">
        <f>EXP(-LN(2)/2)*AB125+(1-EXP(-LN(2)/2))/(LN(2)/2)*V126*Y126*VLOOKUP('Données projet'!$B$9,Paramètres!$A$1:$I$89,3,0)*0.475*44/12</f>
        <v>2.9365003703383569E-14</v>
      </c>
      <c r="AC126" s="24">
        <f t="shared" si="57"/>
        <v>1.5577034474388096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175.05987582828078</v>
      </c>
      <c r="AO126" s="62">
        <f t="shared" si="90"/>
        <v>268.54782308462387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0.6891074203572447</v>
      </c>
      <c r="AW126" s="23">
        <f>EXP(-LN(2)/2)*AW125+(1-EXP(-LN(2)/2))/(LN(2)/2)*AQ126*AT126*VLOOKUP('Données projet'!$B$10,Paramètres!$A$1:$I$89,3,0)*0.475*44/12</f>
        <v>1.271042590431687E-13</v>
      </c>
      <c r="AX126" s="23">
        <f t="shared" si="60"/>
        <v>0.68910742035737182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-7.9808160080574461E-14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183.46485104601493</v>
      </c>
      <c r="BJ126" s="62">
        <f t="shared" si="92"/>
        <v>127.47790120677581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-3.2514435588382188E-14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228.06050741667258</v>
      </c>
      <c r="CE126" s="62">
        <f t="shared" si="94"/>
        <v>191.94885821983536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0.70050993061168565</v>
      </c>
      <c r="CM126" s="23">
        <f>EXP(-LN(2)/2)*CM125+(1-EXP(-LN(2)/2))/(LN(2)/2)*CG126*CJ126*VLOOKUP('Données projet'!$B$12,Paramètres!$A$1:$I$89,3,0)*0.475*44/12</f>
        <v>1.2922065275315995E-13</v>
      </c>
      <c r="CN126" s="24">
        <f t="shared" si="66"/>
        <v>0.70050993061181488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-3.4106051316484809E-13</v>
      </c>
      <c r="CU126" s="18">
        <f>CT126*VLOOKUP('Données projet'!$B$13,Paramètres!$A$1:$I$89,3,0)*VLOOKUP('Données projet'!$B$13,Paramètres!$A$1:$I$89,5,0)</f>
        <v>-2.7134774427395314E-13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343.37244130003143</v>
      </c>
      <c r="CZ126" s="62">
        <f t="shared" si="96"/>
        <v>318.38876834819763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-2.2737367544323206E-13</v>
      </c>
      <c r="DP126" s="18">
        <f>DO126*VLOOKUP('Données projet'!$B$14,Paramètres!$A$1:$I$89,3,0)*VLOOKUP('Données projet'!$B$14,Paramètres!$A$1:$I$89,5,0)</f>
        <v>-1.6671037883497774E-13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263.81634201637729</v>
      </c>
      <c r="DU126" s="62">
        <f t="shared" si="98"/>
        <v>302.03767435507262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322.63846641467165</v>
      </c>
      <c r="T127" s="62">
        <f t="shared" si="88"/>
        <v>435.17386576419966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1.5151079647525028</v>
      </c>
      <c r="AB127" s="23">
        <f>EXP(-LN(2)/2)*AB126+(1-EXP(-LN(2)/2))/(LN(2)/2)*V127*Y127*VLOOKUP('Données projet'!$B$9,Paramètres!$A$1:$I$89,3,0)*0.475*44/12</f>
        <v>2.0764193248230603E-14</v>
      </c>
      <c r="AC127" s="24">
        <f t="shared" si="57"/>
        <v>1.5151079647525236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175.05987582828078</v>
      </c>
      <c r="AO127" s="62">
        <f t="shared" si="90"/>
        <v>268.54782308462387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0.67026374170899161</v>
      </c>
      <c r="AW127" s="23">
        <f>EXP(-LN(2)/2)*AW126+(1-EXP(-LN(2)/2))/(LN(2)/2)*AQ127*AT127*VLOOKUP('Données projet'!$B$10,Paramètres!$A$1:$I$89,3,0)*0.475*44/12</f>
        <v>8.9876283487116142E-14</v>
      </c>
      <c r="AX127" s="23">
        <f t="shared" si="60"/>
        <v>0.67026374170908154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-7.9808160080574461E-14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183.46485104601493</v>
      </c>
      <c r="BJ127" s="62">
        <f t="shared" si="92"/>
        <v>127.47790120677581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-3.2514435588382188E-14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228.06050741667258</v>
      </c>
      <c r="CE127" s="62">
        <f t="shared" si="94"/>
        <v>191.94885821983536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0.68135444972089287</v>
      </c>
      <c r="CM127" s="23">
        <f>EXP(-LN(2)/2)*CM126+(1-EXP(-LN(2)/2))/(LN(2)/2)*CG127*CJ127*VLOOKUP('Données projet'!$B$12,Paramètres!$A$1:$I$89,3,0)*0.475*44/12</f>
        <v>9.1372799831111513E-14</v>
      </c>
      <c r="CN127" s="24">
        <f t="shared" si="66"/>
        <v>0.68135444972098425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-3.4106051316484809E-13</v>
      </c>
      <c r="CU127" s="18">
        <f>CT127*VLOOKUP('Données projet'!$B$13,Paramètres!$A$1:$I$89,3,0)*VLOOKUP('Données projet'!$B$13,Paramètres!$A$1:$I$89,5,0)</f>
        <v>-2.7134774427395314E-13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343.37244130003143</v>
      </c>
      <c r="CZ127" s="62">
        <f t="shared" si="96"/>
        <v>318.38876834819763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-2.2737367544323206E-13</v>
      </c>
      <c r="DP127" s="18">
        <f>DO127*VLOOKUP('Données projet'!$B$14,Paramètres!$A$1:$I$89,3,0)*VLOOKUP('Données projet'!$B$14,Paramètres!$A$1:$I$89,5,0)</f>
        <v>-1.6671037883497774E-13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263.81634201637729</v>
      </c>
      <c r="DU127" s="62">
        <f t="shared" si="98"/>
        <v>302.03767435507262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322.63846641467165</v>
      </c>
      <c r="T128" s="62">
        <f t="shared" si="88"/>
        <v>435.17386576419966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1.4736772577802806</v>
      </c>
      <c r="AB128" s="23">
        <f>EXP(-LN(2)/2)*AB127+(1-EXP(-LN(2)/2))/(LN(2)/2)*V128*Y128*VLOOKUP('Données projet'!$B$9,Paramètres!$A$1:$I$89,3,0)*0.475*44/12</f>
        <v>1.4682501851691784E-14</v>
      </c>
      <c r="AC128" s="24">
        <f t="shared" si="57"/>
        <v>1.4736772577802952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175.05987582828078</v>
      </c>
      <c r="AO128" s="62">
        <f t="shared" si="90"/>
        <v>268.54782308462387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0.651935344444321</v>
      </c>
      <c r="AW128" s="23">
        <f>EXP(-LN(2)/2)*AW127+(1-EXP(-LN(2)/2))/(LN(2)/2)*AQ128*AT128*VLOOKUP('Données projet'!$B$10,Paramètres!$A$1:$I$89,3,0)*0.475*44/12</f>
        <v>6.3552129521584348E-14</v>
      </c>
      <c r="AX128" s="23">
        <f t="shared" si="60"/>
        <v>0.6519353444443845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-7.9808160080574461E-14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183.46485104601493</v>
      </c>
      <c r="BJ128" s="62">
        <f t="shared" si="92"/>
        <v>127.47790120677581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-3.2514435588382188E-14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228.06050741667258</v>
      </c>
      <c r="CE128" s="62">
        <f t="shared" si="94"/>
        <v>191.94885821983536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0.66272277646240185</v>
      </c>
      <c r="CM128" s="23">
        <f>EXP(-LN(2)/2)*CM127+(1-EXP(-LN(2)/2))/(LN(2)/2)*CG128*CJ128*VLOOKUP('Données projet'!$B$12,Paramètres!$A$1:$I$89,3,0)*0.475*44/12</f>
        <v>6.4610326376579975E-14</v>
      </c>
      <c r="CN128" s="24">
        <f t="shared" si="66"/>
        <v>0.66272277646246647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-3.4106051316484809E-13</v>
      </c>
      <c r="CU128" s="18">
        <f>CT128*VLOOKUP('Données projet'!$B$13,Paramètres!$A$1:$I$89,3,0)*VLOOKUP('Données projet'!$B$13,Paramètres!$A$1:$I$89,5,0)</f>
        <v>-2.7134774427395314E-13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343.37244130003143</v>
      </c>
      <c r="CZ128" s="62">
        <f t="shared" si="96"/>
        <v>318.38876834819763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-2.2737367544323206E-13</v>
      </c>
      <c r="DP128" s="18">
        <f>DO128*VLOOKUP('Données projet'!$B$14,Paramètres!$A$1:$I$89,3,0)*VLOOKUP('Données projet'!$B$14,Paramètres!$A$1:$I$89,5,0)</f>
        <v>-1.6671037883497774E-13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263.81634201637729</v>
      </c>
      <c r="DU128" s="62">
        <f t="shared" si="98"/>
        <v>302.03767435507262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322.63846641467165</v>
      </c>
      <c r="T129" s="62">
        <f t="shared" si="88"/>
        <v>435.17386576419966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1.43337947566896</v>
      </c>
      <c r="AB129" s="23">
        <f>EXP(-LN(2)/2)*AB128+(1-EXP(-LN(2)/2))/(LN(2)/2)*V129*Y129*VLOOKUP('Données projet'!$B$9,Paramètres!$A$1:$I$89,3,0)*0.475*44/12</f>
        <v>1.0382096624115301E-14</v>
      </c>
      <c r="AC129" s="24">
        <f t="shared" si="57"/>
        <v>1.4333794756689704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175.05987582828078</v>
      </c>
      <c r="AO129" s="62">
        <f t="shared" si="90"/>
        <v>268.54782308462387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0.63410813816670131</v>
      </c>
      <c r="AW129" s="23">
        <f>EXP(-LN(2)/2)*AW128+(1-EXP(-LN(2)/2))/(LN(2)/2)*AQ129*AT129*VLOOKUP('Données projet'!$B$10,Paramètres!$A$1:$I$89,3,0)*0.475*44/12</f>
        <v>4.4938141743558071E-14</v>
      </c>
      <c r="AX129" s="23">
        <f t="shared" si="60"/>
        <v>0.63410813816674627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-7.9808160080574461E-14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183.46485104601493</v>
      </c>
      <c r="BJ129" s="62">
        <f t="shared" si="92"/>
        <v>127.47790120677581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-3.2514435588382188E-14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228.06050741667258</v>
      </c>
      <c r="CE129" s="62">
        <f t="shared" si="94"/>
        <v>191.94885821983536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0.6446005872889613</v>
      </c>
      <c r="CM129" s="23">
        <f>EXP(-LN(2)/2)*CM128+(1-EXP(-LN(2)/2))/(LN(2)/2)*CG129*CJ129*VLOOKUP('Données projet'!$B$12,Paramètres!$A$1:$I$89,3,0)*0.475*44/12</f>
        <v>4.5686399915555757E-14</v>
      </c>
      <c r="CN129" s="24">
        <f t="shared" si="66"/>
        <v>0.64460058728900704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-3.4106051316484809E-13</v>
      </c>
      <c r="CU129" s="18">
        <f>CT129*VLOOKUP('Données projet'!$B$13,Paramètres!$A$1:$I$89,3,0)*VLOOKUP('Données projet'!$B$13,Paramètres!$A$1:$I$89,5,0)</f>
        <v>-2.7134774427395314E-13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343.37244130003143</v>
      </c>
      <c r="CZ129" s="62">
        <f t="shared" si="96"/>
        <v>318.38876834819763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-2.2737367544323206E-13</v>
      </c>
      <c r="DP129" s="18">
        <f>DO129*VLOOKUP('Données projet'!$B$14,Paramètres!$A$1:$I$89,3,0)*VLOOKUP('Données projet'!$B$14,Paramètres!$A$1:$I$89,5,0)</f>
        <v>-1.6671037883497774E-13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263.81634201637729</v>
      </c>
      <c r="DU129" s="62">
        <f t="shared" si="98"/>
        <v>302.03767435507262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322.63846641467165</v>
      </c>
      <c r="T130" s="62">
        <f t="shared" si="88"/>
        <v>435.17386576419966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1.3941836385286417</v>
      </c>
      <c r="AB130" s="23">
        <f>EXP(-LN(2)/2)*AB129+(1-EXP(-LN(2)/2))/(LN(2)/2)*V130*Y130*VLOOKUP('Données projet'!$B$9,Paramètres!$A$1:$I$89,3,0)*0.475*44/12</f>
        <v>7.3412509258458922E-15</v>
      </c>
      <c r="AC130" s="24">
        <f t="shared" si="57"/>
        <v>1.394183638528649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175.05987582828078</v>
      </c>
      <c r="AO130" s="62">
        <f t="shared" si="90"/>
        <v>268.54782308462387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0.61676841778223512</v>
      </c>
      <c r="AW130" s="23">
        <f>EXP(-LN(2)/2)*AW129+(1-EXP(-LN(2)/2))/(LN(2)/2)*AQ130*AT130*VLOOKUP('Données projet'!$B$10,Paramètres!$A$1:$I$89,3,0)*0.475*44/12</f>
        <v>3.1776064760792174E-14</v>
      </c>
      <c r="AX130" s="23">
        <f t="shared" si="60"/>
        <v>0.61676841778226688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-7.9808160080574461E-14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183.46485104601493</v>
      </c>
      <c r="BJ130" s="62">
        <f t="shared" si="92"/>
        <v>127.47790120677581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-3.2514435588382188E-14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228.06050741667258</v>
      </c>
      <c r="CE130" s="62">
        <f t="shared" si="94"/>
        <v>191.94885821983536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0.62697395033147307</v>
      </c>
      <c r="CM130" s="23">
        <f>EXP(-LN(2)/2)*CM129+(1-EXP(-LN(2)/2))/(LN(2)/2)*CG130*CJ130*VLOOKUP('Données projet'!$B$12,Paramètres!$A$1:$I$89,3,0)*0.475*44/12</f>
        <v>3.2305163188289988E-14</v>
      </c>
      <c r="CN130" s="24">
        <f t="shared" si="66"/>
        <v>0.62697395033150538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-3.4106051316484809E-13</v>
      </c>
      <c r="CU130" s="18">
        <f>CT130*VLOOKUP('Données projet'!$B$13,Paramètres!$A$1:$I$89,3,0)*VLOOKUP('Données projet'!$B$13,Paramètres!$A$1:$I$89,5,0)</f>
        <v>-2.7134774427395314E-13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343.37244130003143</v>
      </c>
      <c r="CZ130" s="62">
        <f t="shared" si="96"/>
        <v>318.38876834819763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-2.2737367544323206E-13</v>
      </c>
      <c r="DP130" s="18">
        <f>DO130*VLOOKUP('Données projet'!$B$14,Paramètres!$A$1:$I$89,3,0)*VLOOKUP('Données projet'!$B$14,Paramètres!$A$1:$I$89,5,0)</f>
        <v>-1.6671037883497774E-13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263.81634201637729</v>
      </c>
      <c r="DU130" s="62">
        <f t="shared" si="98"/>
        <v>302.03767435507262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322.63846641467165</v>
      </c>
      <c r="T131" s="62">
        <f t="shared" si="88"/>
        <v>435.17386576419966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1.3560596136161449</v>
      </c>
      <c r="AB131" s="23">
        <f>EXP(-LN(2)/2)*AB130+(1-EXP(-LN(2)/2))/(LN(2)/2)*V131*Y131*VLOOKUP('Données projet'!$B$9,Paramètres!$A$1:$I$89,3,0)*0.475*44/12</f>
        <v>5.1910483120576507E-15</v>
      </c>
      <c r="AC131" s="24">
        <f t="shared" si="57"/>
        <v>1.35605961361615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175.05987582828078</v>
      </c>
      <c r="AO131" s="62">
        <f t="shared" si="90"/>
        <v>268.54782308462387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0.5999028529635384</v>
      </c>
      <c r="AW131" s="23">
        <f>EXP(-LN(2)/2)*AW130+(1-EXP(-LN(2)/2))/(LN(2)/2)*AQ131*AT131*VLOOKUP('Données projet'!$B$10,Paramètres!$A$1:$I$89,3,0)*0.475*44/12</f>
        <v>2.2469070871779035E-14</v>
      </c>
      <c r="AX131" s="23">
        <f t="shared" si="60"/>
        <v>0.59990285296356083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-7.9808160080574461E-14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183.46485104601493</v>
      </c>
      <c r="BJ131" s="62">
        <f t="shared" si="92"/>
        <v>127.47790120677581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-3.2514435588382188E-14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228.06050741667258</v>
      </c>
      <c r="CE131" s="62">
        <f t="shared" si="94"/>
        <v>191.94885821983536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0.60982931468853185</v>
      </c>
      <c r="CM131" s="23">
        <f>EXP(-LN(2)/2)*CM130+(1-EXP(-LN(2)/2))/(LN(2)/2)*CG131*CJ131*VLOOKUP('Données projet'!$B$12,Paramètres!$A$1:$I$89,3,0)*0.475*44/12</f>
        <v>2.2843199957777878E-14</v>
      </c>
      <c r="CN131" s="24">
        <f t="shared" si="66"/>
        <v>0.60982931468855472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-3.4106051316484809E-13</v>
      </c>
      <c r="CU131" s="18">
        <f>CT131*VLOOKUP('Données projet'!$B$13,Paramètres!$A$1:$I$89,3,0)*VLOOKUP('Données projet'!$B$13,Paramètres!$A$1:$I$89,5,0)</f>
        <v>-2.7134774427395314E-13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343.37244130003143</v>
      </c>
      <c r="CZ131" s="62">
        <f t="shared" si="96"/>
        <v>318.38876834819763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-2.2737367544323206E-13</v>
      </c>
      <c r="DP131" s="18">
        <f>DO131*VLOOKUP('Données projet'!$B$14,Paramètres!$A$1:$I$89,3,0)*VLOOKUP('Données projet'!$B$14,Paramètres!$A$1:$I$89,5,0)</f>
        <v>-1.6671037883497774E-13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263.81634201637729</v>
      </c>
      <c r="DU131" s="62">
        <f t="shared" si="98"/>
        <v>302.03767435507262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322.63846641467165</v>
      </c>
      <c r="T132" s="62">
        <f t="shared" si="88"/>
        <v>435.17386576419966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1.3189780921697356</v>
      </c>
      <c r="AB132" s="23">
        <f>EXP(-LN(2)/2)*AB131+(1-EXP(-LN(2)/2))/(LN(2)/2)*V132*Y132*VLOOKUP('Données projet'!$B$9,Paramètres!$A$1:$I$89,3,0)*0.475*44/12</f>
        <v>3.6706254629229461E-15</v>
      </c>
      <c r="AC132" s="24">
        <f t="shared" ref="AC132:AC153" si="111">SUM(Z132:AB132)</f>
        <v>1.3189780921697394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175.05987582828078</v>
      </c>
      <c r="AO132" s="62">
        <f t="shared" si="90"/>
        <v>268.54782308462387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0.58349847790173048</v>
      </c>
      <c r="AW132" s="23">
        <f>EXP(-LN(2)/2)*AW131+(1-EXP(-LN(2)/2))/(LN(2)/2)*AQ132*AT132*VLOOKUP('Données projet'!$B$10,Paramètres!$A$1:$I$89,3,0)*0.475*44/12</f>
        <v>1.5888032380396087E-14</v>
      </c>
      <c r="AX132" s="23">
        <f t="shared" ref="AX132:AX153" si="114">SUM(AU132:AW132)</f>
        <v>0.58349847790174636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-7.9808160080574461E-14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183.46485104601493</v>
      </c>
      <c r="BJ132" s="62">
        <f t="shared" si="92"/>
        <v>127.47790120677581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-3.2514435588382188E-14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228.06050741667258</v>
      </c>
      <c r="CE132" s="62">
        <f t="shared" si="94"/>
        <v>191.94885821983536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0.59315350000884404</v>
      </c>
      <c r="CM132" s="23">
        <f>EXP(-LN(2)/2)*CM131+(1-EXP(-LN(2)/2))/(LN(2)/2)*CG132*CJ132*VLOOKUP('Données projet'!$B$12,Paramètres!$A$1:$I$89,3,0)*0.475*44/12</f>
        <v>1.6152581594144994E-14</v>
      </c>
      <c r="CN132" s="24">
        <f t="shared" ref="CN132:CN153" si="120">SUM(CK132:CM132)</f>
        <v>0.59315350000886014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-3.4106051316484809E-13</v>
      </c>
      <c r="CU132" s="18">
        <f>CT132*VLOOKUP('Données projet'!$B$13,Paramètres!$A$1:$I$89,3,0)*VLOOKUP('Données projet'!$B$13,Paramètres!$A$1:$I$89,5,0)</f>
        <v>-2.7134774427395314E-13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343.37244130003143</v>
      </c>
      <c r="CZ132" s="62">
        <f t="shared" si="96"/>
        <v>318.38876834819763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-2.2737367544323206E-13</v>
      </c>
      <c r="DP132" s="18">
        <f>DO132*VLOOKUP('Données projet'!$B$14,Paramètres!$A$1:$I$89,3,0)*VLOOKUP('Données projet'!$B$14,Paramètres!$A$1:$I$89,5,0)</f>
        <v>-1.6671037883497774E-13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263.81634201637729</v>
      </c>
      <c r="DU132" s="62">
        <f t="shared" si="98"/>
        <v>302.03767435507262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322.63846641467165</v>
      </c>
      <c r="T133" s="62">
        <f t="shared" ref="T133:T196" si="142">$T$3</f>
        <v>435.17386576419966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1.2829105668773109</v>
      </c>
      <c r="AB133" s="23">
        <f>EXP(-LN(2)/2)*AB132+(1-EXP(-LN(2)/2))/(LN(2)/2)*V133*Y133*VLOOKUP('Données projet'!$B$9,Paramètres!$A$1:$I$89,3,0)*0.475*44/12</f>
        <v>2.5955241560288254E-15</v>
      </c>
      <c r="AC133" s="24">
        <f t="shared" si="111"/>
        <v>1.2829105668773135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175.05987582828078</v>
      </c>
      <c r="AO133" s="62">
        <f t="shared" ref="AO133:AO196" si="144">$AO$3</f>
        <v>268.54782308462387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0.56754268133865626</v>
      </c>
      <c r="AW133" s="23">
        <f>EXP(-LN(2)/2)*AW132+(1-EXP(-LN(2)/2))/(LN(2)/2)*AQ133*AT133*VLOOKUP('Données projet'!$B$10,Paramètres!$A$1:$I$89,3,0)*0.475*44/12</f>
        <v>1.1234535435889518E-14</v>
      </c>
      <c r="AX133" s="23">
        <f t="shared" si="114"/>
        <v>0.56754268133866748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-7.9808160080574461E-14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183.46485104601493</v>
      </c>
      <c r="BJ133" s="62">
        <f t="shared" ref="BJ133:BJ196" si="146">$BJ$3</f>
        <v>127.47790120677581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-3.2514435588382188E-14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228.06050741667258</v>
      </c>
      <c r="CE133" s="62">
        <f t="shared" ref="CE133:CE196" si="148">$CE$3</f>
        <v>191.94885821983536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0.57693368635851527</v>
      </c>
      <c r="CM133" s="23">
        <f>EXP(-LN(2)/2)*CM132+(1-EXP(-LN(2)/2))/(LN(2)/2)*CG133*CJ133*VLOOKUP('Données projet'!$B$12,Paramètres!$A$1:$I$89,3,0)*0.475*44/12</f>
        <v>1.1421599978888939E-14</v>
      </c>
      <c r="CN133" s="24">
        <f t="shared" si="120"/>
        <v>0.57693368635852671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-3.4106051316484809E-13</v>
      </c>
      <c r="CU133" s="18">
        <f>CT133*VLOOKUP('Données projet'!$B$13,Paramètres!$A$1:$I$89,3,0)*VLOOKUP('Données projet'!$B$13,Paramètres!$A$1:$I$89,5,0)</f>
        <v>-2.7134774427395314E-13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343.37244130003143</v>
      </c>
      <c r="CZ133" s="62">
        <f t="shared" ref="CZ133:CZ196" si="150">$CZ$3</f>
        <v>318.38876834819763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-2.2737367544323206E-13</v>
      </c>
      <c r="DP133" s="18">
        <f>DO133*VLOOKUP('Données projet'!$B$14,Paramètres!$A$1:$I$89,3,0)*VLOOKUP('Données projet'!$B$14,Paramètres!$A$1:$I$89,5,0)</f>
        <v>-1.6671037883497774E-13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263.81634201637729</v>
      </c>
      <c r="DU133" s="62">
        <f t="shared" ref="DU133:DU196" si="152">$DU$3</f>
        <v>302.03767435507262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322.63846641467165</v>
      </c>
      <c r="T134" s="62">
        <f t="shared" si="142"/>
        <v>435.17386576419966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1.2478293099607163</v>
      </c>
      <c r="AB134" s="23">
        <f>EXP(-LN(2)/2)*AB133+(1-EXP(-LN(2)/2))/(LN(2)/2)*V134*Y134*VLOOKUP('Données projet'!$B$9,Paramètres!$A$1:$I$89,3,0)*0.475*44/12</f>
        <v>1.835312731461473E-15</v>
      </c>
      <c r="AC134" s="24">
        <f t="shared" si="111"/>
        <v>1.2478293099607181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175.05987582828078</v>
      </c>
      <c r="AO134" s="62">
        <f t="shared" si="144"/>
        <v>268.54782308462387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0.55202319687167822</v>
      </c>
      <c r="AW134" s="23">
        <f>EXP(-LN(2)/2)*AW133+(1-EXP(-LN(2)/2))/(LN(2)/2)*AQ134*AT134*VLOOKUP('Données projet'!$B$10,Paramètres!$A$1:$I$89,3,0)*0.475*44/12</f>
        <v>7.9440161901980435E-15</v>
      </c>
      <c r="AX134" s="23">
        <f t="shared" si="114"/>
        <v>0.55202319687168622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-7.9808160080574461E-14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183.46485104601493</v>
      </c>
      <c r="BJ134" s="62">
        <f t="shared" si="146"/>
        <v>127.47790120677581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-3.2514435588382188E-14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228.06050741667258</v>
      </c>
      <c r="CE134" s="62">
        <f t="shared" si="148"/>
        <v>191.94885821983536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0.56115740436541772</v>
      </c>
      <c r="CM134" s="23">
        <f>EXP(-LN(2)/2)*CM133+(1-EXP(-LN(2)/2))/(LN(2)/2)*CG134*CJ134*VLOOKUP('Données projet'!$B$12,Paramètres!$A$1:$I$89,3,0)*0.475*44/12</f>
        <v>8.0762907970724969E-15</v>
      </c>
      <c r="CN134" s="24">
        <f t="shared" si="120"/>
        <v>0.56115740436542583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-3.4106051316484809E-13</v>
      </c>
      <c r="CU134" s="18">
        <f>CT134*VLOOKUP('Données projet'!$B$13,Paramètres!$A$1:$I$89,3,0)*VLOOKUP('Données projet'!$B$13,Paramètres!$A$1:$I$89,5,0)</f>
        <v>-2.7134774427395314E-13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343.37244130003143</v>
      </c>
      <c r="CZ134" s="62">
        <f t="shared" si="150"/>
        <v>318.38876834819763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-2.2737367544323206E-13</v>
      </c>
      <c r="DP134" s="18">
        <f>DO134*VLOOKUP('Données projet'!$B$14,Paramètres!$A$1:$I$89,3,0)*VLOOKUP('Données projet'!$B$14,Paramètres!$A$1:$I$89,5,0)</f>
        <v>-1.6671037883497774E-13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263.81634201637729</v>
      </c>
      <c r="DU134" s="62">
        <f t="shared" si="152"/>
        <v>302.03767435507262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322.63846641467165</v>
      </c>
      <c r="T135" s="62">
        <f t="shared" si="142"/>
        <v>435.17386576419966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1.2137073518593491</v>
      </c>
      <c r="AB135" s="23">
        <f>EXP(-LN(2)/2)*AB134+(1-EXP(-LN(2)/2))/(LN(2)/2)*V135*Y135*VLOOKUP('Données projet'!$B$9,Paramètres!$A$1:$I$89,3,0)*0.475*44/12</f>
        <v>1.2977620780144127E-15</v>
      </c>
      <c r="AC135" s="24">
        <f t="shared" si="111"/>
        <v>1.2137073518593504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175.05987582828078</v>
      </c>
      <c r="AO135" s="62">
        <f t="shared" si="144"/>
        <v>268.54782308462387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0.53692809352358395</v>
      </c>
      <c r="AW135" s="23">
        <f>EXP(-LN(2)/2)*AW134+(1-EXP(-LN(2)/2))/(LN(2)/2)*AQ135*AT135*VLOOKUP('Données projet'!$B$10,Paramètres!$A$1:$I$89,3,0)*0.475*44/12</f>
        <v>5.6172677179447589E-15</v>
      </c>
      <c r="AX135" s="23">
        <f t="shared" si="114"/>
        <v>0.53692809352358961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-7.9808160080574461E-14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183.46485104601493</v>
      </c>
      <c r="BJ135" s="62">
        <f t="shared" si="146"/>
        <v>127.47790120677581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-3.2514435588382188E-14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228.06050741667258</v>
      </c>
      <c r="CE135" s="62">
        <f t="shared" si="148"/>
        <v>191.94885821983536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0.54581252563306004</v>
      </c>
      <c r="CM135" s="23">
        <f>EXP(-LN(2)/2)*CM134+(1-EXP(-LN(2)/2))/(LN(2)/2)*CG135*CJ135*VLOOKUP('Données projet'!$B$12,Paramètres!$A$1:$I$89,3,0)*0.475*44/12</f>
        <v>5.7107999894444696E-15</v>
      </c>
      <c r="CN135" s="24">
        <f t="shared" si="120"/>
        <v>0.5458125256330657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-3.4106051316484809E-13</v>
      </c>
      <c r="CU135" s="18">
        <f>CT135*VLOOKUP('Données projet'!$B$13,Paramètres!$A$1:$I$89,3,0)*VLOOKUP('Données projet'!$B$13,Paramètres!$A$1:$I$89,5,0)</f>
        <v>-2.7134774427395314E-13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343.37244130003143</v>
      </c>
      <c r="CZ135" s="62">
        <f t="shared" si="150"/>
        <v>318.38876834819763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-2.2737367544323206E-13</v>
      </c>
      <c r="DP135" s="18">
        <f>DO135*VLOOKUP('Données projet'!$B$14,Paramètres!$A$1:$I$89,3,0)*VLOOKUP('Données projet'!$B$14,Paramètres!$A$1:$I$89,5,0)</f>
        <v>-1.6671037883497774E-13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263.81634201637729</v>
      </c>
      <c r="DU135" s="62">
        <f t="shared" si="152"/>
        <v>302.03767435507262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322.63846641467165</v>
      </c>
      <c r="T136" s="62">
        <f t="shared" si="142"/>
        <v>435.17386576419966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1.1805184604966594</v>
      </c>
      <c r="AB136" s="23">
        <f>EXP(-LN(2)/2)*AB135+(1-EXP(-LN(2)/2))/(LN(2)/2)*V136*Y136*VLOOKUP('Données projet'!$B$9,Paramètres!$A$1:$I$89,3,0)*0.475*44/12</f>
        <v>9.1765636573073652E-16</v>
      </c>
      <c r="AC136" s="24">
        <f t="shared" si="111"/>
        <v>1.1805184604966603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175.05987582828078</v>
      </c>
      <c r="AO136" s="62">
        <f t="shared" si="144"/>
        <v>268.54782308462387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0.52224576657036026</v>
      </c>
      <c r="AW136" s="23">
        <f>EXP(-LN(2)/2)*AW135+(1-EXP(-LN(2)/2))/(LN(2)/2)*AQ136*AT136*VLOOKUP('Données projet'!$B$10,Paramètres!$A$1:$I$89,3,0)*0.475*44/12</f>
        <v>3.9720080950990217E-15</v>
      </c>
      <c r="AX136" s="23">
        <f t="shared" si="114"/>
        <v>0.52224576657036426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-7.9808160080574461E-14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183.46485104601493</v>
      </c>
      <c r="BJ136" s="62">
        <f t="shared" si="146"/>
        <v>127.47790120677581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-3.2514435588382188E-14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228.06050741667258</v>
      </c>
      <c r="CE136" s="62">
        <f t="shared" si="148"/>
        <v>191.94885821983536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0.53088725341659071</v>
      </c>
      <c r="CM136" s="23">
        <f>EXP(-LN(2)/2)*CM135+(1-EXP(-LN(2)/2))/(LN(2)/2)*CG136*CJ136*VLOOKUP('Données projet'!$B$12,Paramètres!$A$1:$I$89,3,0)*0.475*44/12</f>
        <v>4.0381453985362485E-15</v>
      </c>
      <c r="CN136" s="24">
        <f t="shared" si="120"/>
        <v>0.53088725341659471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-3.4106051316484809E-13</v>
      </c>
      <c r="CU136" s="18">
        <f>CT136*VLOOKUP('Données projet'!$B$13,Paramètres!$A$1:$I$89,3,0)*VLOOKUP('Données projet'!$B$13,Paramètres!$A$1:$I$89,5,0)</f>
        <v>-2.7134774427395314E-13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343.37244130003143</v>
      </c>
      <c r="CZ136" s="62">
        <f t="shared" si="150"/>
        <v>318.38876834819763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-2.2737367544323206E-13</v>
      </c>
      <c r="DP136" s="18">
        <f>DO136*VLOOKUP('Données projet'!$B$14,Paramètres!$A$1:$I$89,3,0)*VLOOKUP('Données projet'!$B$14,Paramètres!$A$1:$I$89,5,0)</f>
        <v>-1.6671037883497774E-13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263.81634201637729</v>
      </c>
      <c r="DU136" s="62">
        <f t="shared" si="152"/>
        <v>302.03767435507262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322.63846641467165</v>
      </c>
      <c r="T137" s="62">
        <f t="shared" si="142"/>
        <v>435.17386576419966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1.1482371211136106</v>
      </c>
      <c r="AB137" s="23">
        <f>EXP(-LN(2)/2)*AB136+(1-EXP(-LN(2)/2))/(LN(2)/2)*V137*Y137*VLOOKUP('Données projet'!$B$9,Paramètres!$A$1:$I$89,3,0)*0.475*44/12</f>
        <v>6.4888103900720634E-16</v>
      </c>
      <c r="AC137" s="24">
        <f t="shared" si="111"/>
        <v>1.1482371211136113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175.05987582828078</v>
      </c>
      <c r="AO137" s="62">
        <f t="shared" si="144"/>
        <v>268.54782308462387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0.50796492861978249</v>
      </c>
      <c r="AW137" s="23">
        <f>EXP(-LN(2)/2)*AW136+(1-EXP(-LN(2)/2))/(LN(2)/2)*AQ137*AT137*VLOOKUP('Données projet'!$B$10,Paramètres!$A$1:$I$89,3,0)*0.475*44/12</f>
        <v>2.8086338589723794E-15</v>
      </c>
      <c r="AX137" s="23">
        <f t="shared" si="114"/>
        <v>0.50796492861978526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-7.9808160080574461E-14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183.46485104601493</v>
      </c>
      <c r="BJ137" s="62">
        <f t="shared" si="146"/>
        <v>127.47790120677581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-3.2514435588382188E-14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228.06050741667258</v>
      </c>
      <c r="CE137" s="62">
        <f t="shared" si="148"/>
        <v>191.94885821983536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0.51637011355376672</v>
      </c>
      <c r="CM137" s="23">
        <f>EXP(-LN(2)/2)*CM136+(1-EXP(-LN(2)/2))/(LN(2)/2)*CG137*CJ137*VLOOKUP('Données projet'!$B$12,Paramètres!$A$1:$I$89,3,0)*0.475*44/12</f>
        <v>2.8553999947222348E-15</v>
      </c>
      <c r="CN137" s="24">
        <f t="shared" si="120"/>
        <v>0.51637011355376961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-3.4106051316484809E-13</v>
      </c>
      <c r="CU137" s="18">
        <f>CT137*VLOOKUP('Données projet'!$B$13,Paramètres!$A$1:$I$89,3,0)*VLOOKUP('Données projet'!$B$13,Paramètres!$A$1:$I$89,5,0)</f>
        <v>-2.7134774427395314E-13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343.37244130003143</v>
      </c>
      <c r="CZ137" s="62">
        <f t="shared" si="150"/>
        <v>318.38876834819763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-2.2737367544323206E-13</v>
      </c>
      <c r="DP137" s="18">
        <f>DO137*VLOOKUP('Données projet'!$B$14,Paramètres!$A$1:$I$89,3,0)*VLOOKUP('Données projet'!$B$14,Paramètres!$A$1:$I$89,5,0)</f>
        <v>-1.6671037883497774E-13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263.81634201637729</v>
      </c>
      <c r="DU137" s="62">
        <f t="shared" si="152"/>
        <v>302.03767435507262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322.63846641467165</v>
      </c>
      <c r="T138" s="62">
        <f t="shared" si="142"/>
        <v>435.17386576419966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1.116838516653593</v>
      </c>
      <c r="AB138" s="23">
        <f>EXP(-LN(2)/2)*AB137+(1-EXP(-LN(2)/2))/(LN(2)/2)*V138*Y138*VLOOKUP('Données projet'!$B$9,Paramètres!$A$1:$I$89,3,0)*0.475*44/12</f>
        <v>4.5882818286536826E-16</v>
      </c>
      <c r="AC138" s="24">
        <f t="shared" si="111"/>
        <v>1.1168385166535935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175.05987582828078</v>
      </c>
      <c r="AO138" s="62">
        <f t="shared" si="144"/>
        <v>268.54782308462387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0.49407460093395988</v>
      </c>
      <c r="AW138" s="23">
        <f>EXP(-LN(2)/2)*AW137+(1-EXP(-LN(2)/2))/(LN(2)/2)*AQ138*AT138*VLOOKUP('Données projet'!$B$10,Paramètres!$A$1:$I$89,3,0)*0.475*44/12</f>
        <v>1.9860040475495109E-15</v>
      </c>
      <c r="AX138" s="23">
        <f t="shared" si="114"/>
        <v>0.49407460093396188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-7.9808160080574461E-14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183.46485104601493</v>
      </c>
      <c r="BJ138" s="62">
        <f t="shared" si="146"/>
        <v>127.47790120677581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-3.2514435588382188E-14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228.06050741667258</v>
      </c>
      <c r="CE138" s="62">
        <f t="shared" si="148"/>
        <v>191.94885821983536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0.5022499456439149</v>
      </c>
      <c r="CM138" s="23">
        <f>EXP(-LN(2)/2)*CM137+(1-EXP(-LN(2)/2))/(LN(2)/2)*CG138*CJ138*VLOOKUP('Données projet'!$B$12,Paramètres!$A$1:$I$89,3,0)*0.475*44/12</f>
        <v>2.0190726992681242E-15</v>
      </c>
      <c r="CN138" s="24">
        <f t="shared" si="120"/>
        <v>0.5022499456439169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-3.4106051316484809E-13</v>
      </c>
      <c r="CU138" s="18">
        <f>CT138*VLOOKUP('Données projet'!$B$13,Paramètres!$A$1:$I$89,3,0)*VLOOKUP('Données projet'!$B$13,Paramètres!$A$1:$I$89,5,0)</f>
        <v>-2.7134774427395314E-13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343.37244130003143</v>
      </c>
      <c r="CZ138" s="62">
        <f t="shared" si="150"/>
        <v>318.38876834819763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-2.2737367544323206E-13</v>
      </c>
      <c r="DP138" s="18">
        <f>DO138*VLOOKUP('Données projet'!$B$14,Paramètres!$A$1:$I$89,3,0)*VLOOKUP('Données projet'!$B$14,Paramètres!$A$1:$I$89,5,0)</f>
        <v>-1.6671037883497774E-13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263.81634201637729</v>
      </c>
      <c r="DU138" s="62">
        <f t="shared" si="152"/>
        <v>302.03767435507262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322.63846641467165</v>
      </c>
      <c r="T139" s="62">
        <f t="shared" si="142"/>
        <v>435.17386576419966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1.0862985086837156</v>
      </c>
      <c r="AB139" s="23">
        <f>EXP(-LN(2)/2)*AB138+(1-EXP(-LN(2)/2))/(LN(2)/2)*V139*Y139*VLOOKUP('Données projet'!$B$9,Paramètres!$A$1:$I$89,3,0)*0.475*44/12</f>
        <v>3.2444051950360317E-16</v>
      </c>
      <c r="AC139" s="24">
        <f t="shared" si="111"/>
        <v>1.0862985086837158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175.05987582828078</v>
      </c>
      <c r="AO139" s="62">
        <f t="shared" si="144"/>
        <v>268.54782308462387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0.48056410498916668</v>
      </c>
      <c r="AW139" s="23">
        <f>EXP(-LN(2)/2)*AW138+(1-EXP(-LN(2)/2))/(LN(2)/2)*AQ139*AT139*VLOOKUP('Données projet'!$B$10,Paramètres!$A$1:$I$89,3,0)*0.475*44/12</f>
        <v>1.4043169294861897E-15</v>
      </c>
      <c r="AX139" s="23">
        <f t="shared" si="114"/>
        <v>0.48056410498916807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-7.9808160080574461E-14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183.46485104601493</v>
      </c>
      <c r="BJ139" s="62">
        <f t="shared" si="146"/>
        <v>127.47790120677581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-3.2514435588382188E-14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228.06050741667258</v>
      </c>
      <c r="CE139" s="62">
        <f t="shared" si="148"/>
        <v>191.94885821983536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0.48851589446810528</v>
      </c>
      <c r="CM139" s="23">
        <f>EXP(-LN(2)/2)*CM138+(1-EXP(-LN(2)/2))/(LN(2)/2)*CG139*CJ139*VLOOKUP('Données projet'!$B$12,Paramètres!$A$1:$I$89,3,0)*0.475*44/12</f>
        <v>1.4276999973611174E-15</v>
      </c>
      <c r="CN139" s="24">
        <f t="shared" si="120"/>
        <v>0.48851589446810673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-3.4106051316484809E-13</v>
      </c>
      <c r="CU139" s="18">
        <f>CT139*VLOOKUP('Données projet'!$B$13,Paramètres!$A$1:$I$89,3,0)*VLOOKUP('Données projet'!$B$13,Paramètres!$A$1:$I$89,5,0)</f>
        <v>-2.7134774427395314E-13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343.37244130003143</v>
      </c>
      <c r="CZ139" s="62">
        <f t="shared" si="150"/>
        <v>318.38876834819763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-2.2737367544323206E-13</v>
      </c>
      <c r="DP139" s="18">
        <f>DO139*VLOOKUP('Données projet'!$B$14,Paramètres!$A$1:$I$89,3,0)*VLOOKUP('Données projet'!$B$14,Paramètres!$A$1:$I$89,5,0)</f>
        <v>-1.6671037883497774E-13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263.81634201637729</v>
      </c>
      <c r="DU139" s="62">
        <f t="shared" si="152"/>
        <v>302.03767435507262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322.63846641467165</v>
      </c>
      <c r="T140" s="62">
        <f t="shared" si="142"/>
        <v>435.17386576419966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1.0565936188378036</v>
      </c>
      <c r="AB140" s="23">
        <f>EXP(-LN(2)/2)*AB139+(1-EXP(-LN(2)/2))/(LN(2)/2)*V140*Y140*VLOOKUP('Données projet'!$B$9,Paramètres!$A$1:$I$89,3,0)*0.475*44/12</f>
        <v>2.2941409143268413E-16</v>
      </c>
      <c r="AC140" s="24">
        <f t="shared" si="111"/>
        <v>1.0565936188378038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175.05987582828078</v>
      </c>
      <c r="AO140" s="62">
        <f t="shared" si="144"/>
        <v>268.54782308462387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0.46742305426646996</v>
      </c>
      <c r="AW140" s="23">
        <f>EXP(-LN(2)/2)*AW139+(1-EXP(-LN(2)/2))/(LN(2)/2)*AQ140*AT140*VLOOKUP('Données projet'!$B$10,Paramètres!$A$1:$I$89,3,0)*0.475*44/12</f>
        <v>9.9300202377475544E-16</v>
      </c>
      <c r="AX140" s="23">
        <f t="shared" si="114"/>
        <v>0.46742305426647096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-7.9808160080574461E-14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183.46485104601493</v>
      </c>
      <c r="BJ140" s="62">
        <f t="shared" si="146"/>
        <v>127.47790120677581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-3.2514435588382188E-14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228.06050741667258</v>
      </c>
      <c r="CE140" s="62">
        <f t="shared" si="148"/>
        <v>191.94885821983536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0.47515740164394055</v>
      </c>
      <c r="CM140" s="23">
        <f>EXP(-LN(2)/2)*CM139+(1-EXP(-LN(2)/2))/(LN(2)/2)*CG140*CJ140*VLOOKUP('Données projet'!$B$12,Paramètres!$A$1:$I$89,3,0)*0.475*44/12</f>
        <v>1.0095363496340621E-15</v>
      </c>
      <c r="CN140" s="24">
        <f t="shared" si="120"/>
        <v>0.47515740164394155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-3.4106051316484809E-13</v>
      </c>
      <c r="CU140" s="18">
        <f>CT140*VLOOKUP('Données projet'!$B$13,Paramètres!$A$1:$I$89,3,0)*VLOOKUP('Données projet'!$B$13,Paramètres!$A$1:$I$89,5,0)</f>
        <v>-2.7134774427395314E-13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343.37244130003143</v>
      </c>
      <c r="CZ140" s="62">
        <f t="shared" si="150"/>
        <v>318.38876834819763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-2.2737367544323206E-13</v>
      </c>
      <c r="DP140" s="18">
        <f>DO140*VLOOKUP('Données projet'!$B$14,Paramètres!$A$1:$I$89,3,0)*VLOOKUP('Données projet'!$B$14,Paramètres!$A$1:$I$89,5,0)</f>
        <v>-1.6671037883497774E-13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263.81634201637729</v>
      </c>
      <c r="DU140" s="62">
        <f t="shared" si="152"/>
        <v>302.03767435507262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322.63846641467165</v>
      </c>
      <c r="T141" s="62">
        <f t="shared" si="142"/>
        <v>435.17386576419966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1.0277010107668403</v>
      </c>
      <c r="AB141" s="23">
        <f>EXP(-LN(2)/2)*AB140+(1-EXP(-LN(2)/2))/(LN(2)/2)*V141*Y141*VLOOKUP('Données projet'!$B$9,Paramètres!$A$1:$I$89,3,0)*0.475*44/12</f>
        <v>1.6222025975180158E-16</v>
      </c>
      <c r="AC141" s="24">
        <f t="shared" si="111"/>
        <v>1.0277010107668405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175.05987582828078</v>
      </c>
      <c r="AO141" s="62">
        <f t="shared" si="144"/>
        <v>268.54782308462387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0.45464134626684322</v>
      </c>
      <c r="AW141" s="23">
        <f>EXP(-LN(2)/2)*AW140+(1-EXP(-LN(2)/2))/(LN(2)/2)*AQ141*AT141*VLOOKUP('Données projet'!$B$10,Paramètres!$A$1:$I$89,3,0)*0.475*44/12</f>
        <v>7.0215846474309486E-16</v>
      </c>
      <c r="AX141" s="23">
        <f t="shared" si="114"/>
        <v>0.45464134626684394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-7.9808160080574461E-14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183.46485104601493</v>
      </c>
      <c r="BJ141" s="62">
        <f t="shared" si="146"/>
        <v>127.47790120677581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-3.2514435588382188E-14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228.06050741667258</v>
      </c>
      <c r="CE141" s="62">
        <f t="shared" si="148"/>
        <v>191.94885821983536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0.4621641975085452</v>
      </c>
      <c r="CM141" s="23">
        <f>EXP(-LN(2)/2)*CM140+(1-EXP(-LN(2)/2))/(LN(2)/2)*CG141*CJ141*VLOOKUP('Données projet'!$B$12,Paramètres!$A$1:$I$89,3,0)*0.475*44/12</f>
        <v>7.138499986805587E-16</v>
      </c>
      <c r="CN141" s="24">
        <f t="shared" si="120"/>
        <v>0.46216419750854593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-3.4106051316484809E-13</v>
      </c>
      <c r="CU141" s="18">
        <f>CT141*VLOOKUP('Données projet'!$B$13,Paramètres!$A$1:$I$89,3,0)*VLOOKUP('Données projet'!$B$13,Paramètres!$A$1:$I$89,5,0)</f>
        <v>-2.7134774427395314E-13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343.37244130003143</v>
      </c>
      <c r="CZ141" s="62">
        <f t="shared" si="150"/>
        <v>318.38876834819763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-2.2737367544323206E-13</v>
      </c>
      <c r="DP141" s="18">
        <f>DO141*VLOOKUP('Données projet'!$B$14,Paramètres!$A$1:$I$89,3,0)*VLOOKUP('Données projet'!$B$14,Paramètres!$A$1:$I$89,5,0)</f>
        <v>-1.6671037883497774E-13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263.81634201637729</v>
      </c>
      <c r="DU141" s="62">
        <f t="shared" si="152"/>
        <v>302.03767435507262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322.63846641467165</v>
      </c>
      <c r="T142" s="62">
        <f t="shared" si="142"/>
        <v>435.17386576419966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0.99959847258297374</v>
      </c>
      <c r="AB142" s="23">
        <f>EXP(-LN(2)/2)*AB141+(1-EXP(-LN(2)/2))/(LN(2)/2)*V142*Y142*VLOOKUP('Données projet'!$B$9,Paramètres!$A$1:$I$89,3,0)*0.475*44/12</f>
        <v>1.1470704571634206E-16</v>
      </c>
      <c r="AC142" s="24">
        <f t="shared" si="111"/>
        <v>0.99959847258297385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175.05987582828078</v>
      </c>
      <c r="AO142" s="62">
        <f t="shared" si="144"/>
        <v>268.54782308462387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0.44220915474462708</v>
      </c>
      <c r="AW142" s="23">
        <f>EXP(-LN(2)/2)*AW141+(1-EXP(-LN(2)/2))/(LN(2)/2)*AQ142*AT142*VLOOKUP('Données projet'!$B$10,Paramètres!$A$1:$I$89,3,0)*0.475*44/12</f>
        <v>4.9650101188737772E-16</v>
      </c>
      <c r="AX142" s="23">
        <f t="shared" si="114"/>
        <v>0.44220915474462757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-7.9808160080574461E-14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183.46485104601493</v>
      </c>
      <c r="BJ142" s="62">
        <f t="shared" si="146"/>
        <v>127.47790120677581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-3.2514435588382188E-14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228.06050741667258</v>
      </c>
      <c r="CE142" s="62">
        <f t="shared" si="148"/>
        <v>191.94885821983536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0.44952629322351517</v>
      </c>
      <c r="CM142" s="23">
        <f>EXP(-LN(2)/2)*CM141+(1-EXP(-LN(2)/2))/(LN(2)/2)*CG142*CJ142*VLOOKUP('Données projet'!$B$12,Paramètres!$A$1:$I$89,3,0)*0.475*44/12</f>
        <v>5.0476817481703106E-16</v>
      </c>
      <c r="CN142" s="24">
        <f t="shared" si="120"/>
        <v>0.44952629322351567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-3.4106051316484809E-13</v>
      </c>
      <c r="CU142" s="18">
        <f>CT142*VLOOKUP('Données projet'!$B$13,Paramètres!$A$1:$I$89,3,0)*VLOOKUP('Données projet'!$B$13,Paramètres!$A$1:$I$89,5,0)</f>
        <v>-2.7134774427395314E-13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343.37244130003143</v>
      </c>
      <c r="CZ142" s="62">
        <f t="shared" si="150"/>
        <v>318.38876834819763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-2.2737367544323206E-13</v>
      </c>
      <c r="DP142" s="18">
        <f>DO142*VLOOKUP('Données projet'!$B$14,Paramètres!$A$1:$I$89,3,0)*VLOOKUP('Données projet'!$B$14,Paramètres!$A$1:$I$89,5,0)</f>
        <v>-1.6671037883497774E-13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263.81634201637729</v>
      </c>
      <c r="DU142" s="62">
        <f t="shared" si="152"/>
        <v>302.03767435507262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322.63846641467165</v>
      </c>
      <c r="T143" s="62">
        <f t="shared" si="142"/>
        <v>435.17386576419966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0.97226439978359325</v>
      </c>
      <c r="AB143" s="23">
        <f>EXP(-LN(2)/2)*AB142+(1-EXP(-LN(2)/2))/(LN(2)/2)*V143*Y143*VLOOKUP('Données projet'!$B$9,Paramètres!$A$1:$I$89,3,0)*0.475*44/12</f>
        <v>8.1110129875900792E-17</v>
      </c>
      <c r="AC143" s="24">
        <f t="shared" si="111"/>
        <v>0.97226439978359336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175.05987582828078</v>
      </c>
      <c r="AO143" s="62">
        <f t="shared" si="144"/>
        <v>268.54782308462387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0.4301169221533665</v>
      </c>
      <c r="AW143" s="23">
        <f>EXP(-LN(2)/2)*AW142+(1-EXP(-LN(2)/2))/(LN(2)/2)*AQ143*AT143*VLOOKUP('Données projet'!$B$10,Paramètres!$A$1:$I$89,3,0)*0.475*44/12</f>
        <v>3.5107923237154743E-16</v>
      </c>
      <c r="AX143" s="23">
        <f t="shared" si="114"/>
        <v>0.43011692215336683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-7.9808160080574461E-14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183.46485104601493</v>
      </c>
      <c r="BJ143" s="62">
        <f t="shared" si="146"/>
        <v>127.47790120677581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-3.2514435588382188E-14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228.06050741667258</v>
      </c>
      <c r="CE143" s="62">
        <f t="shared" si="148"/>
        <v>191.94885821983536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0.43723397309575779</v>
      </c>
      <c r="CM143" s="23">
        <f>EXP(-LN(2)/2)*CM142+(1-EXP(-LN(2)/2))/(LN(2)/2)*CG143*CJ143*VLOOKUP('Données projet'!$B$12,Paramètres!$A$1:$I$89,3,0)*0.475*44/12</f>
        <v>3.5692499934027935E-16</v>
      </c>
      <c r="CN143" s="24">
        <f t="shared" si="120"/>
        <v>0.43723397309575812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-3.4106051316484809E-13</v>
      </c>
      <c r="CU143" s="18">
        <f>CT143*VLOOKUP('Données projet'!$B$13,Paramètres!$A$1:$I$89,3,0)*VLOOKUP('Données projet'!$B$13,Paramètres!$A$1:$I$89,5,0)</f>
        <v>-2.7134774427395314E-13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343.37244130003143</v>
      </c>
      <c r="CZ143" s="62">
        <f t="shared" si="150"/>
        <v>318.38876834819763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-2.2737367544323206E-13</v>
      </c>
      <c r="DP143" s="18">
        <f>DO143*VLOOKUP('Données projet'!$B$14,Paramètres!$A$1:$I$89,3,0)*VLOOKUP('Données projet'!$B$14,Paramètres!$A$1:$I$89,5,0)</f>
        <v>-1.6671037883497774E-13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263.81634201637729</v>
      </c>
      <c r="DU143" s="62">
        <f t="shared" si="152"/>
        <v>302.03767435507262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322.63846641467165</v>
      </c>
      <c r="T144" s="62">
        <f t="shared" si="142"/>
        <v>435.17386576419966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0.94567777864234825</v>
      </c>
      <c r="AB144" s="23">
        <f>EXP(-LN(2)/2)*AB143+(1-EXP(-LN(2)/2))/(LN(2)/2)*V144*Y144*VLOOKUP('Données projet'!$B$9,Paramètres!$A$1:$I$89,3,0)*0.475*44/12</f>
        <v>5.7353522858171032E-17</v>
      </c>
      <c r="AC144" s="24">
        <f t="shared" si="111"/>
        <v>0.94567777864234837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175.05987582828078</v>
      </c>
      <c r="AO144" s="62">
        <f t="shared" si="144"/>
        <v>268.54782308462387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0.4183553522982168</v>
      </c>
      <c r="AW144" s="23">
        <f>EXP(-LN(2)/2)*AW143+(1-EXP(-LN(2)/2))/(LN(2)/2)*AQ144*AT144*VLOOKUP('Données projet'!$B$10,Paramètres!$A$1:$I$89,3,0)*0.475*44/12</f>
        <v>2.4825050594368886E-16</v>
      </c>
      <c r="AX144" s="23">
        <f t="shared" si="114"/>
        <v>0.41835535229821702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-7.9808160080574461E-14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183.46485104601493</v>
      </c>
      <c r="BJ144" s="62">
        <f t="shared" si="146"/>
        <v>127.47790120677581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-3.2514435588382188E-14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228.06050741667258</v>
      </c>
      <c r="CE144" s="62">
        <f t="shared" si="148"/>
        <v>191.94885821983536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0.42527778710831898</v>
      </c>
      <c r="CM144" s="23">
        <f>EXP(-LN(2)/2)*CM143+(1-EXP(-LN(2)/2))/(LN(2)/2)*CG144*CJ144*VLOOKUP('Données projet'!$B$12,Paramètres!$A$1:$I$89,3,0)*0.475*44/12</f>
        <v>2.5238408740851553E-16</v>
      </c>
      <c r="CN144" s="24">
        <f t="shared" si="120"/>
        <v>0.42527778710831926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-3.4106051316484809E-13</v>
      </c>
      <c r="CU144" s="18">
        <f>CT144*VLOOKUP('Données projet'!$B$13,Paramètres!$A$1:$I$89,3,0)*VLOOKUP('Données projet'!$B$13,Paramètres!$A$1:$I$89,5,0)</f>
        <v>-2.7134774427395314E-13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343.37244130003143</v>
      </c>
      <c r="CZ144" s="62">
        <f t="shared" si="150"/>
        <v>318.38876834819763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-2.2737367544323206E-13</v>
      </c>
      <c r="DP144" s="18">
        <f>DO144*VLOOKUP('Données projet'!$B$14,Paramètres!$A$1:$I$89,3,0)*VLOOKUP('Données projet'!$B$14,Paramètres!$A$1:$I$89,5,0)</f>
        <v>-1.6671037883497774E-13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263.81634201637729</v>
      </c>
      <c r="DU144" s="62">
        <f t="shared" si="152"/>
        <v>302.03767435507262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322.63846641467165</v>
      </c>
      <c r="T145" s="62">
        <f t="shared" si="142"/>
        <v>435.17386576419966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0.91981817005434019</v>
      </c>
      <c r="AB145" s="23">
        <f>EXP(-LN(2)/2)*AB144+(1-EXP(-LN(2)/2))/(LN(2)/2)*V145*Y145*VLOOKUP('Données projet'!$B$9,Paramètres!$A$1:$I$89,3,0)*0.475*44/12</f>
        <v>4.0555064937950396E-17</v>
      </c>
      <c r="AC145" s="24">
        <f t="shared" si="111"/>
        <v>0.91981817005434019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175.05987582828078</v>
      </c>
      <c r="AO145" s="62">
        <f t="shared" si="144"/>
        <v>268.54782308462387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0.40691540318927022</v>
      </c>
      <c r="AW145" s="23">
        <f>EXP(-LN(2)/2)*AW144+(1-EXP(-LN(2)/2))/(LN(2)/2)*AQ145*AT145*VLOOKUP('Données projet'!$B$10,Paramètres!$A$1:$I$89,3,0)*0.475*44/12</f>
        <v>1.7553961618577371E-16</v>
      </c>
      <c r="AX145" s="23">
        <f t="shared" si="114"/>
        <v>0.40691540318927039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-7.9808160080574461E-14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183.46485104601493</v>
      </c>
      <c r="BJ145" s="62">
        <f t="shared" si="146"/>
        <v>127.47790120677581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-3.2514435588382188E-14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228.06050741667258</v>
      </c>
      <c r="CE145" s="62">
        <f t="shared" si="148"/>
        <v>191.94885821983536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0.41364854365545517</v>
      </c>
      <c r="CM145" s="23">
        <f>EXP(-LN(2)/2)*CM144+(1-EXP(-LN(2)/2))/(LN(2)/2)*CG145*CJ145*VLOOKUP('Données projet'!$B$12,Paramètres!$A$1:$I$89,3,0)*0.475*44/12</f>
        <v>1.7846249967013967E-16</v>
      </c>
      <c r="CN145" s="24">
        <f t="shared" si="120"/>
        <v>0.41364854365545534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-3.4106051316484809E-13</v>
      </c>
      <c r="CU145" s="18">
        <f>CT145*VLOOKUP('Données projet'!$B$13,Paramètres!$A$1:$I$89,3,0)*VLOOKUP('Données projet'!$B$13,Paramètres!$A$1:$I$89,5,0)</f>
        <v>-2.7134774427395314E-13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343.37244130003143</v>
      </c>
      <c r="CZ145" s="62">
        <f t="shared" si="150"/>
        <v>318.38876834819763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-2.2737367544323206E-13</v>
      </c>
      <c r="DP145" s="18">
        <f>DO145*VLOOKUP('Données projet'!$B$14,Paramètres!$A$1:$I$89,3,0)*VLOOKUP('Données projet'!$B$14,Paramètres!$A$1:$I$89,5,0)</f>
        <v>-1.6671037883497774E-13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263.81634201637729</v>
      </c>
      <c r="DU145" s="62">
        <f t="shared" si="152"/>
        <v>302.03767435507262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322.63846641467165</v>
      </c>
      <c r="T146" s="62">
        <f t="shared" si="142"/>
        <v>435.17386576419966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0.89466569382306893</v>
      </c>
      <c r="AB146" s="23">
        <f>EXP(-LN(2)/2)*AB145+(1-EXP(-LN(2)/2))/(LN(2)/2)*V146*Y146*VLOOKUP('Données projet'!$B$9,Paramètres!$A$1:$I$89,3,0)*0.475*44/12</f>
        <v>2.8676761429085516E-17</v>
      </c>
      <c r="AC146" s="24">
        <f t="shared" si="111"/>
        <v>0.89466569382306893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175.05987582828078</v>
      </c>
      <c r="AO146" s="62">
        <f t="shared" si="144"/>
        <v>268.54782308462387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0.39578828009030859</v>
      </c>
      <c r="AW146" s="23">
        <f>EXP(-LN(2)/2)*AW145+(1-EXP(-LN(2)/2))/(LN(2)/2)*AQ146*AT146*VLOOKUP('Données projet'!$B$10,Paramètres!$A$1:$I$89,3,0)*0.475*44/12</f>
        <v>1.2412525297184443E-16</v>
      </c>
      <c r="AX146" s="23">
        <f t="shared" si="114"/>
        <v>0.3957882800903087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-7.9808160080574461E-14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183.46485104601493</v>
      </c>
      <c r="BJ146" s="62">
        <f t="shared" si="146"/>
        <v>127.47790120677581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-3.2514435588382188E-14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228.06050741667258</v>
      </c>
      <c r="CE146" s="62">
        <f t="shared" si="148"/>
        <v>191.94885821983536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0.40233730247636523</v>
      </c>
      <c r="CM146" s="23">
        <f>EXP(-LN(2)/2)*CM145+(1-EXP(-LN(2)/2))/(LN(2)/2)*CG146*CJ146*VLOOKUP('Données projet'!$B$12,Paramètres!$A$1:$I$89,3,0)*0.475*44/12</f>
        <v>1.2619204370425776E-16</v>
      </c>
      <c r="CN146" s="24">
        <f t="shared" si="120"/>
        <v>0.40233730247636534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-3.4106051316484809E-13</v>
      </c>
      <c r="CU146" s="18">
        <f>CT146*VLOOKUP('Données projet'!$B$13,Paramètres!$A$1:$I$89,3,0)*VLOOKUP('Données projet'!$B$13,Paramètres!$A$1:$I$89,5,0)</f>
        <v>-2.7134774427395314E-13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343.37244130003143</v>
      </c>
      <c r="CZ146" s="62">
        <f t="shared" si="150"/>
        <v>318.38876834819763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-2.2737367544323206E-13</v>
      </c>
      <c r="DP146" s="18">
        <f>DO146*VLOOKUP('Données projet'!$B$14,Paramètres!$A$1:$I$89,3,0)*VLOOKUP('Données projet'!$B$14,Paramètres!$A$1:$I$89,5,0)</f>
        <v>-1.6671037883497774E-13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263.81634201637729</v>
      </c>
      <c r="DU146" s="62">
        <f t="shared" si="152"/>
        <v>302.03767435507262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322.63846641467165</v>
      </c>
      <c r="T147" s="62">
        <f t="shared" si="142"/>
        <v>435.17386576419966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0.87020101337705302</v>
      </c>
      <c r="AB147" s="23">
        <f>EXP(-LN(2)/2)*AB146+(1-EXP(-LN(2)/2))/(LN(2)/2)*V147*Y147*VLOOKUP('Données projet'!$B$9,Paramètres!$A$1:$I$89,3,0)*0.475*44/12</f>
        <v>2.0277532468975198E-17</v>
      </c>
      <c r="AC147" s="24">
        <f t="shared" si="111"/>
        <v>0.87020101337705302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175.05987582828078</v>
      </c>
      <c r="AO147" s="62">
        <f t="shared" si="144"/>
        <v>268.54782308462387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0.38496542875763806</v>
      </c>
      <c r="AW147" s="23">
        <f>EXP(-LN(2)/2)*AW146+(1-EXP(-LN(2)/2))/(LN(2)/2)*AQ147*AT147*VLOOKUP('Données projet'!$B$10,Paramètres!$A$1:$I$89,3,0)*0.475*44/12</f>
        <v>8.7769808092886857E-17</v>
      </c>
      <c r="AX147" s="23">
        <f t="shared" si="114"/>
        <v>0.38496542875763817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-7.9808160080574461E-14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183.46485104601493</v>
      </c>
      <c r="BJ147" s="62">
        <f t="shared" si="146"/>
        <v>127.47790120677581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-3.2514435588382188E-14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228.06050741667258</v>
      </c>
      <c r="CE147" s="62">
        <f t="shared" si="148"/>
        <v>191.94885821983536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0.39133536778214983</v>
      </c>
      <c r="CM147" s="23">
        <f>EXP(-LN(2)/2)*CM146+(1-EXP(-LN(2)/2))/(LN(2)/2)*CG147*CJ147*VLOOKUP('Données projet'!$B$12,Paramètres!$A$1:$I$89,3,0)*0.475*44/12</f>
        <v>8.9231249835069837E-17</v>
      </c>
      <c r="CN147" s="24">
        <f t="shared" si="120"/>
        <v>0.39133536778214995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-3.4106051316484809E-13</v>
      </c>
      <c r="CU147" s="18">
        <f>CT147*VLOOKUP('Données projet'!$B$13,Paramètres!$A$1:$I$89,3,0)*VLOOKUP('Données projet'!$B$13,Paramètres!$A$1:$I$89,5,0)</f>
        <v>-2.7134774427395314E-13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343.37244130003143</v>
      </c>
      <c r="CZ147" s="62">
        <f t="shared" si="150"/>
        <v>318.38876834819763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-2.2737367544323206E-13</v>
      </c>
      <c r="DP147" s="18">
        <f>DO147*VLOOKUP('Données projet'!$B$14,Paramètres!$A$1:$I$89,3,0)*VLOOKUP('Données projet'!$B$14,Paramètres!$A$1:$I$89,5,0)</f>
        <v>-1.6671037883497774E-13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263.81634201637729</v>
      </c>
      <c r="DU147" s="62">
        <f t="shared" si="152"/>
        <v>302.03767435507262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322.63846641467165</v>
      </c>
      <c r="T148" s="62">
        <f t="shared" si="142"/>
        <v>435.17386576419966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0.84640532090437504</v>
      </c>
      <c r="AB148" s="23">
        <f>EXP(-LN(2)/2)*AB147+(1-EXP(-LN(2)/2))/(LN(2)/2)*V148*Y148*VLOOKUP('Données projet'!$B$9,Paramètres!$A$1:$I$89,3,0)*0.475*44/12</f>
        <v>1.4338380714542758E-17</v>
      </c>
      <c r="AC148" s="24">
        <f t="shared" si="111"/>
        <v>0.84640532090437504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175.05987582828078</v>
      </c>
      <c r="AO148" s="62">
        <f t="shared" si="144"/>
        <v>268.54782308462387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0.37443852886380841</v>
      </c>
      <c r="AW148" s="23">
        <f>EXP(-LN(2)/2)*AW147+(1-EXP(-LN(2)/2))/(LN(2)/2)*AQ148*AT148*VLOOKUP('Données projet'!$B$10,Paramètres!$A$1:$I$89,3,0)*0.475*44/12</f>
        <v>6.2062626485922215E-17</v>
      </c>
      <c r="AX148" s="23">
        <f t="shared" si="114"/>
        <v>0.37443852886380846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-7.9808160080574461E-14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183.46485104601493</v>
      </c>
      <c r="BJ148" s="62">
        <f t="shared" si="146"/>
        <v>127.47790120677581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-3.2514435588382188E-14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228.06050741667258</v>
      </c>
      <c r="CE148" s="62">
        <f t="shared" si="148"/>
        <v>191.94885821983536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0.38063428157071438</v>
      </c>
      <c r="CM148" s="23">
        <f>EXP(-LN(2)/2)*CM147+(1-EXP(-LN(2)/2))/(LN(2)/2)*CG148*CJ148*VLOOKUP('Données projet'!$B$12,Paramètres!$A$1:$I$89,3,0)*0.475*44/12</f>
        <v>6.3096021852128882E-17</v>
      </c>
      <c r="CN148" s="24">
        <f t="shared" si="120"/>
        <v>0.38063428157071444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-3.4106051316484809E-13</v>
      </c>
      <c r="CU148" s="18">
        <f>CT148*VLOOKUP('Données projet'!$B$13,Paramètres!$A$1:$I$89,3,0)*VLOOKUP('Données projet'!$B$13,Paramètres!$A$1:$I$89,5,0)</f>
        <v>-2.7134774427395314E-13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343.37244130003143</v>
      </c>
      <c r="CZ148" s="62">
        <f t="shared" si="150"/>
        <v>318.38876834819763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-2.2737367544323206E-13</v>
      </c>
      <c r="DP148" s="18">
        <f>DO148*VLOOKUP('Données projet'!$B$14,Paramètres!$A$1:$I$89,3,0)*VLOOKUP('Données projet'!$B$14,Paramètres!$A$1:$I$89,5,0)</f>
        <v>-1.6671037883497774E-13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263.81634201637729</v>
      </c>
      <c r="DU148" s="62">
        <f t="shared" si="152"/>
        <v>302.03767435507262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322.63846641467165</v>
      </c>
      <c r="T149" s="62">
        <f t="shared" si="142"/>
        <v>435.17386576419966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0.82326032289372353</v>
      </c>
      <c r="AB149" s="23">
        <f>EXP(-LN(2)/2)*AB148+(1-EXP(-LN(2)/2))/(LN(2)/2)*V149*Y149*VLOOKUP('Données projet'!$B$9,Paramètres!$A$1:$I$89,3,0)*0.475*44/12</f>
        <v>1.0138766234487599E-17</v>
      </c>
      <c r="AC149" s="24">
        <f t="shared" si="111"/>
        <v>0.82326032289372353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175.05987582828078</v>
      </c>
      <c r="AO149" s="62">
        <f t="shared" si="144"/>
        <v>268.54782308462387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0.36419948760116111</v>
      </c>
      <c r="AW149" s="23">
        <f>EXP(-LN(2)/2)*AW148+(1-EXP(-LN(2)/2))/(LN(2)/2)*AQ149*AT149*VLOOKUP('Données projet'!$B$10,Paramètres!$A$1:$I$89,3,0)*0.475*44/12</f>
        <v>4.3884904046443429E-17</v>
      </c>
      <c r="AX149" s="23">
        <f t="shared" si="114"/>
        <v>0.36419948760116116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-7.9808160080574461E-14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183.46485104601493</v>
      </c>
      <c r="BJ149" s="62">
        <f t="shared" si="146"/>
        <v>127.47790120677581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-3.2514435588382188E-14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228.06050741667258</v>
      </c>
      <c r="CE149" s="62">
        <f t="shared" si="148"/>
        <v>191.94885821983536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0.37022581712447628</v>
      </c>
      <c r="CM149" s="23">
        <f>EXP(-LN(2)/2)*CM148+(1-EXP(-LN(2)/2))/(LN(2)/2)*CG149*CJ149*VLOOKUP('Données projet'!$B$12,Paramètres!$A$1:$I$89,3,0)*0.475*44/12</f>
        <v>4.4615624917534919E-17</v>
      </c>
      <c r="CN149" s="24">
        <f t="shared" si="120"/>
        <v>0.37022581712447633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-3.4106051316484809E-13</v>
      </c>
      <c r="CU149" s="18">
        <f>CT149*VLOOKUP('Données projet'!$B$13,Paramètres!$A$1:$I$89,3,0)*VLOOKUP('Données projet'!$B$13,Paramètres!$A$1:$I$89,5,0)</f>
        <v>-2.7134774427395314E-13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343.37244130003143</v>
      </c>
      <c r="CZ149" s="62">
        <f t="shared" si="150"/>
        <v>318.38876834819763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-2.2737367544323206E-13</v>
      </c>
      <c r="DP149" s="18">
        <f>DO149*VLOOKUP('Données projet'!$B$14,Paramètres!$A$1:$I$89,3,0)*VLOOKUP('Données projet'!$B$14,Paramètres!$A$1:$I$89,5,0)</f>
        <v>-1.6671037883497774E-13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263.81634201637729</v>
      </c>
      <c r="DU149" s="62">
        <f t="shared" si="152"/>
        <v>302.03767435507262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322.63846641467165</v>
      </c>
      <c r="T150" s="62">
        <f t="shared" si="142"/>
        <v>435.17386576419966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0.80074822607081586</v>
      </c>
      <c r="AB150" s="23">
        <f>EXP(-LN(2)/2)*AB149+(1-EXP(-LN(2)/2))/(LN(2)/2)*V150*Y150*VLOOKUP('Données projet'!$B$9,Paramètres!$A$1:$I$89,3,0)*0.475*44/12</f>
        <v>7.1691903572713791E-18</v>
      </c>
      <c r="AC150" s="24">
        <f t="shared" si="111"/>
        <v>0.80074822607081586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175.05987582828078</v>
      </c>
      <c r="AO150" s="62">
        <f t="shared" si="144"/>
        <v>268.54782308462387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0.35424043346028872</v>
      </c>
      <c r="AW150" s="23">
        <f>EXP(-LN(2)/2)*AW149+(1-EXP(-LN(2)/2))/(LN(2)/2)*AQ150*AT150*VLOOKUP('Données projet'!$B$10,Paramètres!$A$1:$I$89,3,0)*0.475*44/12</f>
        <v>3.1031313242961107E-17</v>
      </c>
      <c r="AX150" s="23">
        <f t="shared" si="114"/>
        <v>0.35424043346028877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-7.9808160080574461E-14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183.46485104601493</v>
      </c>
      <c r="BJ150" s="62">
        <f t="shared" si="146"/>
        <v>127.47790120677581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-3.2514435588382188E-14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228.06050741667258</v>
      </c>
      <c r="CE150" s="62">
        <f t="shared" si="148"/>
        <v>191.94885821983536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0.3601019726858779</v>
      </c>
      <c r="CM150" s="23">
        <f>EXP(-LN(2)/2)*CM149+(1-EXP(-LN(2)/2))/(LN(2)/2)*CG150*CJ150*VLOOKUP('Données projet'!$B$12,Paramètres!$A$1:$I$89,3,0)*0.475*44/12</f>
        <v>3.1548010926064441E-17</v>
      </c>
      <c r="CN150" s="24">
        <f t="shared" si="120"/>
        <v>0.36010197268587796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-3.4106051316484809E-13</v>
      </c>
      <c r="CU150" s="18">
        <f>CT150*VLOOKUP('Données projet'!$B$13,Paramètres!$A$1:$I$89,3,0)*VLOOKUP('Données projet'!$B$13,Paramètres!$A$1:$I$89,5,0)</f>
        <v>-2.7134774427395314E-13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343.37244130003143</v>
      </c>
      <c r="CZ150" s="62">
        <f t="shared" si="150"/>
        <v>318.38876834819763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-2.2737367544323206E-13</v>
      </c>
      <c r="DP150" s="18">
        <f>DO150*VLOOKUP('Données projet'!$B$14,Paramètres!$A$1:$I$89,3,0)*VLOOKUP('Données projet'!$B$14,Paramètres!$A$1:$I$89,5,0)</f>
        <v>-1.6671037883497774E-13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263.81634201637729</v>
      </c>
      <c r="DU150" s="62">
        <f t="shared" si="152"/>
        <v>302.03767435507262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322.63846641467165</v>
      </c>
      <c r="T151" s="62">
        <f t="shared" si="142"/>
        <v>435.17386576419966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0.77885172371939038</v>
      </c>
      <c r="AB151" s="23">
        <f>EXP(-LN(2)/2)*AB150+(1-EXP(-LN(2)/2))/(LN(2)/2)*V151*Y151*VLOOKUP('Données projet'!$B$9,Paramètres!$A$1:$I$89,3,0)*0.475*44/12</f>
        <v>5.0693831172437995E-18</v>
      </c>
      <c r="AC151" s="24">
        <f t="shared" si="111"/>
        <v>0.77885172371939038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175.05987582828078</v>
      </c>
      <c r="AO151" s="62">
        <f t="shared" si="144"/>
        <v>268.54782308462387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0.34455371017862235</v>
      </c>
      <c r="AW151" s="23">
        <f>EXP(-LN(2)/2)*AW150+(1-EXP(-LN(2)/2))/(LN(2)/2)*AQ151*AT151*VLOOKUP('Données projet'!$B$10,Paramètres!$A$1:$I$89,3,0)*0.475*44/12</f>
        <v>2.1942452023221714E-17</v>
      </c>
      <c r="AX151" s="23">
        <f t="shared" si="114"/>
        <v>0.34455371017862235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-7.9808160080574461E-14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183.46485104601493</v>
      </c>
      <c r="BJ151" s="62">
        <f t="shared" si="146"/>
        <v>127.47790120677581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-3.2514435588382188E-14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228.06050741667258</v>
      </c>
      <c r="CE151" s="62">
        <f t="shared" si="148"/>
        <v>191.94885821983536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0.35025496530584282</v>
      </c>
      <c r="CM151" s="23">
        <f>EXP(-LN(2)/2)*CM150+(1-EXP(-LN(2)/2))/(LN(2)/2)*CG151*CJ151*VLOOKUP('Données projet'!$B$12,Paramètres!$A$1:$I$89,3,0)*0.475*44/12</f>
        <v>2.2307812458767459E-17</v>
      </c>
      <c r="CN151" s="24">
        <f t="shared" si="120"/>
        <v>0.35025496530584282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-3.4106051316484809E-13</v>
      </c>
      <c r="CU151" s="18">
        <f>CT151*VLOOKUP('Données projet'!$B$13,Paramètres!$A$1:$I$89,3,0)*VLOOKUP('Données projet'!$B$13,Paramètres!$A$1:$I$89,5,0)</f>
        <v>-2.7134774427395314E-13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343.37244130003143</v>
      </c>
      <c r="CZ151" s="62">
        <f t="shared" si="150"/>
        <v>318.38876834819763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-2.2737367544323206E-13</v>
      </c>
      <c r="DP151" s="18">
        <f>DO151*VLOOKUP('Données projet'!$B$14,Paramètres!$A$1:$I$89,3,0)*VLOOKUP('Données projet'!$B$14,Paramètres!$A$1:$I$89,5,0)</f>
        <v>-1.6671037883497774E-13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263.81634201637729</v>
      </c>
      <c r="DU151" s="62">
        <f t="shared" si="152"/>
        <v>302.03767435507262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322.63846641467165</v>
      </c>
      <c r="T152" s="62">
        <f t="shared" si="142"/>
        <v>435.17386576419966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0.7575539823762516</v>
      </c>
      <c r="AB152" s="23">
        <f>EXP(-LN(2)/2)*AB151+(1-EXP(-LN(2)/2))/(LN(2)/2)*V152*Y152*VLOOKUP('Données projet'!$B$9,Paramètres!$A$1:$I$89,3,0)*0.475*44/12</f>
        <v>3.5845951786356895E-18</v>
      </c>
      <c r="AC152" s="24">
        <f t="shared" si="111"/>
        <v>0.7575539823762516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175.05987582828078</v>
      </c>
      <c r="AO152" s="62">
        <f t="shared" si="144"/>
        <v>268.54782308462387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0.33513187085449581</v>
      </c>
      <c r="AW152" s="23">
        <f>EXP(-LN(2)/2)*AW151+(1-EXP(-LN(2)/2))/(LN(2)/2)*AQ152*AT152*VLOOKUP('Données projet'!$B$10,Paramètres!$A$1:$I$89,3,0)*0.475*44/12</f>
        <v>1.5515656621480554E-17</v>
      </c>
      <c r="AX152" s="23">
        <f t="shared" si="114"/>
        <v>0.33513187085449581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-7.9808160080574461E-14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183.46485104601493</v>
      </c>
      <c r="BJ152" s="62">
        <f t="shared" si="146"/>
        <v>127.47790120677581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-3.2514435588382188E-14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228.06050741667258</v>
      </c>
      <c r="CE152" s="62">
        <f t="shared" si="148"/>
        <v>191.94885821983536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0.34067722486044644</v>
      </c>
      <c r="CM152" s="23">
        <f>EXP(-LN(2)/2)*CM151+(1-EXP(-LN(2)/2))/(LN(2)/2)*CG152*CJ152*VLOOKUP('Données projet'!$B$12,Paramètres!$A$1:$I$89,3,0)*0.475*44/12</f>
        <v>1.5774005463032221E-17</v>
      </c>
      <c r="CN152" s="24">
        <f t="shared" si="120"/>
        <v>0.34067722486044644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-3.4106051316484809E-13</v>
      </c>
      <c r="CU152" s="18">
        <f>CT152*VLOOKUP('Données projet'!$B$13,Paramètres!$A$1:$I$89,3,0)*VLOOKUP('Données projet'!$B$13,Paramètres!$A$1:$I$89,5,0)</f>
        <v>-2.7134774427395314E-13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343.37244130003143</v>
      </c>
      <c r="CZ152" s="62">
        <f t="shared" si="150"/>
        <v>318.38876834819763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-2.2737367544323206E-13</v>
      </c>
      <c r="DP152" s="18">
        <f>DO152*VLOOKUP('Données projet'!$B$14,Paramètres!$A$1:$I$89,3,0)*VLOOKUP('Données projet'!$B$14,Paramètres!$A$1:$I$89,5,0)</f>
        <v>-1.6671037883497774E-13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263.81634201637729</v>
      </c>
      <c r="DU152" s="62">
        <f t="shared" si="152"/>
        <v>302.03767435507262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322.63846641467165</v>
      </c>
      <c r="T153" s="62">
        <f t="shared" si="142"/>
        <v>435.17386576419966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0.73683862889014051</v>
      </c>
      <c r="AB153" s="23">
        <f>EXP(-LN(2)/2)*AB152+(1-EXP(-LN(2)/2))/(LN(2)/2)*V153*Y153*VLOOKUP('Données projet'!$B$9,Paramètres!$A$1:$I$89,3,0)*0.475*44/12</f>
        <v>2.5346915586218998E-18</v>
      </c>
      <c r="AC153" s="24">
        <f t="shared" si="111"/>
        <v>0.73683862889014051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175.05987582828078</v>
      </c>
      <c r="AO153" s="62">
        <f t="shared" si="144"/>
        <v>268.54782308462387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0.3259676722221605</v>
      </c>
      <c r="AW153" s="23">
        <f>EXP(-LN(2)/2)*AW152+(1-EXP(-LN(2)/2))/(LN(2)/2)*AQ153*AT153*VLOOKUP('Données projet'!$B$10,Paramètres!$A$1:$I$89,3,0)*0.475*44/12</f>
        <v>1.0971226011610857E-17</v>
      </c>
      <c r="AX153" s="23">
        <f t="shared" si="114"/>
        <v>0.3259676722221605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-7.9808160080574461E-14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183.46485104601493</v>
      </c>
      <c r="BJ153" s="62">
        <f t="shared" si="146"/>
        <v>127.47790120677581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-3.2514435588382188E-14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228.06050741667258</v>
      </c>
      <c r="CE153" s="62">
        <f t="shared" si="148"/>
        <v>191.94885821983536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0.33136138823120093</v>
      </c>
      <c r="CM153" s="23">
        <f>EXP(-LN(2)/2)*CM152+(1-EXP(-LN(2)/2))/(LN(2)/2)*CG153*CJ153*VLOOKUP('Données projet'!$B$12,Paramètres!$A$1:$I$89,3,0)*0.475*44/12</f>
        <v>1.115390622938373E-17</v>
      </c>
      <c r="CN153" s="24">
        <f t="shared" si="120"/>
        <v>0.33136138823120093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-3.4106051316484809E-13</v>
      </c>
      <c r="CU153" s="18">
        <f>CT153*VLOOKUP('Données projet'!$B$13,Paramètres!$A$1:$I$89,3,0)*VLOOKUP('Données projet'!$B$13,Paramètres!$A$1:$I$89,5,0)</f>
        <v>-2.7134774427395314E-13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343.37244130003143</v>
      </c>
      <c r="CZ153" s="62">
        <f t="shared" si="150"/>
        <v>318.38876834819763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-2.2737367544323206E-13</v>
      </c>
      <c r="DP153" s="18">
        <f>DO153*VLOOKUP('Données projet'!$B$14,Paramètres!$A$1:$I$89,3,0)*VLOOKUP('Données projet'!$B$14,Paramètres!$A$1:$I$89,5,0)</f>
        <v>-1.6671037883497774E-13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263.81634201637729</v>
      </c>
      <c r="DU153" s="62">
        <f t="shared" si="152"/>
        <v>302.03767435507262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322.63846641467165</v>
      </c>
      <c r="T154" s="62">
        <f t="shared" si="142"/>
        <v>435.17386576419966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0.7166897378344802</v>
      </c>
      <c r="AB154" s="23">
        <f>EXP(-LN(2)/2)*AB153+(1-EXP(-LN(2)/2))/(LN(2)/2)*V154*Y154*VLOOKUP('Données projet'!$B$9,Paramètres!$A$1:$I$89,3,0)*0.475*44/12</f>
        <v>1.7922975893178448E-18</v>
      </c>
      <c r="AC154" s="24">
        <f t="shared" ref="AC154:AC203" si="163">SUM(Z154:AB154)</f>
        <v>0.7166897378344802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175.05987582828078</v>
      </c>
      <c r="AO154" s="62">
        <f t="shared" si="144"/>
        <v>268.54782308462387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0.31705406908335065</v>
      </c>
      <c r="AW154" s="23">
        <f>EXP(-LN(2)/2)*AW153+(1-EXP(-LN(2)/2))/(LN(2)/2)*AQ154*AT154*VLOOKUP('Données projet'!$B$10,Paramètres!$A$1:$I$89,3,0)*0.475*44/12</f>
        <v>7.7578283107402768E-18</v>
      </c>
      <c r="AX154" s="23">
        <f t="shared" ref="AX154:AX203" si="166">SUM(AU154:AW154)</f>
        <v>0.31705406908335065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-7.9808160080574461E-14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183.46485104601493</v>
      </c>
      <c r="BJ154" s="62">
        <f t="shared" si="146"/>
        <v>127.47790120677581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-3.2514435588382188E-14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228.06050741667258</v>
      </c>
      <c r="CE154" s="62">
        <f t="shared" si="148"/>
        <v>191.94885821983536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0.32230029364448065</v>
      </c>
      <c r="CM154" s="23">
        <f>EXP(-LN(2)/2)*CM153+(1-EXP(-LN(2)/2))/(LN(2)/2)*CG154*CJ154*VLOOKUP('Données projet'!$B$12,Paramètres!$A$1:$I$89,3,0)*0.475*44/12</f>
        <v>7.8870027315161103E-18</v>
      </c>
      <c r="CN154" s="24">
        <f t="shared" ref="CN154:CN203" si="172">SUM(CK154:CM154)</f>
        <v>0.32230029364448065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projet'!$B$13,Paramètres!$A$1:$I$89,3,0)*VLOOKUP('Données projet'!$B$13,Paramètres!$A$1:$I$89,5,0)</f>
        <v>-2.7134774427395314E-13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343.37244130003143</v>
      </c>
      <c r="CZ154" s="62">
        <f t="shared" si="150"/>
        <v>318.38876834819763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-2.2737367544323206E-13</v>
      </c>
      <c r="DP154" s="18">
        <f>DO154*VLOOKUP('Données projet'!$B$14,Paramètres!$A$1:$I$89,3,0)*VLOOKUP('Données projet'!$B$14,Paramètres!$A$1:$I$89,5,0)</f>
        <v>-1.6671037883497774E-13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263.81634201637729</v>
      </c>
      <c r="DU154" s="62">
        <f t="shared" si="152"/>
        <v>302.03767435507262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322.63846641467165</v>
      </c>
      <c r="T155" s="62">
        <f t="shared" si="142"/>
        <v>435.17386576419966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0.69709181926432107</v>
      </c>
      <c r="AB155" s="23">
        <f>EXP(-LN(2)/2)*AB154+(1-EXP(-LN(2)/2))/(LN(2)/2)*V155*Y155*VLOOKUP('Données projet'!$B$9,Paramètres!$A$1:$I$89,3,0)*0.475*44/12</f>
        <v>1.2673457793109499E-18</v>
      </c>
      <c r="AC155" s="24">
        <f t="shared" si="163"/>
        <v>0.69709181926432107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175.05987582828078</v>
      </c>
      <c r="AO155" s="62">
        <f t="shared" si="144"/>
        <v>268.54782308462387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0.30838420889111756</v>
      </c>
      <c r="AW155" s="23">
        <f>EXP(-LN(2)/2)*AW154+(1-EXP(-LN(2)/2))/(LN(2)/2)*AQ155*AT155*VLOOKUP('Données projet'!$B$10,Paramètres!$A$1:$I$89,3,0)*0.475*44/12</f>
        <v>5.4856130058054286E-18</v>
      </c>
      <c r="AX155" s="23">
        <f t="shared" si="166"/>
        <v>0.30838420889111756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-7.9808160080574461E-14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183.46485104601493</v>
      </c>
      <c r="BJ155" s="62">
        <f t="shared" si="146"/>
        <v>127.47790120677581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-3.2514435588382188E-14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228.06050741667258</v>
      </c>
      <c r="CE155" s="62">
        <f t="shared" si="148"/>
        <v>191.94885821983536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0.31348697516573654</v>
      </c>
      <c r="CM155" s="23">
        <f>EXP(-LN(2)/2)*CM154+(1-EXP(-LN(2)/2))/(LN(2)/2)*CG155*CJ155*VLOOKUP('Données projet'!$B$12,Paramètres!$A$1:$I$89,3,0)*0.475*44/12</f>
        <v>5.5769531146918648E-18</v>
      </c>
      <c r="CN155" s="24">
        <f t="shared" si="172"/>
        <v>0.31348697516573654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projet'!$B$13,Paramètres!$A$1:$I$89,3,0)*VLOOKUP('Données projet'!$B$13,Paramètres!$A$1:$I$89,5,0)</f>
        <v>-2.7134774427395314E-13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343.37244130003143</v>
      </c>
      <c r="CZ155" s="62">
        <f t="shared" si="150"/>
        <v>318.38876834819763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-2.2737367544323206E-13</v>
      </c>
      <c r="DP155" s="18">
        <f>DO155*VLOOKUP('Données projet'!$B$14,Paramètres!$A$1:$I$89,3,0)*VLOOKUP('Données projet'!$B$14,Paramètres!$A$1:$I$89,5,0)</f>
        <v>-1.6671037883497774E-13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263.81634201637729</v>
      </c>
      <c r="DU155" s="62">
        <f t="shared" si="152"/>
        <v>302.03767435507262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322.63846641467165</v>
      </c>
      <c r="T156" s="62">
        <f t="shared" si="142"/>
        <v>435.17386576419966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0.67802980680807268</v>
      </c>
      <c r="AB156" s="23">
        <f>EXP(-LN(2)/2)*AB155+(1-EXP(-LN(2)/2))/(LN(2)/2)*V156*Y156*VLOOKUP('Données projet'!$B$9,Paramètres!$A$1:$I$89,3,0)*0.475*44/12</f>
        <v>8.9614879465892238E-19</v>
      </c>
      <c r="AC156" s="24">
        <f t="shared" si="163"/>
        <v>0.67802980680807268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175.05987582828078</v>
      </c>
      <c r="AO156" s="62">
        <f t="shared" si="144"/>
        <v>268.54782308462387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0.2999514264817692</v>
      </c>
      <c r="AW156" s="23">
        <f>EXP(-LN(2)/2)*AW155+(1-EXP(-LN(2)/2))/(LN(2)/2)*AQ156*AT156*VLOOKUP('Données projet'!$B$10,Paramètres!$A$1:$I$89,3,0)*0.475*44/12</f>
        <v>3.8789141553701384E-18</v>
      </c>
      <c r="AX156" s="23">
        <f t="shared" si="166"/>
        <v>0.2999514264817692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-7.9808160080574461E-14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183.46485104601493</v>
      </c>
      <c r="BJ156" s="62">
        <f t="shared" si="146"/>
        <v>127.47790120677581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-3.2514435588382188E-14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228.06050741667258</v>
      </c>
      <c r="CE156" s="62">
        <f t="shared" si="148"/>
        <v>191.94885821983536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0.30491465734426593</v>
      </c>
      <c r="CM156" s="23">
        <f>EXP(-LN(2)/2)*CM155+(1-EXP(-LN(2)/2))/(LN(2)/2)*CG156*CJ156*VLOOKUP('Données projet'!$B$12,Paramètres!$A$1:$I$89,3,0)*0.475*44/12</f>
        <v>3.9435013657580551E-18</v>
      </c>
      <c r="CN156" s="24">
        <f t="shared" si="172"/>
        <v>0.30491465734426593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projet'!$B$13,Paramètres!$A$1:$I$89,3,0)*VLOOKUP('Données projet'!$B$13,Paramètres!$A$1:$I$89,5,0)</f>
        <v>-2.7134774427395314E-13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343.37244130003143</v>
      </c>
      <c r="CZ156" s="62">
        <f t="shared" si="150"/>
        <v>318.38876834819763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-2.2737367544323206E-13</v>
      </c>
      <c r="DP156" s="18">
        <f>DO156*VLOOKUP('Données projet'!$B$14,Paramètres!$A$1:$I$89,3,0)*VLOOKUP('Données projet'!$B$14,Paramètres!$A$1:$I$89,5,0)</f>
        <v>-1.6671037883497774E-13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263.81634201637729</v>
      </c>
      <c r="DU156" s="62">
        <f t="shared" si="152"/>
        <v>302.03767435507262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322.63846641467165</v>
      </c>
      <c r="T157" s="62">
        <f t="shared" si="142"/>
        <v>435.17386576419966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0.65948904608486802</v>
      </c>
      <c r="AB157" s="23">
        <f>EXP(-LN(2)/2)*AB156+(1-EXP(-LN(2)/2))/(LN(2)/2)*V157*Y157*VLOOKUP('Données projet'!$B$9,Paramètres!$A$1:$I$89,3,0)*0.475*44/12</f>
        <v>6.3367288965547494E-19</v>
      </c>
      <c r="AC157" s="24">
        <f t="shared" si="163"/>
        <v>0.65948904608486802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175.05987582828078</v>
      </c>
      <c r="AO157" s="62">
        <f t="shared" si="144"/>
        <v>268.54782308462387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0.29174923895086524</v>
      </c>
      <c r="AW157" s="23">
        <f>EXP(-LN(2)/2)*AW156+(1-EXP(-LN(2)/2))/(LN(2)/2)*AQ157*AT157*VLOOKUP('Données projet'!$B$10,Paramètres!$A$1:$I$89,3,0)*0.475*44/12</f>
        <v>2.7428065029027143E-18</v>
      </c>
      <c r="AX157" s="23">
        <f t="shared" si="166"/>
        <v>0.29174923895086524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-7.9808160080574461E-14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183.46485104601493</v>
      </c>
      <c r="BJ157" s="62">
        <f t="shared" si="146"/>
        <v>127.47790120677581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-3.2514435588382188E-14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228.06050741667258</v>
      </c>
      <c r="CE157" s="62">
        <f t="shared" si="148"/>
        <v>191.94885821983536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0.29657675000442202</v>
      </c>
      <c r="CM157" s="23">
        <f>EXP(-LN(2)/2)*CM156+(1-EXP(-LN(2)/2))/(LN(2)/2)*CG157*CJ157*VLOOKUP('Données projet'!$B$12,Paramètres!$A$1:$I$89,3,0)*0.475*44/12</f>
        <v>2.7884765573459324E-18</v>
      </c>
      <c r="CN157" s="24">
        <f t="shared" si="172"/>
        <v>0.29657675000442202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projet'!$B$13,Paramètres!$A$1:$I$89,3,0)*VLOOKUP('Données projet'!$B$13,Paramètres!$A$1:$I$89,5,0)</f>
        <v>-2.7134774427395314E-13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343.37244130003143</v>
      </c>
      <c r="CZ157" s="62">
        <f t="shared" si="150"/>
        <v>318.38876834819763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-2.2737367544323206E-13</v>
      </c>
      <c r="DP157" s="18">
        <f>DO157*VLOOKUP('Données projet'!$B$14,Paramètres!$A$1:$I$89,3,0)*VLOOKUP('Données projet'!$B$14,Paramètres!$A$1:$I$89,5,0)</f>
        <v>-1.6671037883497774E-13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263.81634201637729</v>
      </c>
      <c r="DU157" s="62">
        <f t="shared" si="152"/>
        <v>302.03767435507262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322.63846641467165</v>
      </c>
      <c r="T158" s="62">
        <f t="shared" si="142"/>
        <v>435.17386576419966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0.64145528343865565</v>
      </c>
      <c r="AB158" s="23">
        <f>EXP(-LN(2)/2)*AB157+(1-EXP(-LN(2)/2))/(LN(2)/2)*V158*Y158*VLOOKUP('Données projet'!$B$9,Paramètres!$A$1:$I$89,3,0)*0.475*44/12</f>
        <v>4.4807439732946119E-19</v>
      </c>
      <c r="AC158" s="24">
        <f t="shared" si="163"/>
        <v>0.64145528343865565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175.05987582828078</v>
      </c>
      <c r="AO158" s="62">
        <f t="shared" si="144"/>
        <v>268.54782308462387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0.28377134066932813</v>
      </c>
      <c r="AW158" s="23">
        <f>EXP(-LN(2)/2)*AW157+(1-EXP(-LN(2)/2))/(LN(2)/2)*AQ158*AT158*VLOOKUP('Données projet'!$B$10,Paramètres!$A$1:$I$89,3,0)*0.475*44/12</f>
        <v>1.9394570776850692E-18</v>
      </c>
      <c r="AX158" s="23">
        <f t="shared" si="166"/>
        <v>0.28377134066932813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-7.9808160080574461E-14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183.46485104601493</v>
      </c>
      <c r="BJ158" s="62">
        <f t="shared" si="146"/>
        <v>127.47790120677581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-3.2514435588382188E-14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228.06050741667258</v>
      </c>
      <c r="CE158" s="62">
        <f t="shared" si="148"/>
        <v>191.94885821983536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0.28846684317925764</v>
      </c>
      <c r="CM158" s="23">
        <f>EXP(-LN(2)/2)*CM157+(1-EXP(-LN(2)/2))/(LN(2)/2)*CG158*CJ158*VLOOKUP('Données projet'!$B$12,Paramètres!$A$1:$I$89,3,0)*0.475*44/12</f>
        <v>1.9717506828790276E-18</v>
      </c>
      <c r="CN158" s="24">
        <f t="shared" si="172"/>
        <v>0.28846684317925764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projet'!$B$13,Paramètres!$A$1:$I$89,3,0)*VLOOKUP('Données projet'!$B$13,Paramètres!$A$1:$I$89,5,0)</f>
        <v>-2.7134774427395314E-13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343.37244130003143</v>
      </c>
      <c r="CZ158" s="62">
        <f t="shared" si="150"/>
        <v>318.38876834819763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-2.2737367544323206E-13</v>
      </c>
      <c r="DP158" s="18">
        <f>DO158*VLOOKUP('Données projet'!$B$14,Paramètres!$A$1:$I$89,3,0)*VLOOKUP('Données projet'!$B$14,Paramètres!$A$1:$I$89,5,0)</f>
        <v>-1.6671037883497774E-13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263.81634201637729</v>
      </c>
      <c r="DU158" s="62">
        <f t="shared" si="152"/>
        <v>302.03767435507262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322.63846641467165</v>
      </c>
      <c r="T159" s="62">
        <f t="shared" si="142"/>
        <v>435.17386576419966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0.62391465498035836</v>
      </c>
      <c r="AB159" s="23">
        <f>EXP(-LN(2)/2)*AB158+(1-EXP(-LN(2)/2))/(LN(2)/2)*V159*Y159*VLOOKUP('Données projet'!$B$9,Paramètres!$A$1:$I$89,3,0)*0.475*44/12</f>
        <v>3.1683644482773747E-19</v>
      </c>
      <c r="AC159" s="24">
        <f t="shared" si="163"/>
        <v>0.62391465498035836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175.05987582828078</v>
      </c>
      <c r="AO159" s="62">
        <f t="shared" si="144"/>
        <v>268.54782308462387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0.27601159843583911</v>
      </c>
      <c r="AW159" s="23">
        <f>EXP(-LN(2)/2)*AW158+(1-EXP(-LN(2)/2))/(LN(2)/2)*AQ159*AT159*VLOOKUP('Données projet'!$B$10,Paramètres!$A$1:$I$89,3,0)*0.475*44/12</f>
        <v>1.3714032514513571E-18</v>
      </c>
      <c r="AX159" s="23">
        <f t="shared" si="166"/>
        <v>0.27601159843583911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-7.9808160080574461E-14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183.46485104601493</v>
      </c>
      <c r="BJ159" s="62">
        <f t="shared" si="146"/>
        <v>127.47790120677581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-3.2514435588382188E-14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228.06050741667258</v>
      </c>
      <c r="CE159" s="62">
        <f t="shared" si="148"/>
        <v>191.94885821983536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0.28057870218270886</v>
      </c>
      <c r="CM159" s="23">
        <f>EXP(-LN(2)/2)*CM158+(1-EXP(-LN(2)/2))/(LN(2)/2)*CG159*CJ159*VLOOKUP('Données projet'!$B$12,Paramètres!$A$1:$I$89,3,0)*0.475*44/12</f>
        <v>1.3942382786729662E-18</v>
      </c>
      <c r="CN159" s="24">
        <f t="shared" si="172"/>
        <v>0.28057870218270886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projet'!$B$13,Paramètres!$A$1:$I$89,3,0)*VLOOKUP('Données projet'!$B$13,Paramètres!$A$1:$I$89,5,0)</f>
        <v>-2.7134774427395314E-13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343.37244130003143</v>
      </c>
      <c r="CZ159" s="62">
        <f t="shared" si="150"/>
        <v>318.38876834819763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-2.2737367544323206E-13</v>
      </c>
      <c r="DP159" s="18">
        <f>DO159*VLOOKUP('Données projet'!$B$14,Paramètres!$A$1:$I$89,3,0)*VLOOKUP('Données projet'!$B$14,Paramètres!$A$1:$I$89,5,0)</f>
        <v>-1.6671037883497774E-13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263.81634201637729</v>
      </c>
      <c r="DU159" s="62">
        <f t="shared" si="152"/>
        <v>302.03767435507262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322.63846641467165</v>
      </c>
      <c r="T160" s="62">
        <f t="shared" si="142"/>
        <v>435.17386576419966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0.60685367592967476</v>
      </c>
      <c r="AB160" s="23">
        <f>EXP(-LN(2)/2)*AB159+(1-EXP(-LN(2)/2))/(LN(2)/2)*V160*Y160*VLOOKUP('Données projet'!$B$9,Paramètres!$A$1:$I$89,3,0)*0.475*44/12</f>
        <v>2.240371986647306E-19</v>
      </c>
      <c r="AC160" s="24">
        <f t="shared" si="163"/>
        <v>0.60685367592967476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175.05987582828078</v>
      </c>
      <c r="AO160" s="62">
        <f t="shared" si="144"/>
        <v>268.54782308462387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0.26846404676179197</v>
      </c>
      <c r="AW160" s="23">
        <f>EXP(-LN(2)/2)*AW159+(1-EXP(-LN(2)/2))/(LN(2)/2)*AQ160*AT160*VLOOKUP('Données projet'!$B$10,Paramètres!$A$1:$I$89,3,0)*0.475*44/12</f>
        <v>9.697285388425346E-19</v>
      </c>
      <c r="AX160" s="23">
        <f t="shared" si="166"/>
        <v>0.26846404676179197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-7.9808160080574461E-14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183.46485104601493</v>
      </c>
      <c r="BJ160" s="62">
        <f t="shared" si="146"/>
        <v>127.47790120677581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-3.2514435588382188E-14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228.06050741667258</v>
      </c>
      <c r="CE160" s="62">
        <f t="shared" si="148"/>
        <v>191.94885821983536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0.27290626281653002</v>
      </c>
      <c r="CM160" s="23">
        <f>EXP(-LN(2)/2)*CM159+(1-EXP(-LN(2)/2))/(LN(2)/2)*CG160*CJ160*VLOOKUP('Données projet'!$B$12,Paramètres!$A$1:$I$89,3,0)*0.475*44/12</f>
        <v>9.8587534143951379E-19</v>
      </c>
      <c r="CN160" s="24">
        <f t="shared" si="172"/>
        <v>0.27290626281653002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projet'!$B$13,Paramètres!$A$1:$I$89,3,0)*VLOOKUP('Données projet'!$B$13,Paramètres!$A$1:$I$89,5,0)</f>
        <v>-2.7134774427395314E-13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343.37244130003143</v>
      </c>
      <c r="CZ160" s="62">
        <f t="shared" si="150"/>
        <v>318.38876834819763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-2.2737367544323206E-13</v>
      </c>
      <c r="DP160" s="18">
        <f>DO160*VLOOKUP('Données projet'!$B$14,Paramètres!$A$1:$I$89,3,0)*VLOOKUP('Données projet'!$B$14,Paramètres!$A$1:$I$89,5,0)</f>
        <v>-1.6671037883497774E-13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263.81634201637729</v>
      </c>
      <c r="DU160" s="62">
        <f t="shared" si="152"/>
        <v>302.03767435507262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322.63846641467165</v>
      </c>
      <c r="T161" s="62">
        <f t="shared" si="142"/>
        <v>435.17386576419966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0.59025923024832994</v>
      </c>
      <c r="AB161" s="23">
        <f>EXP(-LN(2)/2)*AB160+(1-EXP(-LN(2)/2))/(LN(2)/2)*V161*Y161*VLOOKUP('Données projet'!$B$9,Paramètres!$A$1:$I$89,3,0)*0.475*44/12</f>
        <v>1.5841822241386873E-19</v>
      </c>
      <c r="AC161" s="24">
        <f t="shared" si="163"/>
        <v>0.59025923024832994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175.05987582828078</v>
      </c>
      <c r="AO161" s="62">
        <f t="shared" si="144"/>
        <v>268.54782308462387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0.26112288328518013</v>
      </c>
      <c r="AW161" s="23">
        <f>EXP(-LN(2)/2)*AW160+(1-EXP(-LN(2)/2))/(LN(2)/2)*AQ161*AT161*VLOOKUP('Données projet'!$B$10,Paramètres!$A$1:$I$89,3,0)*0.475*44/12</f>
        <v>6.8570162572567857E-19</v>
      </c>
      <c r="AX161" s="23">
        <f t="shared" si="166"/>
        <v>0.26112288328518013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-7.9808160080574461E-14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183.46485104601493</v>
      </c>
      <c r="BJ161" s="62">
        <f t="shared" si="146"/>
        <v>127.47790120677581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-3.2514435588382188E-14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228.06050741667258</v>
      </c>
      <c r="CE161" s="62">
        <f t="shared" si="148"/>
        <v>191.94885821983536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0.26544362670829535</v>
      </c>
      <c r="CM161" s="23">
        <f>EXP(-LN(2)/2)*CM160+(1-EXP(-LN(2)/2))/(LN(2)/2)*CG161*CJ161*VLOOKUP('Données projet'!$B$12,Paramètres!$A$1:$I$89,3,0)*0.475*44/12</f>
        <v>6.971191393364831E-19</v>
      </c>
      <c r="CN161" s="24">
        <f t="shared" si="172"/>
        <v>0.26544362670829535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projet'!$B$13,Paramètres!$A$1:$I$89,3,0)*VLOOKUP('Données projet'!$B$13,Paramètres!$A$1:$I$89,5,0)</f>
        <v>-2.7134774427395314E-13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343.37244130003143</v>
      </c>
      <c r="CZ161" s="62">
        <f t="shared" si="150"/>
        <v>318.38876834819763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-2.2737367544323206E-13</v>
      </c>
      <c r="DP161" s="18">
        <f>DO161*VLOOKUP('Données projet'!$B$14,Paramètres!$A$1:$I$89,3,0)*VLOOKUP('Données projet'!$B$14,Paramètres!$A$1:$I$89,5,0)</f>
        <v>-1.6671037883497774E-13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263.81634201637729</v>
      </c>
      <c r="DU161" s="62">
        <f t="shared" si="152"/>
        <v>302.03767435507262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322.63846641467165</v>
      </c>
      <c r="T162" s="62">
        <f t="shared" si="142"/>
        <v>435.17386576419966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0.57411856055680555</v>
      </c>
      <c r="AB162" s="23">
        <f>EXP(-LN(2)/2)*AB161+(1-EXP(-LN(2)/2))/(LN(2)/2)*V162*Y162*VLOOKUP('Données projet'!$B$9,Paramètres!$A$1:$I$89,3,0)*0.475*44/12</f>
        <v>1.120185993323653E-19</v>
      </c>
      <c r="AC162" s="24">
        <f t="shared" si="163"/>
        <v>0.57411856055680555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175.05987582828078</v>
      </c>
      <c r="AO162" s="62">
        <f t="shared" si="144"/>
        <v>268.54782308462387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0.25398246430989124</v>
      </c>
      <c r="AW162" s="23">
        <f>EXP(-LN(2)/2)*AW161+(1-EXP(-LN(2)/2))/(LN(2)/2)*AQ162*AT162*VLOOKUP('Données projet'!$B$10,Paramètres!$A$1:$I$89,3,0)*0.475*44/12</f>
        <v>4.848642694212673E-19</v>
      </c>
      <c r="AX162" s="23">
        <f t="shared" si="166"/>
        <v>0.25398246430989124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-7.9808160080574461E-14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183.46485104601493</v>
      </c>
      <c r="BJ162" s="62">
        <f t="shared" si="146"/>
        <v>127.47790120677581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-3.2514435588382188E-14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228.06050741667258</v>
      </c>
      <c r="CE162" s="62">
        <f t="shared" si="148"/>
        <v>191.94885821983536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0.25818505677688336</v>
      </c>
      <c r="CM162" s="23">
        <f>EXP(-LN(2)/2)*CM161+(1-EXP(-LN(2)/2))/(LN(2)/2)*CG162*CJ162*VLOOKUP('Données projet'!$B$12,Paramètres!$A$1:$I$89,3,0)*0.475*44/12</f>
        <v>4.9293767071975689E-19</v>
      </c>
      <c r="CN162" s="24">
        <f t="shared" si="172"/>
        <v>0.25818505677688336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projet'!$B$13,Paramètres!$A$1:$I$89,3,0)*VLOOKUP('Données projet'!$B$13,Paramètres!$A$1:$I$89,5,0)</f>
        <v>-2.7134774427395314E-13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343.37244130003143</v>
      </c>
      <c r="CZ162" s="62">
        <f t="shared" si="150"/>
        <v>318.38876834819763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-2.2737367544323206E-13</v>
      </c>
      <c r="DP162" s="18">
        <f>DO162*VLOOKUP('Données projet'!$B$14,Paramètres!$A$1:$I$89,3,0)*VLOOKUP('Données projet'!$B$14,Paramètres!$A$1:$I$89,5,0)</f>
        <v>-1.6671037883497774E-13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263.81634201637729</v>
      </c>
      <c r="DU162" s="62">
        <f t="shared" si="152"/>
        <v>302.03767435507262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322.63846641467165</v>
      </c>
      <c r="T163" s="62">
        <f t="shared" si="142"/>
        <v>435.17386576419966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0.55841925832679673</v>
      </c>
      <c r="AB163" s="23">
        <f>EXP(-LN(2)/2)*AB162+(1-EXP(-LN(2)/2))/(LN(2)/2)*V163*Y163*VLOOKUP('Données projet'!$B$9,Paramètres!$A$1:$I$89,3,0)*0.475*44/12</f>
        <v>7.9209111206934367E-20</v>
      </c>
      <c r="AC163" s="24">
        <f t="shared" si="163"/>
        <v>0.55841925832679673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175.05987582828078</v>
      </c>
      <c r="AO163" s="62">
        <f t="shared" si="144"/>
        <v>268.54782308462387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0.24703730046697994</v>
      </c>
      <c r="AW163" s="23">
        <f>EXP(-LN(2)/2)*AW162+(1-EXP(-LN(2)/2))/(LN(2)/2)*AQ163*AT163*VLOOKUP('Données projet'!$B$10,Paramètres!$A$1:$I$89,3,0)*0.475*44/12</f>
        <v>3.4285081286283929E-19</v>
      </c>
      <c r="AX163" s="23">
        <f t="shared" si="166"/>
        <v>0.24703730046697994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-7.9808160080574461E-14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183.46485104601493</v>
      </c>
      <c r="BJ163" s="62">
        <f t="shared" si="146"/>
        <v>127.47790120677581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-3.2514435588382188E-14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228.06050741667258</v>
      </c>
      <c r="CE163" s="62">
        <f t="shared" si="148"/>
        <v>191.94885821983536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0.25112497282195745</v>
      </c>
      <c r="CM163" s="23">
        <f>EXP(-LN(2)/2)*CM162+(1-EXP(-LN(2)/2))/(LN(2)/2)*CG163*CJ163*VLOOKUP('Données projet'!$B$12,Paramètres!$A$1:$I$89,3,0)*0.475*44/12</f>
        <v>3.4855956966824155E-19</v>
      </c>
      <c r="CN163" s="24">
        <f t="shared" si="172"/>
        <v>0.25112497282195745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projet'!$B$13,Paramètres!$A$1:$I$89,3,0)*VLOOKUP('Données projet'!$B$13,Paramètres!$A$1:$I$89,5,0)</f>
        <v>-2.7134774427395314E-13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343.37244130003143</v>
      </c>
      <c r="CZ163" s="62">
        <f t="shared" si="150"/>
        <v>318.38876834819763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-2.2737367544323206E-13</v>
      </c>
      <c r="DP163" s="18">
        <f>DO163*VLOOKUP('Données projet'!$B$14,Paramètres!$A$1:$I$89,3,0)*VLOOKUP('Données projet'!$B$14,Paramètres!$A$1:$I$89,5,0)</f>
        <v>-1.6671037883497774E-13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263.81634201637729</v>
      </c>
      <c r="DU163" s="62">
        <f t="shared" si="152"/>
        <v>302.03767435507262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322.63846641467165</v>
      </c>
      <c r="T164" s="62">
        <f t="shared" si="142"/>
        <v>435.17386576419966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0.54314925434185801</v>
      </c>
      <c r="AB164" s="23">
        <f>EXP(-LN(2)/2)*AB163+(1-EXP(-LN(2)/2))/(LN(2)/2)*V164*Y164*VLOOKUP('Données projet'!$B$9,Paramètres!$A$1:$I$89,3,0)*0.475*44/12</f>
        <v>5.6009299666182649E-20</v>
      </c>
      <c r="AC164" s="24">
        <f t="shared" si="163"/>
        <v>0.54314925434185801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175.05987582828078</v>
      </c>
      <c r="AO164" s="62">
        <f t="shared" si="144"/>
        <v>268.54782308462387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0.24028205249458334</v>
      </c>
      <c r="AW164" s="23">
        <f>EXP(-LN(2)/2)*AW163+(1-EXP(-LN(2)/2))/(LN(2)/2)*AQ164*AT164*VLOOKUP('Données projet'!$B$10,Paramètres!$A$1:$I$89,3,0)*0.475*44/12</f>
        <v>2.4243213471063365E-19</v>
      </c>
      <c r="AX164" s="23">
        <f t="shared" si="166"/>
        <v>0.24028205249458334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-7.9808160080574461E-14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183.46485104601493</v>
      </c>
      <c r="BJ164" s="62">
        <f t="shared" si="146"/>
        <v>127.47790120677581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-3.2514435588382188E-14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228.06050741667258</v>
      </c>
      <c r="CE164" s="62">
        <f t="shared" si="148"/>
        <v>191.94885821983536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0.24425794723405264</v>
      </c>
      <c r="CM164" s="23">
        <f>EXP(-LN(2)/2)*CM163+(1-EXP(-LN(2)/2))/(LN(2)/2)*CG164*CJ164*VLOOKUP('Données projet'!$B$12,Paramètres!$A$1:$I$89,3,0)*0.475*44/12</f>
        <v>2.4646883535987845E-19</v>
      </c>
      <c r="CN164" s="24">
        <f t="shared" si="172"/>
        <v>0.24425794723405264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projet'!$B$13,Paramètres!$A$1:$I$89,3,0)*VLOOKUP('Données projet'!$B$13,Paramètres!$A$1:$I$89,5,0)</f>
        <v>-2.7134774427395314E-13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343.37244130003143</v>
      </c>
      <c r="CZ164" s="62">
        <f t="shared" si="150"/>
        <v>318.38876834819763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-2.2737367544323206E-13</v>
      </c>
      <c r="DP164" s="18">
        <f>DO164*VLOOKUP('Données projet'!$B$14,Paramètres!$A$1:$I$89,3,0)*VLOOKUP('Données projet'!$B$14,Paramètres!$A$1:$I$89,5,0)</f>
        <v>-1.6671037883497774E-13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263.81634201637729</v>
      </c>
      <c r="DU164" s="62">
        <f t="shared" si="152"/>
        <v>302.03767435507262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322.63846641467165</v>
      </c>
      <c r="T165" s="62">
        <f t="shared" si="142"/>
        <v>435.17386576419966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0.528296809418902</v>
      </c>
      <c r="AB165" s="23">
        <f>EXP(-LN(2)/2)*AB164+(1-EXP(-LN(2)/2))/(LN(2)/2)*V165*Y165*VLOOKUP('Données projet'!$B$9,Paramètres!$A$1:$I$89,3,0)*0.475*44/12</f>
        <v>3.9604555603467184E-20</v>
      </c>
      <c r="AC165" s="24">
        <f t="shared" si="163"/>
        <v>0.528296809418902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175.05987582828078</v>
      </c>
      <c r="AO165" s="62">
        <f t="shared" si="144"/>
        <v>268.54782308462387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0.23371152713323498</v>
      </c>
      <c r="AW165" s="23">
        <f>EXP(-LN(2)/2)*AW164+(1-EXP(-LN(2)/2))/(LN(2)/2)*AQ165*AT165*VLOOKUP('Données projet'!$B$10,Paramètres!$A$1:$I$89,3,0)*0.475*44/12</f>
        <v>1.7142540643141964E-19</v>
      </c>
      <c r="AX165" s="23">
        <f t="shared" si="166"/>
        <v>0.23371152713323498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-7.9808160080574461E-14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183.46485104601493</v>
      </c>
      <c r="BJ165" s="62">
        <f t="shared" si="146"/>
        <v>127.47790120677581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-3.2514435588382188E-14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228.06050741667258</v>
      </c>
      <c r="CE165" s="62">
        <f t="shared" si="148"/>
        <v>191.94885821983536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0.23757870082197027</v>
      </c>
      <c r="CM165" s="23">
        <f>EXP(-LN(2)/2)*CM164+(1-EXP(-LN(2)/2))/(LN(2)/2)*CG165*CJ165*VLOOKUP('Données projet'!$B$12,Paramètres!$A$1:$I$89,3,0)*0.475*44/12</f>
        <v>1.7427978483412078E-19</v>
      </c>
      <c r="CN165" s="24">
        <f t="shared" si="172"/>
        <v>0.23757870082197027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projet'!$B$13,Paramètres!$A$1:$I$89,3,0)*VLOOKUP('Données projet'!$B$13,Paramètres!$A$1:$I$89,5,0)</f>
        <v>-2.7134774427395314E-13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343.37244130003143</v>
      </c>
      <c r="CZ165" s="62">
        <f t="shared" si="150"/>
        <v>318.38876834819763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-2.2737367544323206E-13</v>
      </c>
      <c r="DP165" s="18">
        <f>DO165*VLOOKUP('Données projet'!$B$14,Paramètres!$A$1:$I$89,3,0)*VLOOKUP('Données projet'!$B$14,Paramètres!$A$1:$I$89,5,0)</f>
        <v>-1.6671037883497774E-13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263.81634201637729</v>
      </c>
      <c r="DU165" s="62">
        <f t="shared" si="152"/>
        <v>302.03767435507262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322.63846641467165</v>
      </c>
      <c r="T166" s="62">
        <f t="shared" si="142"/>
        <v>435.17386576419966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0.51385050538342036</v>
      </c>
      <c r="AB166" s="23">
        <f>EXP(-LN(2)/2)*AB165+(1-EXP(-LN(2)/2))/(LN(2)/2)*V166*Y166*VLOOKUP('Données projet'!$B$9,Paramètres!$A$1:$I$89,3,0)*0.475*44/12</f>
        <v>2.8004649833091324E-20</v>
      </c>
      <c r="AC166" s="24">
        <f t="shared" si="163"/>
        <v>0.51385050538342036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175.05987582828078</v>
      </c>
      <c r="AO166" s="62">
        <f t="shared" si="144"/>
        <v>268.54782308462387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0.22732067313342161</v>
      </c>
      <c r="AW166" s="23">
        <f>EXP(-LN(2)/2)*AW165+(1-EXP(-LN(2)/2))/(LN(2)/2)*AQ166*AT166*VLOOKUP('Données projet'!$B$10,Paramètres!$A$1:$I$89,3,0)*0.475*44/12</f>
        <v>1.2121606735531683E-19</v>
      </c>
      <c r="AX166" s="23">
        <f t="shared" si="166"/>
        <v>0.22732067313342161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-7.9808160080574461E-14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183.46485104601493</v>
      </c>
      <c r="BJ166" s="62">
        <f t="shared" si="146"/>
        <v>127.47790120677581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-3.2514435588382188E-14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228.06050741667258</v>
      </c>
      <c r="CE166" s="62">
        <f t="shared" si="148"/>
        <v>191.94885821983536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0.2310820987542726</v>
      </c>
      <c r="CM166" s="23">
        <f>EXP(-LN(2)/2)*CM165+(1-EXP(-LN(2)/2))/(LN(2)/2)*CG166*CJ166*VLOOKUP('Données projet'!$B$12,Paramètres!$A$1:$I$89,3,0)*0.475*44/12</f>
        <v>1.2323441767993922E-19</v>
      </c>
      <c r="CN166" s="24">
        <f t="shared" si="172"/>
        <v>0.2310820987542726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projet'!$B$13,Paramètres!$A$1:$I$89,3,0)*VLOOKUP('Données projet'!$B$13,Paramètres!$A$1:$I$89,5,0)</f>
        <v>-2.7134774427395314E-13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343.37244130003143</v>
      </c>
      <c r="CZ166" s="62">
        <f t="shared" si="150"/>
        <v>318.38876834819763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-2.2737367544323206E-13</v>
      </c>
      <c r="DP166" s="18">
        <f>DO166*VLOOKUP('Données projet'!$B$14,Paramètres!$A$1:$I$89,3,0)*VLOOKUP('Données projet'!$B$14,Paramètres!$A$1:$I$89,5,0)</f>
        <v>-1.6671037883497774E-13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263.81634201637729</v>
      </c>
      <c r="DU166" s="62">
        <f t="shared" si="152"/>
        <v>302.03767435507262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322.63846641467165</v>
      </c>
      <c r="T167" s="62">
        <f t="shared" si="142"/>
        <v>435.17386576419966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0.49979923629148709</v>
      </c>
      <c r="AB167" s="23">
        <f>EXP(-LN(2)/2)*AB166+(1-EXP(-LN(2)/2))/(LN(2)/2)*V167*Y167*VLOOKUP('Données projet'!$B$9,Paramètres!$A$1:$I$89,3,0)*0.475*44/12</f>
        <v>1.9802277801733592E-20</v>
      </c>
      <c r="AC167" s="24">
        <f t="shared" si="163"/>
        <v>0.49979923629148709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175.05987582828078</v>
      </c>
      <c r="AO167" s="62">
        <f t="shared" si="144"/>
        <v>268.54782308462387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0.22110457737231354</v>
      </c>
      <c r="AW167" s="23">
        <f>EXP(-LN(2)/2)*AW166+(1-EXP(-LN(2)/2))/(LN(2)/2)*AQ167*AT167*VLOOKUP('Données projet'!$B$10,Paramètres!$A$1:$I$89,3,0)*0.475*44/12</f>
        <v>8.5712703215709822E-20</v>
      </c>
      <c r="AX167" s="23">
        <f t="shared" si="166"/>
        <v>0.22110457737231354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-7.9808160080574461E-14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183.46485104601493</v>
      </c>
      <c r="BJ167" s="62">
        <f t="shared" si="146"/>
        <v>127.47790120677581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-3.2514435588382188E-14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228.06050741667258</v>
      </c>
      <c r="CE167" s="62">
        <f t="shared" si="148"/>
        <v>191.94885821983536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0.22476314661175759</v>
      </c>
      <c r="CM167" s="23">
        <f>EXP(-LN(2)/2)*CM166+(1-EXP(-LN(2)/2))/(LN(2)/2)*CG167*CJ167*VLOOKUP('Données projet'!$B$12,Paramètres!$A$1:$I$89,3,0)*0.475*44/12</f>
        <v>8.7139892417060388E-20</v>
      </c>
      <c r="CN167" s="24">
        <f t="shared" si="172"/>
        <v>0.22476314661175759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projet'!$B$13,Paramètres!$A$1:$I$89,3,0)*VLOOKUP('Données projet'!$B$13,Paramètres!$A$1:$I$89,5,0)</f>
        <v>-2.7134774427395314E-13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343.37244130003143</v>
      </c>
      <c r="CZ167" s="62">
        <f t="shared" si="150"/>
        <v>318.38876834819763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-2.2737367544323206E-13</v>
      </c>
      <c r="DP167" s="18">
        <f>DO167*VLOOKUP('Données projet'!$B$14,Paramètres!$A$1:$I$89,3,0)*VLOOKUP('Données projet'!$B$14,Paramètres!$A$1:$I$89,5,0)</f>
        <v>-1.6671037883497774E-13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263.81634201637729</v>
      </c>
      <c r="DU167" s="62">
        <f t="shared" si="152"/>
        <v>302.03767435507262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322.63846641467165</v>
      </c>
      <c r="T168" s="62">
        <f t="shared" si="142"/>
        <v>435.17386576419966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0.48613219989179685</v>
      </c>
      <c r="AB168" s="23">
        <f>EXP(-LN(2)/2)*AB167+(1-EXP(-LN(2)/2))/(LN(2)/2)*V168*Y168*VLOOKUP('Données projet'!$B$9,Paramètres!$A$1:$I$89,3,0)*0.475*44/12</f>
        <v>1.4002324916545662E-20</v>
      </c>
      <c r="AC168" s="24">
        <f t="shared" si="163"/>
        <v>0.48613219989179685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175.05987582828078</v>
      </c>
      <c r="AO168" s="62">
        <f t="shared" si="144"/>
        <v>268.54782308462387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0.21505846107668325</v>
      </c>
      <c r="AW168" s="23">
        <f>EXP(-LN(2)/2)*AW167+(1-EXP(-LN(2)/2))/(LN(2)/2)*AQ168*AT168*VLOOKUP('Données projet'!$B$10,Paramètres!$A$1:$I$89,3,0)*0.475*44/12</f>
        <v>6.0608033677658413E-20</v>
      </c>
      <c r="AX168" s="23">
        <f t="shared" si="166"/>
        <v>0.21505846107668325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-7.9808160080574461E-14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183.46485104601493</v>
      </c>
      <c r="BJ168" s="62">
        <f t="shared" si="146"/>
        <v>127.47790120677581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-3.2514435588382188E-14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228.06050741667258</v>
      </c>
      <c r="CE168" s="62">
        <f t="shared" si="148"/>
        <v>191.94885821983536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0.21861698654787889</v>
      </c>
      <c r="CM168" s="23">
        <f>EXP(-LN(2)/2)*CM167+(1-EXP(-LN(2)/2))/(LN(2)/2)*CG168*CJ168*VLOOKUP('Données projet'!$B$12,Paramètres!$A$1:$I$89,3,0)*0.475*44/12</f>
        <v>6.1617208839969612E-20</v>
      </c>
      <c r="CN168" s="24">
        <f t="shared" si="172"/>
        <v>0.21861698654787889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projet'!$B$13,Paramètres!$A$1:$I$89,3,0)*VLOOKUP('Données projet'!$B$13,Paramètres!$A$1:$I$89,5,0)</f>
        <v>-2.7134774427395314E-13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343.37244130003143</v>
      </c>
      <c r="CZ168" s="62">
        <f t="shared" si="150"/>
        <v>318.38876834819763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-2.2737367544323206E-13</v>
      </c>
      <c r="DP168" s="18">
        <f>DO168*VLOOKUP('Données projet'!$B$14,Paramètres!$A$1:$I$89,3,0)*VLOOKUP('Données projet'!$B$14,Paramètres!$A$1:$I$89,5,0)</f>
        <v>-1.6671037883497774E-13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263.81634201637729</v>
      </c>
      <c r="DU168" s="62">
        <f t="shared" si="152"/>
        <v>302.03767435507262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322.63846641467165</v>
      </c>
      <c r="T169" s="62">
        <f t="shared" si="142"/>
        <v>435.17386576419966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0.47283888932117435</v>
      </c>
      <c r="AB169" s="23">
        <f>EXP(-LN(2)/2)*AB168+(1-EXP(-LN(2)/2))/(LN(2)/2)*V169*Y169*VLOOKUP('Données projet'!$B$9,Paramètres!$A$1:$I$89,3,0)*0.475*44/12</f>
        <v>9.9011389008667959E-21</v>
      </c>
      <c r="AC169" s="24">
        <f t="shared" si="163"/>
        <v>0.47283888932117435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175.05987582828078</v>
      </c>
      <c r="AO169" s="62">
        <f t="shared" si="144"/>
        <v>268.54782308462387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0.2091776761491084</v>
      </c>
      <c r="AW169" s="23">
        <f>EXP(-LN(2)/2)*AW168+(1-EXP(-LN(2)/2))/(LN(2)/2)*AQ169*AT169*VLOOKUP('Données projet'!$B$10,Paramètres!$A$1:$I$89,3,0)*0.475*44/12</f>
        <v>4.2856351607854911E-20</v>
      </c>
      <c r="AX169" s="23">
        <f t="shared" si="166"/>
        <v>0.2091776761491084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-7.9808160080574461E-14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183.46485104601493</v>
      </c>
      <c r="BJ169" s="62">
        <f t="shared" si="146"/>
        <v>127.47790120677581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-3.2514435588382188E-14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228.06050741667258</v>
      </c>
      <c r="CE169" s="62">
        <f t="shared" si="148"/>
        <v>191.94885821983536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0.21263889355415949</v>
      </c>
      <c r="CM169" s="23">
        <f>EXP(-LN(2)/2)*CM168+(1-EXP(-LN(2)/2))/(LN(2)/2)*CG169*CJ169*VLOOKUP('Données projet'!$B$12,Paramètres!$A$1:$I$89,3,0)*0.475*44/12</f>
        <v>4.3569946208530194E-20</v>
      </c>
      <c r="CN169" s="24">
        <f t="shared" si="172"/>
        <v>0.21263889355415949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projet'!$B$13,Paramètres!$A$1:$I$89,3,0)*VLOOKUP('Données projet'!$B$13,Paramètres!$A$1:$I$89,5,0)</f>
        <v>-2.7134774427395314E-13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343.37244130003143</v>
      </c>
      <c r="CZ169" s="62">
        <f t="shared" si="150"/>
        <v>318.38876834819763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-2.2737367544323206E-13</v>
      </c>
      <c r="DP169" s="18">
        <f>DO169*VLOOKUP('Données projet'!$B$14,Paramètres!$A$1:$I$89,3,0)*VLOOKUP('Données projet'!$B$14,Paramètres!$A$1:$I$89,5,0)</f>
        <v>-1.6671037883497774E-13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263.81634201637729</v>
      </c>
      <c r="DU169" s="62">
        <f t="shared" si="152"/>
        <v>302.03767435507262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322.63846641467165</v>
      </c>
      <c r="T170" s="62">
        <f t="shared" si="142"/>
        <v>435.17386576419966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0.45990908502717032</v>
      </c>
      <c r="AB170" s="23">
        <f>EXP(-LN(2)/2)*AB169+(1-EXP(-LN(2)/2))/(LN(2)/2)*V170*Y170*VLOOKUP('Données projet'!$B$9,Paramètres!$A$1:$I$89,3,0)*0.475*44/12</f>
        <v>7.0011624582728311E-21</v>
      </c>
      <c r="AC170" s="24">
        <f t="shared" si="163"/>
        <v>0.45990908502717032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175.05987582828078</v>
      </c>
      <c r="AO170" s="62">
        <f t="shared" si="144"/>
        <v>268.54782308462387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0.20345770159463511</v>
      </c>
      <c r="AW170" s="23">
        <f>EXP(-LN(2)/2)*AW169+(1-EXP(-LN(2)/2))/(LN(2)/2)*AQ170*AT170*VLOOKUP('Données projet'!$B$10,Paramètres!$A$1:$I$89,3,0)*0.475*44/12</f>
        <v>3.0304016838829206E-20</v>
      </c>
      <c r="AX170" s="23">
        <f t="shared" si="166"/>
        <v>0.20345770159463511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-7.9808160080574461E-14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183.46485104601493</v>
      </c>
      <c r="BJ170" s="62">
        <f t="shared" si="146"/>
        <v>127.47790120677581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-3.2514435588382188E-14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228.06050741667258</v>
      </c>
      <c r="CE170" s="62">
        <f t="shared" si="148"/>
        <v>191.94885821983536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0.20682427182772758</v>
      </c>
      <c r="CM170" s="23">
        <f>EXP(-LN(2)/2)*CM169+(1-EXP(-LN(2)/2))/(LN(2)/2)*CG170*CJ170*VLOOKUP('Données projet'!$B$12,Paramètres!$A$1:$I$89,3,0)*0.475*44/12</f>
        <v>3.0808604419984806E-20</v>
      </c>
      <c r="CN170" s="24">
        <f t="shared" si="172"/>
        <v>0.20682427182772758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projet'!$B$13,Paramètres!$A$1:$I$89,3,0)*VLOOKUP('Données projet'!$B$13,Paramètres!$A$1:$I$89,5,0)</f>
        <v>-2.7134774427395314E-13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343.37244130003143</v>
      </c>
      <c r="CZ170" s="62">
        <f t="shared" si="150"/>
        <v>318.38876834819763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-2.2737367544323206E-13</v>
      </c>
      <c r="DP170" s="18">
        <f>DO170*VLOOKUP('Données projet'!$B$14,Paramètres!$A$1:$I$89,3,0)*VLOOKUP('Données projet'!$B$14,Paramètres!$A$1:$I$89,5,0)</f>
        <v>-1.6671037883497774E-13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263.81634201637729</v>
      </c>
      <c r="DU170" s="62">
        <f t="shared" si="152"/>
        <v>302.03767435507262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322.63846641467165</v>
      </c>
      <c r="T171" s="62">
        <f t="shared" si="142"/>
        <v>435.17386576419966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0.44733284691153469</v>
      </c>
      <c r="AB171" s="23">
        <f>EXP(-LN(2)/2)*AB170+(1-EXP(-LN(2)/2))/(LN(2)/2)*V171*Y171*VLOOKUP('Données projet'!$B$9,Paramètres!$A$1:$I$89,3,0)*0.475*44/12</f>
        <v>4.950569450433398E-21</v>
      </c>
      <c r="AC171" s="24">
        <f t="shared" si="163"/>
        <v>0.44733284691153469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175.05987582828078</v>
      </c>
      <c r="AO171" s="62">
        <f t="shared" si="144"/>
        <v>268.54782308462387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0.19789414004515429</v>
      </c>
      <c r="AW171" s="23">
        <f>EXP(-LN(2)/2)*AW170+(1-EXP(-LN(2)/2))/(LN(2)/2)*AQ171*AT171*VLOOKUP('Données projet'!$B$10,Paramètres!$A$1:$I$89,3,0)*0.475*44/12</f>
        <v>2.1428175803927455E-20</v>
      </c>
      <c r="AX171" s="23">
        <f t="shared" si="166"/>
        <v>0.19789414004515429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-7.9808160080574461E-14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183.46485104601493</v>
      </c>
      <c r="BJ171" s="62">
        <f t="shared" si="146"/>
        <v>127.47790120677581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-3.2514435588382188E-14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228.06050741667258</v>
      </c>
      <c r="CE171" s="62">
        <f t="shared" si="148"/>
        <v>191.94885821983536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0.20116865123818262</v>
      </c>
      <c r="CM171" s="23">
        <f>EXP(-LN(2)/2)*CM170+(1-EXP(-LN(2)/2))/(LN(2)/2)*CG171*CJ171*VLOOKUP('Données projet'!$B$12,Paramètres!$A$1:$I$89,3,0)*0.475*44/12</f>
        <v>2.1784973104265097E-20</v>
      </c>
      <c r="CN171" s="24">
        <f t="shared" si="172"/>
        <v>0.20116865123818262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projet'!$B$13,Paramètres!$A$1:$I$89,3,0)*VLOOKUP('Données projet'!$B$13,Paramètres!$A$1:$I$89,5,0)</f>
        <v>-2.7134774427395314E-13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343.37244130003143</v>
      </c>
      <c r="CZ171" s="62">
        <f t="shared" si="150"/>
        <v>318.38876834819763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-2.2737367544323206E-13</v>
      </c>
      <c r="DP171" s="18">
        <f>DO171*VLOOKUP('Données projet'!$B$14,Paramètres!$A$1:$I$89,3,0)*VLOOKUP('Données projet'!$B$14,Paramètres!$A$1:$I$89,5,0)</f>
        <v>-1.6671037883497774E-13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263.81634201637729</v>
      </c>
      <c r="DU171" s="62">
        <f t="shared" si="152"/>
        <v>302.03767435507262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322.63846641467165</v>
      </c>
      <c r="T172" s="62">
        <f t="shared" si="142"/>
        <v>435.17386576419966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0.43510050668852673</v>
      </c>
      <c r="AB172" s="23">
        <f>EXP(-LN(2)/2)*AB171+(1-EXP(-LN(2)/2))/(LN(2)/2)*V172*Y172*VLOOKUP('Données projet'!$B$9,Paramètres!$A$1:$I$89,3,0)*0.475*44/12</f>
        <v>3.5005812291364156E-21</v>
      </c>
      <c r="AC172" s="24">
        <f t="shared" si="163"/>
        <v>0.43510050668852673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175.05987582828078</v>
      </c>
      <c r="AO172" s="62">
        <f t="shared" si="144"/>
        <v>268.54782308462387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0.19248271437881903</v>
      </c>
      <c r="AW172" s="23">
        <f>EXP(-LN(2)/2)*AW171+(1-EXP(-LN(2)/2))/(LN(2)/2)*AQ172*AT172*VLOOKUP('Données projet'!$B$10,Paramètres!$A$1:$I$89,3,0)*0.475*44/12</f>
        <v>1.5152008419414603E-20</v>
      </c>
      <c r="AX172" s="23">
        <f t="shared" si="166"/>
        <v>0.19248271437881903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-7.9808160080574461E-14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183.46485104601493</v>
      </c>
      <c r="BJ172" s="62">
        <f t="shared" si="146"/>
        <v>127.47790120677581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-3.2514435588382188E-14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228.06050741667258</v>
      </c>
      <c r="CE172" s="62">
        <f t="shared" si="148"/>
        <v>191.94885821983536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0.19566768389107492</v>
      </c>
      <c r="CM172" s="23">
        <f>EXP(-LN(2)/2)*CM171+(1-EXP(-LN(2)/2))/(LN(2)/2)*CG172*CJ172*VLOOKUP('Données projet'!$B$12,Paramètres!$A$1:$I$89,3,0)*0.475*44/12</f>
        <v>1.5404302209992403E-20</v>
      </c>
      <c r="CN172" s="24">
        <f t="shared" si="172"/>
        <v>0.19566768389107492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projet'!$B$13,Paramètres!$A$1:$I$89,3,0)*VLOOKUP('Données projet'!$B$13,Paramètres!$A$1:$I$89,5,0)</f>
        <v>-2.7134774427395314E-13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343.37244130003143</v>
      </c>
      <c r="CZ172" s="62">
        <f t="shared" si="150"/>
        <v>318.38876834819763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-2.2737367544323206E-13</v>
      </c>
      <c r="DP172" s="18">
        <f>DO172*VLOOKUP('Données projet'!$B$14,Paramètres!$A$1:$I$89,3,0)*VLOOKUP('Données projet'!$B$14,Paramètres!$A$1:$I$89,5,0)</f>
        <v>-1.6671037883497774E-13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263.81634201637729</v>
      </c>
      <c r="DU172" s="62">
        <f t="shared" si="152"/>
        <v>302.03767435507262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322.63846641467165</v>
      </c>
      <c r="T173" s="62">
        <f t="shared" si="142"/>
        <v>435.17386576419966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0.42320266045218774</v>
      </c>
      <c r="AB173" s="23">
        <f>EXP(-LN(2)/2)*AB172+(1-EXP(-LN(2)/2))/(LN(2)/2)*V173*Y173*VLOOKUP('Données projet'!$B$9,Paramètres!$A$1:$I$89,3,0)*0.475*44/12</f>
        <v>2.475284725216699E-21</v>
      </c>
      <c r="AC173" s="24">
        <f t="shared" si="163"/>
        <v>0.42320266045218774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175.05987582828078</v>
      </c>
      <c r="AO173" s="62">
        <f t="shared" si="144"/>
        <v>268.54782308462387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0.1872192644319042</v>
      </c>
      <c r="AW173" s="23">
        <f>EXP(-LN(2)/2)*AW172+(1-EXP(-LN(2)/2))/(LN(2)/2)*AQ173*AT173*VLOOKUP('Données projet'!$B$10,Paramètres!$A$1:$I$89,3,0)*0.475*44/12</f>
        <v>1.0714087901963728E-20</v>
      </c>
      <c r="AX173" s="23">
        <f t="shared" si="166"/>
        <v>0.1872192644319042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-7.9808160080574461E-14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183.46485104601493</v>
      </c>
      <c r="BJ173" s="62">
        <f t="shared" si="146"/>
        <v>127.47790120677581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-3.2514435588382188E-14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228.06050741667258</v>
      </c>
      <c r="CE173" s="62">
        <f t="shared" si="148"/>
        <v>191.94885821983536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0.19031714078535719</v>
      </c>
      <c r="CM173" s="23">
        <f>EXP(-LN(2)/2)*CM172+(1-EXP(-LN(2)/2))/(LN(2)/2)*CG173*CJ173*VLOOKUP('Données projet'!$B$12,Paramètres!$A$1:$I$89,3,0)*0.475*44/12</f>
        <v>1.0892486552132548E-20</v>
      </c>
      <c r="CN173" s="24">
        <f t="shared" si="172"/>
        <v>0.19031714078535719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projet'!$B$13,Paramètres!$A$1:$I$89,3,0)*VLOOKUP('Données projet'!$B$13,Paramètres!$A$1:$I$89,5,0)</f>
        <v>-2.7134774427395314E-13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343.37244130003143</v>
      </c>
      <c r="CZ173" s="62">
        <f t="shared" si="150"/>
        <v>318.38876834819763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-2.2737367544323206E-13</v>
      </c>
      <c r="DP173" s="18">
        <f>DO173*VLOOKUP('Données projet'!$B$14,Paramètres!$A$1:$I$89,3,0)*VLOOKUP('Données projet'!$B$14,Paramètres!$A$1:$I$89,5,0)</f>
        <v>-1.6671037883497774E-13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263.81634201637729</v>
      </c>
      <c r="DU173" s="62">
        <f t="shared" si="152"/>
        <v>302.03767435507262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322.63846641467165</v>
      </c>
      <c r="T174" s="62">
        <f t="shared" si="142"/>
        <v>435.17386576419966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0.41163016144686199</v>
      </c>
      <c r="AB174" s="23">
        <f>EXP(-LN(2)/2)*AB173+(1-EXP(-LN(2)/2))/(LN(2)/2)*V174*Y174*VLOOKUP('Données projet'!$B$9,Paramètres!$A$1:$I$89,3,0)*0.475*44/12</f>
        <v>1.7502906145682078E-21</v>
      </c>
      <c r="AC174" s="24">
        <f t="shared" si="163"/>
        <v>0.41163016144686199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175.05987582828078</v>
      </c>
      <c r="AO174" s="62">
        <f t="shared" si="144"/>
        <v>268.54782308462387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0.18209974380058055</v>
      </c>
      <c r="AW174" s="23">
        <f>EXP(-LN(2)/2)*AW173+(1-EXP(-LN(2)/2))/(LN(2)/2)*AQ174*AT174*VLOOKUP('Données projet'!$B$10,Paramètres!$A$1:$I$89,3,0)*0.475*44/12</f>
        <v>7.5760042097073016E-21</v>
      </c>
      <c r="AX174" s="23">
        <f t="shared" si="166"/>
        <v>0.18209974380058055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-7.9808160080574461E-14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183.46485104601493</v>
      </c>
      <c r="BJ174" s="62">
        <f t="shared" si="146"/>
        <v>127.47790120677581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-3.2514435588382188E-14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228.06050741667258</v>
      </c>
      <c r="CE174" s="62">
        <f t="shared" si="148"/>
        <v>191.94885821983536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0.18511290856223814</v>
      </c>
      <c r="CM174" s="23">
        <f>EXP(-LN(2)/2)*CM173+(1-EXP(-LN(2)/2))/(LN(2)/2)*CG174*CJ174*VLOOKUP('Données projet'!$B$12,Paramètres!$A$1:$I$89,3,0)*0.475*44/12</f>
        <v>7.7021511049962015E-21</v>
      </c>
      <c r="CN174" s="24">
        <f t="shared" si="172"/>
        <v>0.18511290856223814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projet'!$B$13,Paramètres!$A$1:$I$89,3,0)*VLOOKUP('Données projet'!$B$13,Paramètres!$A$1:$I$89,5,0)</f>
        <v>-2.7134774427395314E-13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343.37244130003143</v>
      </c>
      <c r="CZ174" s="62">
        <f t="shared" si="150"/>
        <v>318.38876834819763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-2.2737367544323206E-13</v>
      </c>
      <c r="DP174" s="18">
        <f>DO174*VLOOKUP('Données projet'!$B$14,Paramètres!$A$1:$I$89,3,0)*VLOOKUP('Données projet'!$B$14,Paramètres!$A$1:$I$89,5,0)</f>
        <v>-1.6671037883497774E-13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263.81634201637729</v>
      </c>
      <c r="DU174" s="62">
        <f t="shared" si="152"/>
        <v>302.03767435507262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322.63846641467165</v>
      </c>
      <c r="T175" s="62">
        <f t="shared" si="142"/>
        <v>435.17386576419966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0.40037411303540815</v>
      </c>
      <c r="AB175" s="23">
        <f>EXP(-LN(2)/2)*AB174+(1-EXP(-LN(2)/2))/(LN(2)/2)*V175*Y175*VLOOKUP('Données projet'!$B$9,Paramètres!$A$1:$I$89,3,0)*0.475*44/12</f>
        <v>1.2376423626083495E-21</v>
      </c>
      <c r="AC175" s="24">
        <f t="shared" si="163"/>
        <v>0.40037411303540815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175.05987582828078</v>
      </c>
      <c r="AO175" s="62">
        <f t="shared" si="144"/>
        <v>268.54782308462387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0.17712021673014436</v>
      </c>
      <c r="AW175" s="23">
        <f>EXP(-LN(2)/2)*AW174+(1-EXP(-LN(2)/2))/(LN(2)/2)*AQ175*AT175*VLOOKUP('Données projet'!$B$10,Paramètres!$A$1:$I$89,3,0)*0.475*44/12</f>
        <v>5.3570439509818639E-21</v>
      </c>
      <c r="AX175" s="23">
        <f t="shared" si="166"/>
        <v>0.17712021673014436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-7.9808160080574461E-14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183.46485104601493</v>
      </c>
      <c r="BJ175" s="62">
        <f t="shared" si="146"/>
        <v>127.47790120677581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-3.2514435588382188E-14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228.06050741667258</v>
      </c>
      <c r="CE175" s="62">
        <f t="shared" si="148"/>
        <v>191.94885821983536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0.18005098634293895</v>
      </c>
      <c r="CM175" s="23">
        <f>EXP(-LN(2)/2)*CM174+(1-EXP(-LN(2)/2))/(LN(2)/2)*CG175*CJ175*VLOOKUP('Données projet'!$B$12,Paramètres!$A$1:$I$89,3,0)*0.475*44/12</f>
        <v>5.4462432760662742E-21</v>
      </c>
      <c r="CN175" s="24">
        <f t="shared" si="172"/>
        <v>0.18005098634293895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projet'!$B$13,Paramètres!$A$1:$I$89,3,0)*VLOOKUP('Données projet'!$B$13,Paramètres!$A$1:$I$89,5,0)</f>
        <v>-2.7134774427395314E-13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343.37244130003143</v>
      </c>
      <c r="CZ175" s="62">
        <f t="shared" si="150"/>
        <v>318.38876834819763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-2.2737367544323206E-13</v>
      </c>
      <c r="DP175" s="18">
        <f>DO175*VLOOKUP('Données projet'!$B$14,Paramètres!$A$1:$I$89,3,0)*VLOOKUP('Données projet'!$B$14,Paramètres!$A$1:$I$89,5,0)</f>
        <v>-1.6671037883497774E-13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263.81634201637729</v>
      </c>
      <c r="DU175" s="62">
        <f t="shared" si="152"/>
        <v>302.03767435507262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322.63846641467165</v>
      </c>
      <c r="T176" s="62">
        <f t="shared" si="142"/>
        <v>435.17386576419966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0.38942586185969535</v>
      </c>
      <c r="AB176" s="23">
        <f>EXP(-LN(2)/2)*AB175+(1-EXP(-LN(2)/2))/(LN(2)/2)*V176*Y176*VLOOKUP('Données projet'!$B$9,Paramètres!$A$1:$I$89,3,0)*0.475*44/12</f>
        <v>8.7514530728410389E-22</v>
      </c>
      <c r="AC176" s="24">
        <f t="shared" si="163"/>
        <v>0.38942586185969535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175.05987582828078</v>
      </c>
      <c r="AO176" s="62">
        <f t="shared" si="144"/>
        <v>268.54782308462387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0.17227685508931118</v>
      </c>
      <c r="AW176" s="23">
        <f>EXP(-LN(2)/2)*AW175+(1-EXP(-LN(2)/2))/(LN(2)/2)*AQ176*AT176*VLOOKUP('Données projet'!$B$10,Paramètres!$A$1:$I$89,3,0)*0.475*44/12</f>
        <v>3.7880021048536508E-21</v>
      </c>
      <c r="AX176" s="23">
        <f t="shared" si="166"/>
        <v>0.17227685508931118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-7.9808160080574461E-14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183.46485104601493</v>
      </c>
      <c r="BJ176" s="62">
        <f t="shared" si="146"/>
        <v>127.47790120677581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-3.2514435588382188E-14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228.06050741667258</v>
      </c>
      <c r="CE176" s="62">
        <f t="shared" si="148"/>
        <v>191.94885821983536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0.17512748265292141</v>
      </c>
      <c r="CM176" s="23">
        <f>EXP(-LN(2)/2)*CM175+(1-EXP(-LN(2)/2))/(LN(2)/2)*CG176*CJ176*VLOOKUP('Données projet'!$B$12,Paramètres!$A$1:$I$89,3,0)*0.475*44/12</f>
        <v>3.8510755524981007E-21</v>
      </c>
      <c r="CN176" s="24">
        <f t="shared" si="172"/>
        <v>0.17512748265292141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projet'!$B$13,Paramètres!$A$1:$I$89,3,0)*VLOOKUP('Données projet'!$B$13,Paramètres!$A$1:$I$89,5,0)</f>
        <v>-2.7134774427395314E-13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343.37244130003143</v>
      </c>
      <c r="CZ176" s="62">
        <f t="shared" si="150"/>
        <v>318.38876834819763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-2.2737367544323206E-13</v>
      </c>
      <c r="DP176" s="18">
        <f>DO176*VLOOKUP('Données projet'!$B$14,Paramètres!$A$1:$I$89,3,0)*VLOOKUP('Données projet'!$B$14,Paramètres!$A$1:$I$89,5,0)</f>
        <v>-1.6671037883497774E-13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263.81634201637729</v>
      </c>
      <c r="DU176" s="62">
        <f t="shared" si="152"/>
        <v>302.03767435507262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322.63846641467165</v>
      </c>
      <c r="T177" s="62">
        <f t="shared" si="142"/>
        <v>435.17386576419966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0.37877699118812597</v>
      </c>
      <c r="AB177" s="23">
        <f>EXP(-LN(2)/2)*AB176+(1-EXP(-LN(2)/2))/(LN(2)/2)*V177*Y177*VLOOKUP('Données projet'!$B$9,Paramètres!$A$1:$I$89,3,0)*0.475*44/12</f>
        <v>6.1882118130417475E-22</v>
      </c>
      <c r="AC177" s="24">
        <f t="shared" si="163"/>
        <v>0.37877699118812597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175.05987582828078</v>
      </c>
      <c r="AO177" s="62">
        <f t="shared" si="144"/>
        <v>268.54782308462387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0.1675659354272479</v>
      </c>
      <c r="AW177" s="23">
        <f>EXP(-LN(2)/2)*AW176+(1-EXP(-LN(2)/2))/(LN(2)/2)*AQ177*AT177*VLOOKUP('Données projet'!$B$10,Paramètres!$A$1:$I$89,3,0)*0.475*44/12</f>
        <v>2.6785219754909319E-21</v>
      </c>
      <c r="AX177" s="23">
        <f t="shared" si="166"/>
        <v>0.1675659354272479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-7.9808160080574461E-14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183.46485104601493</v>
      </c>
      <c r="BJ177" s="62">
        <f t="shared" si="146"/>
        <v>127.47790120677581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-3.2514435588382188E-14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228.06050741667258</v>
      </c>
      <c r="CE177" s="62">
        <f t="shared" si="148"/>
        <v>191.94885821983536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0.17033861243022322</v>
      </c>
      <c r="CM177" s="23">
        <f>EXP(-LN(2)/2)*CM176+(1-EXP(-LN(2)/2))/(LN(2)/2)*CG177*CJ177*VLOOKUP('Données projet'!$B$12,Paramètres!$A$1:$I$89,3,0)*0.475*44/12</f>
        <v>2.7231216380331371E-21</v>
      </c>
      <c r="CN177" s="24">
        <f t="shared" si="172"/>
        <v>0.17033861243022322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projet'!$B$13,Paramètres!$A$1:$I$89,3,0)*VLOOKUP('Données projet'!$B$13,Paramètres!$A$1:$I$89,5,0)</f>
        <v>-2.7134774427395314E-13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343.37244130003143</v>
      </c>
      <c r="CZ177" s="62">
        <f t="shared" si="150"/>
        <v>318.38876834819763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-2.2737367544323206E-13</v>
      </c>
      <c r="DP177" s="18">
        <f>DO177*VLOOKUP('Données projet'!$B$14,Paramètres!$A$1:$I$89,3,0)*VLOOKUP('Données projet'!$B$14,Paramètres!$A$1:$I$89,5,0)</f>
        <v>-1.6671037883497774E-13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263.81634201637729</v>
      </c>
      <c r="DU177" s="62">
        <f t="shared" si="152"/>
        <v>302.03767435507262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322.63846641467165</v>
      </c>
      <c r="T178" s="62">
        <f t="shared" si="142"/>
        <v>435.17386576419966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0.36841931444507042</v>
      </c>
      <c r="AB178" s="23">
        <f>EXP(-LN(2)/2)*AB177+(1-EXP(-LN(2)/2))/(LN(2)/2)*V178*Y178*VLOOKUP('Données projet'!$B$9,Paramètres!$A$1:$I$89,3,0)*0.475*44/12</f>
        <v>4.3757265364205194E-22</v>
      </c>
      <c r="AC178" s="24">
        <f t="shared" si="163"/>
        <v>0.36841931444507042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175.05987582828078</v>
      </c>
      <c r="AO178" s="62">
        <f t="shared" si="144"/>
        <v>268.54782308462387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0.16298383611108025</v>
      </c>
      <c r="AW178" s="23">
        <f>EXP(-LN(2)/2)*AW177+(1-EXP(-LN(2)/2))/(LN(2)/2)*AQ178*AT178*VLOOKUP('Données projet'!$B$10,Paramètres!$A$1:$I$89,3,0)*0.475*44/12</f>
        <v>1.8940010524268254E-21</v>
      </c>
      <c r="AX178" s="23">
        <f t="shared" si="166"/>
        <v>0.16298383611108025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-7.9808160080574461E-14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183.46485104601493</v>
      </c>
      <c r="BJ178" s="62">
        <f t="shared" si="146"/>
        <v>127.47790120677581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-3.2514435588382188E-14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228.06050741667258</v>
      </c>
      <c r="CE178" s="62">
        <f t="shared" si="148"/>
        <v>191.94885821983536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0.16568069411560046</v>
      </c>
      <c r="CM178" s="23">
        <f>EXP(-LN(2)/2)*CM177+(1-EXP(-LN(2)/2))/(LN(2)/2)*CG178*CJ178*VLOOKUP('Données projet'!$B$12,Paramètres!$A$1:$I$89,3,0)*0.475*44/12</f>
        <v>1.9255377762490504E-21</v>
      </c>
      <c r="CN178" s="24">
        <f t="shared" si="172"/>
        <v>0.16568069411560046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projet'!$B$13,Paramètres!$A$1:$I$89,3,0)*VLOOKUP('Données projet'!$B$13,Paramètres!$A$1:$I$89,5,0)</f>
        <v>-2.7134774427395314E-13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343.37244130003143</v>
      </c>
      <c r="CZ178" s="62">
        <f t="shared" si="150"/>
        <v>318.38876834819763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-2.2737367544323206E-13</v>
      </c>
      <c r="DP178" s="18">
        <f>DO178*VLOOKUP('Données projet'!$B$14,Paramètres!$A$1:$I$89,3,0)*VLOOKUP('Données projet'!$B$14,Paramètres!$A$1:$I$89,5,0)</f>
        <v>-1.6671037883497774E-13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263.81634201637729</v>
      </c>
      <c r="DU178" s="62">
        <f t="shared" si="152"/>
        <v>302.03767435507262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322.63846641467165</v>
      </c>
      <c r="T179" s="62">
        <f t="shared" si="142"/>
        <v>435.17386576419966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0.35834486891724027</v>
      </c>
      <c r="AB179" s="23">
        <f>EXP(-LN(2)/2)*AB178+(1-EXP(-LN(2)/2))/(LN(2)/2)*V179*Y179*VLOOKUP('Données projet'!$B$9,Paramètres!$A$1:$I$89,3,0)*0.475*44/12</f>
        <v>3.0941059065208737E-22</v>
      </c>
      <c r="AC179" s="24">
        <f t="shared" si="163"/>
        <v>0.35834486891724027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175.05987582828078</v>
      </c>
      <c r="AO179" s="62">
        <f t="shared" si="144"/>
        <v>268.54782308462387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0.15852703454167533</v>
      </c>
      <c r="AW179" s="23">
        <f>EXP(-LN(2)/2)*AW178+(1-EXP(-LN(2)/2))/(LN(2)/2)*AQ179*AT179*VLOOKUP('Données projet'!$B$10,Paramètres!$A$1:$I$89,3,0)*0.475*44/12</f>
        <v>1.339260987745466E-21</v>
      </c>
      <c r="AX179" s="23">
        <f t="shared" si="166"/>
        <v>0.15852703454167533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-7.9808160080574461E-14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183.46485104601493</v>
      </c>
      <c r="BJ179" s="62">
        <f t="shared" si="146"/>
        <v>127.47790120677581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-3.2514435588382188E-14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228.06050741667258</v>
      </c>
      <c r="CE179" s="62">
        <f t="shared" si="148"/>
        <v>191.94885821983536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0.16115014682224033</v>
      </c>
      <c r="CM179" s="23">
        <f>EXP(-LN(2)/2)*CM178+(1-EXP(-LN(2)/2))/(LN(2)/2)*CG179*CJ179*VLOOKUP('Données projet'!$B$12,Paramètres!$A$1:$I$89,3,0)*0.475*44/12</f>
        <v>1.3615608190165686E-21</v>
      </c>
      <c r="CN179" s="24">
        <f t="shared" si="172"/>
        <v>0.16115014682224033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projet'!$B$13,Paramètres!$A$1:$I$89,3,0)*VLOOKUP('Données projet'!$B$13,Paramètres!$A$1:$I$89,5,0)</f>
        <v>-2.7134774427395314E-13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343.37244130003143</v>
      </c>
      <c r="CZ179" s="62">
        <f t="shared" si="150"/>
        <v>318.38876834819763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-2.2737367544323206E-13</v>
      </c>
      <c r="DP179" s="18">
        <f>DO179*VLOOKUP('Données projet'!$B$14,Paramètres!$A$1:$I$89,3,0)*VLOOKUP('Données projet'!$B$14,Paramètres!$A$1:$I$89,5,0)</f>
        <v>-1.6671037883497774E-13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263.81634201637729</v>
      </c>
      <c r="DU179" s="62">
        <f t="shared" si="152"/>
        <v>302.03767435507262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322.63846641467165</v>
      </c>
      <c r="T180" s="62">
        <f t="shared" si="142"/>
        <v>435.17386576419966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0.3485459096321607</v>
      </c>
      <c r="AB180" s="23">
        <f>EXP(-LN(2)/2)*AB179+(1-EXP(-LN(2)/2))/(LN(2)/2)*V180*Y180*VLOOKUP('Données projet'!$B$9,Paramètres!$A$1:$I$89,3,0)*0.475*44/12</f>
        <v>2.1878632682102597E-22</v>
      </c>
      <c r="AC180" s="24">
        <f t="shared" si="163"/>
        <v>0.3485459096321607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175.05987582828078</v>
      </c>
      <c r="AO180" s="62">
        <f t="shared" si="144"/>
        <v>268.54782308462387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0.15419210444555878</v>
      </c>
      <c r="AW180" s="23">
        <f>EXP(-LN(2)/2)*AW179+(1-EXP(-LN(2)/2))/(LN(2)/2)*AQ180*AT180*VLOOKUP('Données projet'!$B$10,Paramètres!$A$1:$I$89,3,0)*0.475*44/12</f>
        <v>9.470005262134127E-22</v>
      </c>
      <c r="AX180" s="23">
        <f t="shared" si="166"/>
        <v>0.15419210444555878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-7.9808160080574461E-14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183.46485104601493</v>
      </c>
      <c r="BJ180" s="62">
        <f t="shared" si="146"/>
        <v>127.47790120677581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-3.2514435588382188E-14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228.06050741667258</v>
      </c>
      <c r="CE180" s="62">
        <f t="shared" si="148"/>
        <v>191.94885821983536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0.15674348758286827</v>
      </c>
      <c r="CM180" s="23">
        <f>EXP(-LN(2)/2)*CM179+(1-EXP(-LN(2)/2))/(LN(2)/2)*CG180*CJ180*VLOOKUP('Données projet'!$B$12,Paramètres!$A$1:$I$89,3,0)*0.475*44/12</f>
        <v>9.6276888812452518E-22</v>
      </c>
      <c r="CN180" s="24">
        <f t="shared" si="172"/>
        <v>0.15674348758286827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projet'!$B$13,Paramètres!$A$1:$I$89,3,0)*VLOOKUP('Données projet'!$B$13,Paramètres!$A$1:$I$89,5,0)</f>
        <v>-2.7134774427395314E-13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343.37244130003143</v>
      </c>
      <c r="CZ180" s="62">
        <f t="shared" si="150"/>
        <v>318.38876834819763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-2.2737367544323206E-13</v>
      </c>
      <c r="DP180" s="18">
        <f>DO180*VLOOKUP('Données projet'!$B$14,Paramètres!$A$1:$I$89,3,0)*VLOOKUP('Données projet'!$B$14,Paramètres!$A$1:$I$89,5,0)</f>
        <v>-1.6671037883497774E-13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263.81634201637729</v>
      </c>
      <c r="DU180" s="62">
        <f t="shared" si="152"/>
        <v>302.03767435507262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322.63846641467165</v>
      </c>
      <c r="T181" s="62">
        <f t="shared" si="142"/>
        <v>435.17386576419966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0.33901490340403651</v>
      </c>
      <c r="AB181" s="23">
        <f>EXP(-LN(2)/2)*AB180+(1-EXP(-LN(2)/2))/(LN(2)/2)*V181*Y181*VLOOKUP('Données projet'!$B$9,Paramètres!$A$1:$I$89,3,0)*0.475*44/12</f>
        <v>1.5470529532604369E-22</v>
      </c>
      <c r="AC181" s="24">
        <f t="shared" si="163"/>
        <v>0.33901490340403651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175.05987582828078</v>
      </c>
      <c r="AO181" s="62">
        <f t="shared" si="144"/>
        <v>268.54782308462387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0.1499757132408846</v>
      </c>
      <c r="AW181" s="23">
        <f>EXP(-LN(2)/2)*AW180+(1-EXP(-LN(2)/2))/(LN(2)/2)*AQ181*AT181*VLOOKUP('Données projet'!$B$10,Paramètres!$A$1:$I$89,3,0)*0.475*44/12</f>
        <v>6.6963049387273298E-22</v>
      </c>
      <c r="AX181" s="23">
        <f t="shared" si="166"/>
        <v>0.1499757132408846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-7.9808160080574461E-14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183.46485104601493</v>
      </c>
      <c r="BJ181" s="62">
        <f t="shared" si="146"/>
        <v>127.47790120677581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-3.2514435588382188E-14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228.06050741667258</v>
      </c>
      <c r="CE181" s="62">
        <f t="shared" si="148"/>
        <v>191.94885821983536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0.15245732867213296</v>
      </c>
      <c r="CM181" s="23">
        <f>EXP(-LN(2)/2)*CM180+(1-EXP(-LN(2)/2))/(LN(2)/2)*CG181*CJ181*VLOOKUP('Données projet'!$B$12,Paramètres!$A$1:$I$89,3,0)*0.475*44/12</f>
        <v>6.8078040950828428E-22</v>
      </c>
      <c r="CN181" s="24">
        <f t="shared" si="172"/>
        <v>0.15245732867213296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projet'!$B$13,Paramètres!$A$1:$I$89,3,0)*VLOOKUP('Données projet'!$B$13,Paramètres!$A$1:$I$89,5,0)</f>
        <v>-2.7134774427395314E-13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343.37244130003143</v>
      </c>
      <c r="CZ181" s="62">
        <f t="shared" si="150"/>
        <v>318.38876834819763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-2.2737367544323206E-13</v>
      </c>
      <c r="DP181" s="18">
        <f>DO181*VLOOKUP('Données projet'!$B$14,Paramètres!$A$1:$I$89,3,0)*VLOOKUP('Données projet'!$B$14,Paramètres!$A$1:$I$89,5,0)</f>
        <v>-1.6671037883497774E-13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263.81634201637729</v>
      </c>
      <c r="DU181" s="62">
        <f t="shared" si="152"/>
        <v>302.03767435507262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322.63846641467165</v>
      </c>
      <c r="T182" s="62">
        <f t="shared" si="142"/>
        <v>435.17386576419966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0.32974452304243418</v>
      </c>
      <c r="AB182" s="23">
        <f>EXP(-LN(2)/2)*AB181+(1-EXP(-LN(2)/2))/(LN(2)/2)*V182*Y182*VLOOKUP('Données projet'!$B$9,Paramètres!$A$1:$I$89,3,0)*0.475*44/12</f>
        <v>1.0939316341051299E-22</v>
      </c>
      <c r="AC182" s="24">
        <f t="shared" si="163"/>
        <v>0.32974452304243418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175.05987582828078</v>
      </c>
      <c r="AO182" s="62">
        <f t="shared" si="144"/>
        <v>268.54782308462387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0.14587461947543262</v>
      </c>
      <c r="AW182" s="23">
        <f>EXP(-LN(2)/2)*AW181+(1-EXP(-LN(2)/2))/(LN(2)/2)*AQ182*AT182*VLOOKUP('Données projet'!$B$10,Paramètres!$A$1:$I$89,3,0)*0.475*44/12</f>
        <v>4.7350026310670635E-22</v>
      </c>
      <c r="AX182" s="23">
        <f t="shared" si="166"/>
        <v>0.14587461947543262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-7.9808160080574461E-14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183.46485104601493</v>
      </c>
      <c r="BJ182" s="62">
        <f t="shared" si="146"/>
        <v>127.47790120677581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-3.2514435588382188E-14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228.06050741667258</v>
      </c>
      <c r="CE182" s="62">
        <f t="shared" si="148"/>
        <v>191.94885821983536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0.14828837500221101</v>
      </c>
      <c r="CM182" s="23">
        <f>EXP(-LN(2)/2)*CM181+(1-EXP(-LN(2)/2))/(LN(2)/2)*CG182*CJ182*VLOOKUP('Données projet'!$B$12,Paramètres!$A$1:$I$89,3,0)*0.475*44/12</f>
        <v>4.8138444406226259E-22</v>
      </c>
      <c r="CN182" s="24">
        <f t="shared" si="172"/>
        <v>0.14828837500221101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projet'!$B$13,Paramètres!$A$1:$I$89,3,0)*VLOOKUP('Données projet'!$B$13,Paramètres!$A$1:$I$89,5,0)</f>
        <v>-2.7134774427395314E-13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343.37244130003143</v>
      </c>
      <c r="CZ182" s="62">
        <f t="shared" si="150"/>
        <v>318.38876834819763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-2.2737367544323206E-13</v>
      </c>
      <c r="DP182" s="18">
        <f>DO182*VLOOKUP('Données projet'!$B$14,Paramètres!$A$1:$I$89,3,0)*VLOOKUP('Données projet'!$B$14,Paramètres!$A$1:$I$89,5,0)</f>
        <v>-1.6671037883497774E-13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263.81634201637729</v>
      </c>
      <c r="DU182" s="62">
        <f t="shared" si="152"/>
        <v>302.03767435507262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322.63846641467165</v>
      </c>
      <c r="T183" s="62">
        <f t="shared" si="142"/>
        <v>435.17386576419966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0.32072764171932799</v>
      </c>
      <c r="AB183" s="23">
        <f>EXP(-LN(2)/2)*AB182+(1-EXP(-LN(2)/2))/(LN(2)/2)*V183*Y183*VLOOKUP('Données projet'!$B$9,Paramètres!$A$1:$I$89,3,0)*0.475*44/12</f>
        <v>7.7352647663021843E-23</v>
      </c>
      <c r="AC183" s="24">
        <f t="shared" si="163"/>
        <v>0.32072764171932799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175.05987582828078</v>
      </c>
      <c r="AO183" s="62">
        <f t="shared" si="144"/>
        <v>268.54782308462387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0.14188567033466407</v>
      </c>
      <c r="AW183" s="23">
        <f>EXP(-LN(2)/2)*AW182+(1-EXP(-LN(2)/2))/(LN(2)/2)*AQ183*AT183*VLOOKUP('Données projet'!$B$10,Paramètres!$A$1:$I$89,3,0)*0.475*44/12</f>
        <v>3.3481524693636649E-22</v>
      </c>
      <c r="AX183" s="23">
        <f t="shared" si="166"/>
        <v>0.14188567033466407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-7.9808160080574461E-14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183.46485104601493</v>
      </c>
      <c r="BJ183" s="62">
        <f t="shared" si="146"/>
        <v>127.47790120677581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-3.2514435588382188E-14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228.06050741667258</v>
      </c>
      <c r="CE183" s="62">
        <f t="shared" si="148"/>
        <v>191.94885821983536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0.14423342158962882</v>
      </c>
      <c r="CM183" s="23">
        <f>EXP(-LN(2)/2)*CM182+(1-EXP(-LN(2)/2))/(LN(2)/2)*CG183*CJ183*VLOOKUP('Données projet'!$B$12,Paramètres!$A$1:$I$89,3,0)*0.475*44/12</f>
        <v>3.4039020475414214E-22</v>
      </c>
      <c r="CN183" s="24">
        <f t="shared" si="172"/>
        <v>0.14423342158962882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projet'!$B$13,Paramètres!$A$1:$I$89,3,0)*VLOOKUP('Données projet'!$B$13,Paramètres!$A$1:$I$89,5,0)</f>
        <v>-2.7134774427395314E-13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343.37244130003143</v>
      </c>
      <c r="CZ183" s="62">
        <f t="shared" si="150"/>
        <v>318.38876834819763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-2.2737367544323206E-13</v>
      </c>
      <c r="DP183" s="18">
        <f>DO183*VLOOKUP('Données projet'!$B$14,Paramètres!$A$1:$I$89,3,0)*VLOOKUP('Données projet'!$B$14,Paramètres!$A$1:$I$89,5,0)</f>
        <v>-1.6671037883497774E-13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263.81634201637729</v>
      </c>
      <c r="DU183" s="62">
        <f t="shared" si="152"/>
        <v>302.03767435507262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322.63846641467165</v>
      </c>
      <c r="T184" s="62">
        <f t="shared" si="142"/>
        <v>435.17386576419966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0.31195732749017935</v>
      </c>
      <c r="AB184" s="23">
        <f>EXP(-LN(2)/2)*AB183+(1-EXP(-LN(2)/2))/(LN(2)/2)*V184*Y184*VLOOKUP('Données projet'!$B$9,Paramètres!$A$1:$I$89,3,0)*0.475*44/12</f>
        <v>5.4696581705256493E-23</v>
      </c>
      <c r="AC184" s="24">
        <f t="shared" si="163"/>
        <v>0.31195732749017935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175.05987582828078</v>
      </c>
      <c r="AO184" s="62">
        <f t="shared" si="144"/>
        <v>268.54782308462387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0.13800579921791956</v>
      </c>
      <c r="AW184" s="23">
        <f>EXP(-LN(2)/2)*AW183+(1-EXP(-LN(2)/2))/(LN(2)/2)*AQ184*AT184*VLOOKUP('Données projet'!$B$10,Paramètres!$A$1:$I$89,3,0)*0.475*44/12</f>
        <v>2.3675013155335317E-22</v>
      </c>
      <c r="AX184" s="23">
        <f t="shared" si="166"/>
        <v>0.13800579921791956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-7.9808160080574461E-14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183.46485104601493</v>
      </c>
      <c r="BJ184" s="62">
        <f t="shared" si="146"/>
        <v>127.47790120677581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-3.2514435588382188E-14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228.06050741667258</v>
      </c>
      <c r="CE184" s="62">
        <f t="shared" si="148"/>
        <v>191.94885821983536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0.14028935109135443</v>
      </c>
      <c r="CM184" s="23">
        <f>EXP(-LN(2)/2)*CM183+(1-EXP(-LN(2)/2))/(LN(2)/2)*CG184*CJ184*VLOOKUP('Données projet'!$B$12,Paramètres!$A$1:$I$89,3,0)*0.475*44/12</f>
        <v>2.406922220311313E-22</v>
      </c>
      <c r="CN184" s="24">
        <f t="shared" si="172"/>
        <v>0.14028935109135443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projet'!$B$13,Paramètres!$A$1:$I$89,3,0)*VLOOKUP('Données projet'!$B$13,Paramètres!$A$1:$I$89,5,0)</f>
        <v>-2.7134774427395314E-13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343.37244130003143</v>
      </c>
      <c r="CZ184" s="62">
        <f t="shared" si="150"/>
        <v>318.38876834819763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-2.2737367544323206E-13</v>
      </c>
      <c r="DP184" s="18">
        <f>DO184*VLOOKUP('Données projet'!$B$14,Paramètres!$A$1:$I$89,3,0)*VLOOKUP('Données projet'!$B$14,Paramètres!$A$1:$I$89,5,0)</f>
        <v>-1.6671037883497774E-13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263.81634201637729</v>
      </c>
      <c r="DU184" s="62">
        <f t="shared" si="152"/>
        <v>302.03767435507262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322.63846641467165</v>
      </c>
      <c r="T185" s="62">
        <f t="shared" si="142"/>
        <v>435.17386576419966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0.30342683796483755</v>
      </c>
      <c r="AB185" s="23">
        <f>EXP(-LN(2)/2)*AB184+(1-EXP(-LN(2)/2))/(LN(2)/2)*V185*Y185*VLOOKUP('Données projet'!$B$9,Paramètres!$A$1:$I$89,3,0)*0.475*44/12</f>
        <v>3.8676323831510922E-23</v>
      </c>
      <c r="AC185" s="24">
        <f t="shared" si="163"/>
        <v>0.30342683796483755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175.05987582828078</v>
      </c>
      <c r="AO185" s="62">
        <f t="shared" si="144"/>
        <v>268.54782308462387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0.13423202338089599</v>
      </c>
      <c r="AW185" s="23">
        <f>EXP(-LN(2)/2)*AW184+(1-EXP(-LN(2)/2))/(LN(2)/2)*AQ185*AT185*VLOOKUP('Données projet'!$B$10,Paramètres!$A$1:$I$89,3,0)*0.475*44/12</f>
        <v>1.6740762346818325E-22</v>
      </c>
      <c r="AX185" s="23">
        <f t="shared" si="166"/>
        <v>0.13423202338089599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-7.9808160080574461E-14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183.46485104601493</v>
      </c>
      <c r="BJ185" s="62">
        <f t="shared" si="146"/>
        <v>127.47790120677581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-3.2514435588382188E-14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228.06050741667258</v>
      </c>
      <c r="CE185" s="62">
        <f t="shared" si="148"/>
        <v>191.94885821983536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0.13645313140826501</v>
      </c>
      <c r="CM185" s="23">
        <f>EXP(-LN(2)/2)*CM184+(1-EXP(-LN(2)/2))/(LN(2)/2)*CG185*CJ185*VLOOKUP('Données projet'!$B$12,Paramètres!$A$1:$I$89,3,0)*0.475*44/12</f>
        <v>1.7019510237707107E-22</v>
      </c>
      <c r="CN185" s="24">
        <f t="shared" si="172"/>
        <v>0.13645313140826501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projet'!$B$13,Paramètres!$A$1:$I$89,3,0)*VLOOKUP('Données projet'!$B$13,Paramètres!$A$1:$I$89,5,0)</f>
        <v>-2.7134774427395314E-13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343.37244130003143</v>
      </c>
      <c r="CZ185" s="62">
        <f t="shared" si="150"/>
        <v>318.38876834819763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-2.2737367544323206E-13</v>
      </c>
      <c r="DP185" s="18">
        <f>DO185*VLOOKUP('Données projet'!$B$14,Paramètres!$A$1:$I$89,3,0)*VLOOKUP('Données projet'!$B$14,Paramètres!$A$1:$I$89,5,0)</f>
        <v>-1.6671037883497774E-13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263.81634201637729</v>
      </c>
      <c r="DU185" s="62">
        <f t="shared" si="152"/>
        <v>302.03767435507262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322.63846641467165</v>
      </c>
      <c r="T186" s="62">
        <f t="shared" si="142"/>
        <v>435.17386576419966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0.29512961512416513</v>
      </c>
      <c r="AB186" s="23">
        <f>EXP(-LN(2)/2)*AB185+(1-EXP(-LN(2)/2))/(LN(2)/2)*V186*Y186*VLOOKUP('Données projet'!$B$9,Paramètres!$A$1:$I$89,3,0)*0.475*44/12</f>
        <v>2.7348290852628247E-23</v>
      </c>
      <c r="AC186" s="24">
        <f t="shared" si="163"/>
        <v>0.29512961512416513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175.05987582828078</v>
      </c>
      <c r="AO186" s="62">
        <f t="shared" si="144"/>
        <v>268.54782308462387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0.13056144164259006</v>
      </c>
      <c r="AW186" s="23">
        <f>EXP(-LN(2)/2)*AW185+(1-EXP(-LN(2)/2))/(LN(2)/2)*AQ186*AT186*VLOOKUP('Données projet'!$B$10,Paramètres!$A$1:$I$89,3,0)*0.475*44/12</f>
        <v>1.1837506577667659E-22</v>
      </c>
      <c r="AX186" s="23">
        <f t="shared" si="166"/>
        <v>0.13056144164259006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-7.9808160080574461E-14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183.46485104601493</v>
      </c>
      <c r="BJ186" s="62">
        <f t="shared" si="146"/>
        <v>127.47790120677581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-3.2514435588382188E-14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228.06050741667258</v>
      </c>
      <c r="CE186" s="62">
        <f t="shared" si="148"/>
        <v>191.94885821983536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0.13272181335414768</v>
      </c>
      <c r="CM186" s="23">
        <f>EXP(-LN(2)/2)*CM185+(1-EXP(-LN(2)/2))/(LN(2)/2)*CG186*CJ186*VLOOKUP('Données projet'!$B$12,Paramètres!$A$1:$I$89,3,0)*0.475*44/12</f>
        <v>1.2034611101556565E-22</v>
      </c>
      <c r="CN186" s="24">
        <f t="shared" si="172"/>
        <v>0.13272181335414768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projet'!$B$13,Paramètres!$A$1:$I$89,3,0)*VLOOKUP('Données projet'!$B$13,Paramètres!$A$1:$I$89,5,0)</f>
        <v>-2.7134774427395314E-13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343.37244130003143</v>
      </c>
      <c r="CZ186" s="62">
        <f t="shared" si="150"/>
        <v>318.38876834819763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-2.2737367544323206E-13</v>
      </c>
      <c r="DP186" s="18">
        <f>DO186*VLOOKUP('Données projet'!$B$14,Paramètres!$A$1:$I$89,3,0)*VLOOKUP('Données projet'!$B$14,Paramètres!$A$1:$I$89,5,0)</f>
        <v>-1.6671037883497774E-13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263.81634201637729</v>
      </c>
      <c r="DU186" s="62">
        <f t="shared" si="152"/>
        <v>302.03767435507262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322.63846641467165</v>
      </c>
      <c r="T187" s="62">
        <f t="shared" si="142"/>
        <v>435.17386576419966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0.28705928027840288</v>
      </c>
      <c r="AB187" s="23">
        <f>EXP(-LN(2)/2)*AB186+(1-EXP(-LN(2)/2))/(LN(2)/2)*V187*Y187*VLOOKUP('Données projet'!$B$9,Paramètres!$A$1:$I$89,3,0)*0.475*44/12</f>
        <v>1.9338161915755461E-23</v>
      </c>
      <c r="AC187" s="24">
        <f t="shared" si="163"/>
        <v>0.28705928027840288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175.05987582828078</v>
      </c>
      <c r="AO187" s="62">
        <f t="shared" si="144"/>
        <v>268.54782308462387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0.12699123215494562</v>
      </c>
      <c r="AW187" s="23">
        <f>EXP(-LN(2)/2)*AW186+(1-EXP(-LN(2)/2))/(LN(2)/2)*AQ187*AT187*VLOOKUP('Données projet'!$B$10,Paramètres!$A$1:$I$89,3,0)*0.475*44/12</f>
        <v>8.3703811734091623E-23</v>
      </c>
      <c r="AX187" s="23">
        <f t="shared" si="166"/>
        <v>0.12699123215494562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-7.9808160080574461E-14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183.46485104601493</v>
      </c>
      <c r="BJ187" s="62">
        <f t="shared" si="146"/>
        <v>127.47790120677581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-3.2514435588382188E-14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228.06050741667258</v>
      </c>
      <c r="CE187" s="62">
        <f t="shared" si="148"/>
        <v>191.94885821983536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0.12909252838844168</v>
      </c>
      <c r="CM187" s="23">
        <f>EXP(-LN(2)/2)*CM186+(1-EXP(-LN(2)/2))/(LN(2)/2)*CG187*CJ187*VLOOKUP('Données projet'!$B$12,Paramètres!$A$1:$I$89,3,0)*0.475*44/12</f>
        <v>8.5097551188535535E-23</v>
      </c>
      <c r="CN187" s="24">
        <f t="shared" si="172"/>
        <v>0.12909252838844168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projet'!$B$13,Paramètres!$A$1:$I$89,3,0)*VLOOKUP('Données projet'!$B$13,Paramètres!$A$1:$I$89,5,0)</f>
        <v>-2.7134774427395314E-13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343.37244130003143</v>
      </c>
      <c r="CZ187" s="62">
        <f t="shared" si="150"/>
        <v>318.38876834819763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-2.2737367544323206E-13</v>
      </c>
      <c r="DP187" s="18">
        <f>DO187*VLOOKUP('Données projet'!$B$14,Paramètres!$A$1:$I$89,3,0)*VLOOKUP('Données projet'!$B$14,Paramètres!$A$1:$I$89,5,0)</f>
        <v>-1.6671037883497774E-13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263.81634201637729</v>
      </c>
      <c r="DU187" s="62">
        <f t="shared" si="152"/>
        <v>302.03767435507262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322.63846641467165</v>
      </c>
      <c r="T188" s="62">
        <f t="shared" si="142"/>
        <v>435.17386576419966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0.27920962916339848</v>
      </c>
      <c r="AB188" s="23">
        <f>EXP(-LN(2)/2)*AB187+(1-EXP(-LN(2)/2))/(LN(2)/2)*V188*Y188*VLOOKUP('Données projet'!$B$9,Paramètres!$A$1:$I$89,3,0)*0.475*44/12</f>
        <v>1.3674145426314123E-23</v>
      </c>
      <c r="AC188" s="24">
        <f t="shared" si="163"/>
        <v>0.27920962916339848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175.05987582828078</v>
      </c>
      <c r="AO188" s="62">
        <f t="shared" si="144"/>
        <v>268.54782308462387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0.12351865023348997</v>
      </c>
      <c r="AW188" s="23">
        <f>EXP(-LN(2)/2)*AW187+(1-EXP(-LN(2)/2))/(LN(2)/2)*AQ188*AT188*VLOOKUP('Données projet'!$B$10,Paramètres!$A$1:$I$89,3,0)*0.475*44/12</f>
        <v>5.9187532888338294E-23</v>
      </c>
      <c r="AX188" s="23">
        <f t="shared" si="166"/>
        <v>0.12351865023348997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-7.9808160080574461E-14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183.46485104601493</v>
      </c>
      <c r="BJ188" s="62">
        <f t="shared" si="146"/>
        <v>127.47790120677581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-3.2514435588382188E-14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228.06050741667258</v>
      </c>
      <c r="CE188" s="62">
        <f t="shared" si="148"/>
        <v>191.94885821983536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0.12556248641097872</v>
      </c>
      <c r="CM188" s="23">
        <f>EXP(-LN(2)/2)*CM187+(1-EXP(-LN(2)/2))/(LN(2)/2)*CG188*CJ188*VLOOKUP('Données projet'!$B$12,Paramètres!$A$1:$I$89,3,0)*0.475*44/12</f>
        <v>6.0173055507782824E-23</v>
      </c>
      <c r="CN188" s="24">
        <f t="shared" si="172"/>
        <v>0.12556248641097872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projet'!$B$13,Paramètres!$A$1:$I$89,3,0)*VLOOKUP('Données projet'!$B$13,Paramètres!$A$1:$I$89,5,0)</f>
        <v>-2.7134774427395314E-13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343.37244130003143</v>
      </c>
      <c r="CZ188" s="62">
        <f t="shared" si="150"/>
        <v>318.38876834819763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-2.2737367544323206E-13</v>
      </c>
      <c r="DP188" s="18">
        <f>DO188*VLOOKUP('Données projet'!$B$14,Paramètres!$A$1:$I$89,3,0)*VLOOKUP('Données projet'!$B$14,Paramètres!$A$1:$I$89,5,0)</f>
        <v>-1.6671037883497774E-13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263.81634201637729</v>
      </c>
      <c r="DU188" s="62">
        <f t="shared" si="152"/>
        <v>302.03767435507262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322.63846641467165</v>
      </c>
      <c r="T189" s="62">
        <f t="shared" si="142"/>
        <v>435.17386576419966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0.27157462717092912</v>
      </c>
      <c r="AB189" s="23">
        <f>EXP(-LN(2)/2)*AB188+(1-EXP(-LN(2)/2))/(LN(2)/2)*V189*Y189*VLOOKUP('Données projet'!$B$9,Paramètres!$A$1:$I$89,3,0)*0.475*44/12</f>
        <v>9.6690809578777304E-24</v>
      </c>
      <c r="AC189" s="24">
        <f t="shared" si="163"/>
        <v>0.27157462717092912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175.05987582828078</v>
      </c>
      <c r="AO189" s="62">
        <f t="shared" si="144"/>
        <v>268.54782308462387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0.12014102624729167</v>
      </c>
      <c r="AW189" s="23">
        <f>EXP(-LN(2)/2)*AW188+(1-EXP(-LN(2)/2))/(LN(2)/2)*AQ189*AT189*VLOOKUP('Données projet'!$B$10,Paramètres!$A$1:$I$89,3,0)*0.475*44/12</f>
        <v>4.1851905867045811E-23</v>
      </c>
      <c r="AX189" s="23">
        <f t="shared" si="166"/>
        <v>0.12014102624729167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-7.9808160080574461E-14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183.46485104601493</v>
      </c>
      <c r="BJ189" s="62">
        <f t="shared" si="146"/>
        <v>127.47790120677581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-3.2514435588382188E-14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228.06050741667258</v>
      </c>
      <c r="CE189" s="62">
        <f t="shared" si="148"/>
        <v>191.94885821983536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0.12212897361702632</v>
      </c>
      <c r="CM189" s="23">
        <f>EXP(-LN(2)/2)*CM188+(1-EXP(-LN(2)/2))/(LN(2)/2)*CG189*CJ189*VLOOKUP('Données projet'!$B$12,Paramètres!$A$1:$I$89,3,0)*0.475*44/12</f>
        <v>4.2548775594267768E-23</v>
      </c>
      <c r="CN189" s="24">
        <f t="shared" si="172"/>
        <v>0.12212897361702632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projet'!$B$13,Paramètres!$A$1:$I$89,3,0)*VLOOKUP('Données projet'!$B$13,Paramètres!$A$1:$I$89,5,0)</f>
        <v>-2.7134774427395314E-13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343.37244130003143</v>
      </c>
      <c r="CZ189" s="62">
        <f t="shared" si="150"/>
        <v>318.38876834819763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-2.2737367544323206E-13</v>
      </c>
      <c r="DP189" s="18">
        <f>DO189*VLOOKUP('Données projet'!$B$14,Paramètres!$A$1:$I$89,3,0)*VLOOKUP('Données projet'!$B$14,Paramètres!$A$1:$I$89,5,0)</f>
        <v>-1.6671037883497774E-13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263.81634201637729</v>
      </c>
      <c r="DU189" s="62">
        <f t="shared" si="152"/>
        <v>302.03767435507262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322.63846641467165</v>
      </c>
      <c r="T190" s="62">
        <f t="shared" si="142"/>
        <v>435.17386576419966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0.26414840470945111</v>
      </c>
      <c r="AB190" s="23">
        <f>EXP(-LN(2)/2)*AB189+(1-EXP(-LN(2)/2))/(LN(2)/2)*V190*Y190*VLOOKUP('Données projet'!$B$9,Paramètres!$A$1:$I$89,3,0)*0.475*44/12</f>
        <v>6.8370727131570616E-24</v>
      </c>
      <c r="AC190" s="24">
        <f t="shared" si="163"/>
        <v>0.26414840470945111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175.05987582828078</v>
      </c>
      <c r="AO190" s="62">
        <f t="shared" si="144"/>
        <v>268.54782308462387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0.11685576356661749</v>
      </c>
      <c r="AW190" s="23">
        <f>EXP(-LN(2)/2)*AW189+(1-EXP(-LN(2)/2))/(LN(2)/2)*AQ190*AT190*VLOOKUP('Données projet'!$B$10,Paramètres!$A$1:$I$89,3,0)*0.475*44/12</f>
        <v>2.9593766444169147E-23</v>
      </c>
      <c r="AX190" s="23">
        <f t="shared" si="166"/>
        <v>0.11685576356661749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-7.9808160080574461E-14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183.46485104601493</v>
      </c>
      <c r="BJ190" s="62">
        <f t="shared" si="146"/>
        <v>127.47790120677581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-3.2514435588382188E-14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228.06050741667258</v>
      </c>
      <c r="CE190" s="62">
        <f t="shared" si="148"/>
        <v>191.94885821983536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0.11878935041098514</v>
      </c>
      <c r="CM190" s="23">
        <f>EXP(-LN(2)/2)*CM189+(1-EXP(-LN(2)/2))/(LN(2)/2)*CG190*CJ190*VLOOKUP('Données projet'!$B$12,Paramètres!$A$1:$I$89,3,0)*0.475*44/12</f>
        <v>3.0086527753891412E-23</v>
      </c>
      <c r="CN190" s="24">
        <f t="shared" si="172"/>
        <v>0.11878935041098514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projet'!$B$13,Paramètres!$A$1:$I$89,3,0)*VLOOKUP('Données projet'!$B$13,Paramètres!$A$1:$I$89,5,0)</f>
        <v>-2.7134774427395314E-13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343.37244130003143</v>
      </c>
      <c r="CZ190" s="62">
        <f t="shared" si="150"/>
        <v>318.38876834819763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-2.2737367544323206E-13</v>
      </c>
      <c r="DP190" s="18">
        <f>DO190*VLOOKUP('Données projet'!$B$14,Paramètres!$A$1:$I$89,3,0)*VLOOKUP('Données projet'!$B$14,Paramètres!$A$1:$I$89,5,0)</f>
        <v>-1.6671037883497774E-13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263.81634201637729</v>
      </c>
      <c r="DU190" s="62">
        <f t="shared" si="152"/>
        <v>302.03767435507262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322.63846641467165</v>
      </c>
      <c r="T191" s="62">
        <f t="shared" si="142"/>
        <v>435.17386576419966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0.25692525269171029</v>
      </c>
      <c r="AB191" s="23">
        <f>EXP(-LN(2)/2)*AB190+(1-EXP(-LN(2)/2))/(LN(2)/2)*V191*Y191*VLOOKUP('Données projet'!$B$9,Paramètres!$A$1:$I$89,3,0)*0.475*44/12</f>
        <v>4.8345404789388652E-24</v>
      </c>
      <c r="AC191" s="24">
        <f t="shared" si="163"/>
        <v>0.25692525269171029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175.05987582828078</v>
      </c>
      <c r="AO191" s="62">
        <f t="shared" si="144"/>
        <v>268.54782308462387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0.1136603365667108</v>
      </c>
      <c r="AW191" s="23">
        <f>EXP(-LN(2)/2)*AW190+(1-EXP(-LN(2)/2))/(LN(2)/2)*AQ191*AT191*VLOOKUP('Données projet'!$B$10,Paramètres!$A$1:$I$89,3,0)*0.475*44/12</f>
        <v>2.0925952933522906E-23</v>
      </c>
      <c r="AX191" s="23">
        <f t="shared" si="166"/>
        <v>0.1136603365667108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-7.9808160080574461E-14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183.46485104601493</v>
      </c>
      <c r="BJ191" s="62">
        <f t="shared" si="146"/>
        <v>127.47790120677581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-3.2514435588382188E-14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228.06050741667258</v>
      </c>
      <c r="CE191" s="62">
        <f t="shared" si="148"/>
        <v>191.94885821983536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0.1155410493771363</v>
      </c>
      <c r="CM191" s="23">
        <f>EXP(-LN(2)/2)*CM190+(1-EXP(-LN(2)/2))/(LN(2)/2)*CG191*CJ191*VLOOKUP('Données projet'!$B$12,Paramètres!$A$1:$I$89,3,0)*0.475*44/12</f>
        <v>2.1274387797133884E-23</v>
      </c>
      <c r="CN191" s="24">
        <f t="shared" si="172"/>
        <v>0.1155410493771363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projet'!$B$13,Paramètres!$A$1:$I$89,3,0)*VLOOKUP('Données projet'!$B$13,Paramètres!$A$1:$I$89,5,0)</f>
        <v>-2.7134774427395314E-13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343.37244130003143</v>
      </c>
      <c r="CZ191" s="62">
        <f t="shared" si="150"/>
        <v>318.38876834819763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-2.2737367544323206E-13</v>
      </c>
      <c r="DP191" s="18">
        <f>DO191*VLOOKUP('Données projet'!$B$14,Paramètres!$A$1:$I$89,3,0)*VLOOKUP('Données projet'!$B$14,Paramètres!$A$1:$I$89,5,0)</f>
        <v>-1.6671037883497774E-13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263.81634201637729</v>
      </c>
      <c r="DU191" s="62">
        <f t="shared" si="152"/>
        <v>302.03767435507262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322.63846641467165</v>
      </c>
      <c r="T192" s="62">
        <f t="shared" si="142"/>
        <v>435.17386576419966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0.24989961814574366</v>
      </c>
      <c r="AB192" s="23">
        <f>EXP(-LN(2)/2)*AB191+(1-EXP(-LN(2)/2))/(LN(2)/2)*V192*Y192*VLOOKUP('Données projet'!$B$9,Paramètres!$A$1:$I$89,3,0)*0.475*44/12</f>
        <v>3.4185363565785308E-24</v>
      </c>
      <c r="AC192" s="24">
        <f t="shared" si="163"/>
        <v>0.24989961814574366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175.05987582828078</v>
      </c>
      <c r="AO192" s="62">
        <f t="shared" si="144"/>
        <v>268.54782308462387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0.11055228868615677</v>
      </c>
      <c r="AW192" s="23">
        <f>EXP(-LN(2)/2)*AW191+(1-EXP(-LN(2)/2))/(LN(2)/2)*AQ192*AT192*VLOOKUP('Données projet'!$B$10,Paramètres!$A$1:$I$89,3,0)*0.475*44/12</f>
        <v>1.4796883222084573E-23</v>
      </c>
      <c r="AX192" s="23">
        <f t="shared" si="166"/>
        <v>0.11055228868615677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-7.9808160080574461E-14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183.46485104601493</v>
      </c>
      <c r="BJ192" s="62">
        <f t="shared" si="146"/>
        <v>127.47790120677581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-3.2514435588382188E-14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228.06050741667258</v>
      </c>
      <c r="CE192" s="62">
        <f t="shared" si="148"/>
        <v>191.94885821983536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0.11238157330587879</v>
      </c>
      <c r="CM192" s="23">
        <f>EXP(-LN(2)/2)*CM191+(1-EXP(-LN(2)/2))/(LN(2)/2)*CG192*CJ192*VLOOKUP('Données projet'!$B$12,Paramètres!$A$1:$I$89,3,0)*0.475*44/12</f>
        <v>1.5043263876945706E-23</v>
      </c>
      <c r="CN192" s="24">
        <f t="shared" si="172"/>
        <v>0.11238157330587879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projet'!$B$13,Paramètres!$A$1:$I$89,3,0)*VLOOKUP('Données projet'!$B$13,Paramètres!$A$1:$I$89,5,0)</f>
        <v>-2.7134774427395314E-13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343.37244130003143</v>
      </c>
      <c r="CZ192" s="62">
        <f t="shared" si="150"/>
        <v>318.38876834819763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-2.2737367544323206E-13</v>
      </c>
      <c r="DP192" s="18">
        <f>DO192*VLOOKUP('Données projet'!$B$14,Paramètres!$A$1:$I$89,3,0)*VLOOKUP('Données projet'!$B$14,Paramètres!$A$1:$I$89,5,0)</f>
        <v>-1.6671037883497774E-13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263.81634201637729</v>
      </c>
      <c r="DU192" s="62">
        <f t="shared" si="152"/>
        <v>302.03767435507262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322.63846641467165</v>
      </c>
      <c r="T193" s="62">
        <f t="shared" si="142"/>
        <v>435.17386576419966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0.24306609994589853</v>
      </c>
      <c r="AB193" s="23">
        <f>EXP(-LN(2)/2)*AB192+(1-EXP(-LN(2)/2))/(LN(2)/2)*V193*Y193*VLOOKUP('Données projet'!$B$9,Paramètres!$A$1:$I$89,3,0)*0.475*44/12</f>
        <v>2.4172702394694326E-24</v>
      </c>
      <c r="AC193" s="24">
        <f t="shared" si="163"/>
        <v>0.24306609994589853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175.05987582828078</v>
      </c>
      <c r="AO193" s="62">
        <f t="shared" si="144"/>
        <v>268.54782308462387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0.10752923053834162</v>
      </c>
      <c r="AW193" s="23">
        <f>EXP(-LN(2)/2)*AW192+(1-EXP(-LN(2)/2))/(LN(2)/2)*AQ193*AT193*VLOOKUP('Données projet'!$B$10,Paramètres!$A$1:$I$89,3,0)*0.475*44/12</f>
        <v>1.0462976466761453E-23</v>
      </c>
      <c r="AX193" s="23">
        <f t="shared" si="166"/>
        <v>0.10752923053834162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-7.9808160080574461E-14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183.46485104601493</v>
      </c>
      <c r="BJ193" s="62">
        <f t="shared" si="146"/>
        <v>127.47790120677581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-3.2514435588382188E-14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228.06050741667258</v>
      </c>
      <c r="CE193" s="62">
        <f t="shared" si="148"/>
        <v>191.94885821983536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0.10930849327393945</v>
      </c>
      <c r="CM193" s="23">
        <f>EXP(-LN(2)/2)*CM192+(1-EXP(-LN(2)/2))/(LN(2)/2)*CG193*CJ193*VLOOKUP('Données projet'!$B$12,Paramètres!$A$1:$I$89,3,0)*0.475*44/12</f>
        <v>1.0637193898566942E-23</v>
      </c>
      <c r="CN193" s="24">
        <f t="shared" si="172"/>
        <v>0.10930849327393945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projet'!$B$13,Paramètres!$A$1:$I$89,3,0)*VLOOKUP('Données projet'!$B$13,Paramètres!$A$1:$I$89,5,0)</f>
        <v>-2.7134774427395314E-13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343.37244130003143</v>
      </c>
      <c r="CZ193" s="62">
        <f t="shared" si="150"/>
        <v>318.38876834819763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-2.2737367544323206E-13</v>
      </c>
      <c r="DP193" s="18">
        <f>DO193*VLOOKUP('Données projet'!$B$14,Paramètres!$A$1:$I$89,3,0)*VLOOKUP('Données projet'!$B$14,Paramètres!$A$1:$I$89,5,0)</f>
        <v>-1.6671037883497774E-13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263.81634201637729</v>
      </c>
      <c r="DU193" s="62">
        <f t="shared" si="152"/>
        <v>302.03767435507262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322.63846641467165</v>
      </c>
      <c r="T194" s="62">
        <f t="shared" si="142"/>
        <v>435.17386576419966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0.23641944466058729</v>
      </c>
      <c r="AB194" s="23">
        <f>EXP(-LN(2)/2)*AB193+(1-EXP(-LN(2)/2))/(LN(2)/2)*V194*Y194*VLOOKUP('Données projet'!$B$9,Paramètres!$A$1:$I$89,3,0)*0.475*44/12</f>
        <v>1.7092681782892654E-24</v>
      </c>
      <c r="AC194" s="24">
        <f t="shared" si="163"/>
        <v>0.23641944466058729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175.05987582828078</v>
      </c>
      <c r="AO194" s="62">
        <f t="shared" si="144"/>
        <v>268.54782308462387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0.1045888380745542</v>
      </c>
      <c r="AW194" s="23">
        <f>EXP(-LN(2)/2)*AW193+(1-EXP(-LN(2)/2))/(LN(2)/2)*AQ194*AT194*VLOOKUP('Données projet'!$B$10,Paramètres!$A$1:$I$89,3,0)*0.475*44/12</f>
        <v>7.3984416110422867E-24</v>
      </c>
      <c r="AX194" s="23">
        <f t="shared" si="166"/>
        <v>0.1045888380745542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-7.9808160080574461E-14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183.46485104601493</v>
      </c>
      <c r="BJ194" s="62">
        <f t="shared" si="146"/>
        <v>127.47790120677581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-3.2514435588382188E-14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228.06050741667258</v>
      </c>
      <c r="CE194" s="62">
        <f t="shared" si="148"/>
        <v>191.94885821983536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0.10631944677707975</v>
      </c>
      <c r="CM194" s="23">
        <f>EXP(-LN(2)/2)*CM193+(1-EXP(-LN(2)/2))/(LN(2)/2)*CG194*CJ194*VLOOKUP('Données projet'!$B$12,Paramètres!$A$1:$I$89,3,0)*0.475*44/12</f>
        <v>7.521631938472853E-24</v>
      </c>
      <c r="CN194" s="24">
        <f t="shared" si="172"/>
        <v>0.10631944677707975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projet'!$B$13,Paramètres!$A$1:$I$89,3,0)*VLOOKUP('Données projet'!$B$13,Paramètres!$A$1:$I$89,5,0)</f>
        <v>-2.7134774427395314E-13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343.37244130003143</v>
      </c>
      <c r="CZ194" s="62">
        <f t="shared" si="150"/>
        <v>318.38876834819763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-2.2737367544323206E-13</v>
      </c>
      <c r="DP194" s="18">
        <f>DO194*VLOOKUP('Données projet'!$B$14,Paramètres!$A$1:$I$89,3,0)*VLOOKUP('Données projet'!$B$14,Paramètres!$A$1:$I$89,5,0)</f>
        <v>-1.6671037883497774E-13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263.81634201637729</v>
      </c>
      <c r="DU194" s="62">
        <f t="shared" si="152"/>
        <v>302.03767435507262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322.63846641467165</v>
      </c>
      <c r="T195" s="62">
        <f t="shared" si="142"/>
        <v>435.17386576419966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0.22995454251358527</v>
      </c>
      <c r="AB195" s="23">
        <f>EXP(-LN(2)/2)*AB194+(1-EXP(-LN(2)/2))/(LN(2)/2)*V195*Y195*VLOOKUP('Données projet'!$B$9,Paramètres!$A$1:$I$89,3,0)*0.475*44/12</f>
        <v>1.2086351197347163E-24</v>
      </c>
      <c r="AC195" s="24">
        <f t="shared" si="163"/>
        <v>0.22995454251358527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175.05987582828078</v>
      </c>
      <c r="AO195" s="62">
        <f t="shared" si="144"/>
        <v>268.54782308462387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0.10172885079731755</v>
      </c>
      <c r="AW195" s="23">
        <f>EXP(-LN(2)/2)*AW194+(1-EXP(-LN(2)/2))/(LN(2)/2)*AQ195*AT195*VLOOKUP('Données projet'!$B$10,Paramètres!$A$1:$I$89,3,0)*0.475*44/12</f>
        <v>5.2314882333807264E-24</v>
      </c>
      <c r="AX195" s="23">
        <f t="shared" si="166"/>
        <v>0.10172885079731755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-7.9808160080574461E-14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183.46485104601493</v>
      </c>
      <c r="BJ195" s="62">
        <f t="shared" si="146"/>
        <v>127.47790120677581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-3.2514435588382188E-14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228.06050741667258</v>
      </c>
      <c r="CE195" s="62">
        <f t="shared" si="148"/>
        <v>191.94885821983536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0.10341213591386379</v>
      </c>
      <c r="CM195" s="23">
        <f>EXP(-LN(2)/2)*CM194+(1-EXP(-LN(2)/2))/(LN(2)/2)*CG195*CJ195*VLOOKUP('Données projet'!$B$12,Paramètres!$A$1:$I$89,3,0)*0.475*44/12</f>
        <v>5.3185969492834709E-24</v>
      </c>
      <c r="CN195" s="24">
        <f t="shared" si="172"/>
        <v>0.10341213591386379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projet'!$B$13,Paramètres!$A$1:$I$89,3,0)*VLOOKUP('Données projet'!$B$13,Paramètres!$A$1:$I$89,5,0)</f>
        <v>-2.7134774427395314E-13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343.37244130003143</v>
      </c>
      <c r="CZ195" s="62">
        <f t="shared" si="150"/>
        <v>318.38876834819763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-2.2737367544323206E-13</v>
      </c>
      <c r="DP195" s="18">
        <f>DO195*VLOOKUP('Données projet'!$B$14,Paramètres!$A$1:$I$89,3,0)*VLOOKUP('Données projet'!$B$14,Paramètres!$A$1:$I$89,5,0)</f>
        <v>-1.6671037883497774E-13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263.81634201637729</v>
      </c>
      <c r="DU195" s="62">
        <f t="shared" si="152"/>
        <v>302.03767435507262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322.63846641467165</v>
      </c>
      <c r="T196" s="62">
        <f t="shared" si="142"/>
        <v>435.17386576419966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0.22366642345576745</v>
      </c>
      <c r="AB196" s="23">
        <f>EXP(-LN(2)/2)*AB195+(1-EXP(-LN(2)/2))/(LN(2)/2)*V196*Y196*VLOOKUP('Données projet'!$B$9,Paramètres!$A$1:$I$89,3,0)*0.475*44/12</f>
        <v>8.546340891446327E-25</v>
      </c>
      <c r="AC196" s="24">
        <f t="shared" si="163"/>
        <v>0.22366642345576745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175.05987582828078</v>
      </c>
      <c r="AO196" s="62">
        <f t="shared" si="144"/>
        <v>268.54782308462387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9.8947070022577147E-2</v>
      </c>
      <c r="AW196" s="23">
        <f>EXP(-LN(2)/2)*AW195+(1-EXP(-LN(2)/2))/(LN(2)/2)*AQ196*AT196*VLOOKUP('Données projet'!$B$10,Paramètres!$A$1:$I$89,3,0)*0.475*44/12</f>
        <v>3.6992208055211434E-24</v>
      </c>
      <c r="AX196" s="23">
        <f t="shared" si="166"/>
        <v>9.8947070022577147E-2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-7.9808160080574461E-14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183.46485104601493</v>
      </c>
      <c r="BJ196" s="62">
        <f t="shared" si="146"/>
        <v>127.47790120677581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-3.2514435588382188E-14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228.06050741667258</v>
      </c>
      <c r="CE196" s="62">
        <f t="shared" si="148"/>
        <v>191.94885821983536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0.10058432561909131</v>
      </c>
      <c r="CM196" s="23">
        <f>EXP(-LN(2)/2)*CM195+(1-EXP(-LN(2)/2))/(LN(2)/2)*CG196*CJ196*VLOOKUP('Données projet'!$B$12,Paramètres!$A$1:$I$89,3,0)*0.475*44/12</f>
        <v>3.7608159692364265E-24</v>
      </c>
      <c r="CN196" s="24">
        <f t="shared" si="172"/>
        <v>0.10058432561909131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projet'!$B$13,Paramètres!$A$1:$I$89,3,0)*VLOOKUP('Données projet'!$B$13,Paramètres!$A$1:$I$89,5,0)</f>
        <v>-2.7134774427395314E-13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343.37244130003143</v>
      </c>
      <c r="CZ196" s="62">
        <f t="shared" si="150"/>
        <v>318.38876834819763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-2.2737367544323206E-13</v>
      </c>
      <c r="DP196" s="18">
        <f>DO196*VLOOKUP('Données projet'!$B$14,Paramètres!$A$1:$I$89,3,0)*VLOOKUP('Données projet'!$B$14,Paramètres!$A$1:$I$89,5,0)</f>
        <v>-1.6671037883497774E-13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263.81634201637729</v>
      </c>
      <c r="DU196" s="62">
        <f t="shared" si="152"/>
        <v>302.03767435507262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322.63846641467165</v>
      </c>
      <c r="T197" s="62">
        <f t="shared" ref="T197:T203" si="204">$T$3</f>
        <v>435.17386576419966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0.21755025334426348</v>
      </c>
      <c r="AB197" s="23">
        <f>EXP(-LN(2)/2)*AB196+(1-EXP(-LN(2)/2))/(LN(2)/2)*V197*Y197*VLOOKUP('Données projet'!$B$9,Paramètres!$A$1:$I$89,3,0)*0.475*44/12</f>
        <v>6.0431755986735815E-25</v>
      </c>
      <c r="AC197" s="24">
        <f t="shared" si="163"/>
        <v>0.21755025334426348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175.05987582828078</v>
      </c>
      <c r="AO197" s="62">
        <f t="shared" ref="AO197:AO203" si="205">$AO$3</f>
        <v>268.54782308462387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9.6241357189409515E-2</v>
      </c>
      <c r="AW197" s="23">
        <f>EXP(-LN(2)/2)*AW196+(1-EXP(-LN(2)/2))/(LN(2)/2)*AQ197*AT197*VLOOKUP('Données projet'!$B$10,Paramètres!$A$1:$I$89,3,0)*0.475*44/12</f>
        <v>2.6157441166903632E-24</v>
      </c>
      <c r="AX197" s="23">
        <f t="shared" si="166"/>
        <v>9.6241357189409515E-2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-7.9808160080574461E-14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183.46485104601493</v>
      </c>
      <c r="BJ197" s="62">
        <f t="shared" ref="BJ197:BJ203" si="206">$BJ$3</f>
        <v>127.47790120677581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-3.2514435588382188E-14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228.06050741667258</v>
      </c>
      <c r="CE197" s="62">
        <f t="shared" ref="CE197:CE203" si="207">$CE$3</f>
        <v>191.94885821983536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9.7833841945537459E-2</v>
      </c>
      <c r="CM197" s="23">
        <f>EXP(-LN(2)/2)*CM196+(1-EXP(-LN(2)/2))/(LN(2)/2)*CG197*CJ197*VLOOKUP('Données projet'!$B$12,Paramètres!$A$1:$I$89,3,0)*0.475*44/12</f>
        <v>2.6592984746417355E-24</v>
      </c>
      <c r="CN197" s="24">
        <f t="shared" si="172"/>
        <v>9.7833841945537459E-2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projet'!$B$13,Paramètres!$A$1:$I$89,3,0)*VLOOKUP('Données projet'!$B$13,Paramètres!$A$1:$I$89,5,0)</f>
        <v>-2.7134774427395314E-13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343.37244130003143</v>
      </c>
      <c r="CZ197" s="62">
        <f t="shared" ref="CZ197:CZ203" si="208">$CZ$3</f>
        <v>318.38876834819763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-2.2737367544323206E-13</v>
      </c>
      <c r="DP197" s="18">
        <f>DO197*VLOOKUP('Données projet'!$B$14,Paramètres!$A$1:$I$89,3,0)*VLOOKUP('Données projet'!$B$14,Paramètres!$A$1:$I$89,5,0)</f>
        <v>-1.6671037883497774E-13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263.81634201637729</v>
      </c>
      <c r="DU197" s="62">
        <f t="shared" ref="DU197:DU203" si="209">$DU$3</f>
        <v>302.03767435507262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322.63846641467165</v>
      </c>
      <c r="T198" s="62">
        <f t="shared" si="204"/>
        <v>435.17386576419966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0.21160133022609398</v>
      </c>
      <c r="AB198" s="23">
        <f>EXP(-LN(2)/2)*AB197+(1-EXP(-LN(2)/2))/(LN(2)/2)*V198*Y198*VLOOKUP('Données projet'!$B$9,Paramètres!$A$1:$I$89,3,0)*0.475*44/12</f>
        <v>4.2731704457231635E-25</v>
      </c>
      <c r="AC198" s="24">
        <f t="shared" si="163"/>
        <v>0.21160133022609398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175.05987582828078</v>
      </c>
      <c r="AO198" s="62">
        <f t="shared" si="205"/>
        <v>268.54782308462387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9.3609632215952102E-2</v>
      </c>
      <c r="AW198" s="23">
        <f>EXP(-LN(2)/2)*AW197+(1-EXP(-LN(2)/2))/(LN(2)/2)*AQ198*AT198*VLOOKUP('Données projet'!$B$10,Paramètres!$A$1:$I$89,3,0)*0.475*44/12</f>
        <v>1.8496104027605717E-24</v>
      </c>
      <c r="AX198" s="23">
        <f t="shared" si="166"/>
        <v>9.3609632215952102E-2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-7.9808160080574461E-14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183.46485104601493</v>
      </c>
      <c r="BJ198" s="62">
        <f t="shared" si="206"/>
        <v>127.47790120677581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-3.2514435588382188E-14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228.06050741667258</v>
      </c>
      <c r="CE198" s="62">
        <f t="shared" si="207"/>
        <v>191.94885821983536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9.5158570392678596E-2</v>
      </c>
      <c r="CM198" s="23">
        <f>EXP(-LN(2)/2)*CM197+(1-EXP(-LN(2)/2))/(LN(2)/2)*CG198*CJ198*VLOOKUP('Données projet'!$B$12,Paramètres!$A$1:$I$89,3,0)*0.475*44/12</f>
        <v>1.8804079846182132E-24</v>
      </c>
      <c r="CN198" s="24">
        <f t="shared" si="172"/>
        <v>9.5158570392678596E-2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projet'!$B$13,Paramètres!$A$1:$I$89,3,0)*VLOOKUP('Données projet'!$B$13,Paramètres!$A$1:$I$89,5,0)</f>
        <v>-2.7134774427395314E-13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343.37244130003143</v>
      </c>
      <c r="CZ198" s="62">
        <f t="shared" si="208"/>
        <v>318.38876834819763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-2.2737367544323206E-13</v>
      </c>
      <c r="DP198" s="18">
        <f>DO198*VLOOKUP('Données projet'!$B$14,Paramètres!$A$1:$I$89,3,0)*VLOOKUP('Données projet'!$B$14,Paramètres!$A$1:$I$89,5,0)</f>
        <v>-1.6671037883497774E-13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263.81634201637729</v>
      </c>
      <c r="DU198" s="62">
        <f t="shared" si="209"/>
        <v>302.03767435507262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322.63846641467165</v>
      </c>
      <c r="T199" s="62">
        <f t="shared" si="204"/>
        <v>435.17386576419966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0.2058150807234311</v>
      </c>
      <c r="AB199" s="23">
        <f>EXP(-LN(2)/2)*AB198+(1-EXP(-LN(2)/2))/(LN(2)/2)*V199*Y199*VLOOKUP('Données projet'!$B$9,Paramètres!$A$1:$I$89,3,0)*0.475*44/12</f>
        <v>3.0215877993367908E-25</v>
      </c>
      <c r="AC199" s="24">
        <f t="shared" si="163"/>
        <v>0.2058150807234311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175.05987582828078</v>
      </c>
      <c r="AO199" s="62">
        <f t="shared" si="205"/>
        <v>268.54782308462387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9.1049871900290277E-2</v>
      </c>
      <c r="AW199" s="23">
        <f>EXP(-LN(2)/2)*AW198+(1-EXP(-LN(2)/2))/(LN(2)/2)*AQ199*AT199*VLOOKUP('Données projet'!$B$10,Paramètres!$A$1:$I$89,3,0)*0.475*44/12</f>
        <v>1.3078720583451816E-24</v>
      </c>
      <c r="AX199" s="23">
        <f t="shared" si="166"/>
        <v>9.1049871900290277E-2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-7.9808160080574461E-14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183.46485104601493</v>
      </c>
      <c r="BJ199" s="62">
        <f t="shared" si="206"/>
        <v>127.47790120677581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-3.2514435588382188E-14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228.06050741667258</v>
      </c>
      <c r="CE199" s="62">
        <f t="shared" si="207"/>
        <v>191.94885821983536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9.2556454281119069E-2</v>
      </c>
      <c r="CM199" s="23">
        <f>EXP(-LN(2)/2)*CM198+(1-EXP(-LN(2)/2))/(LN(2)/2)*CG199*CJ199*VLOOKUP('Données projet'!$B$12,Paramètres!$A$1:$I$89,3,0)*0.475*44/12</f>
        <v>1.3296492373208677E-24</v>
      </c>
      <c r="CN199" s="24">
        <f t="shared" si="172"/>
        <v>9.2556454281119069E-2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projet'!$B$13,Paramètres!$A$1:$I$89,3,0)*VLOOKUP('Données projet'!$B$13,Paramètres!$A$1:$I$89,5,0)</f>
        <v>-2.7134774427395314E-13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343.37244130003143</v>
      </c>
      <c r="CZ199" s="62">
        <f t="shared" si="208"/>
        <v>318.38876834819763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-2.2737367544323206E-13</v>
      </c>
      <c r="DP199" s="18">
        <f>DO199*VLOOKUP('Données projet'!$B$14,Paramètres!$A$1:$I$89,3,0)*VLOOKUP('Données projet'!$B$14,Paramètres!$A$1:$I$89,5,0)</f>
        <v>-1.6671037883497774E-13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263.81634201637729</v>
      </c>
      <c r="DU199" s="62">
        <f t="shared" si="209"/>
        <v>302.03767435507262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322.63846641467165</v>
      </c>
      <c r="T200" s="62">
        <f t="shared" si="204"/>
        <v>435.17386576419966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0.20018705651770419</v>
      </c>
      <c r="AB200" s="23">
        <f>EXP(-LN(2)/2)*AB199+(1-EXP(-LN(2)/2))/(LN(2)/2)*V200*Y200*VLOOKUP('Données projet'!$B$9,Paramètres!$A$1:$I$89,3,0)*0.475*44/12</f>
        <v>2.1365852228615818E-25</v>
      </c>
      <c r="AC200" s="24">
        <f t="shared" si="163"/>
        <v>0.20018705651770419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175.05987582828078</v>
      </c>
      <c r="AO200" s="62">
        <f t="shared" si="205"/>
        <v>268.54782308462387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8.8560108365072179E-2</v>
      </c>
      <c r="AW200" s="23">
        <f>EXP(-LN(2)/2)*AW199+(1-EXP(-LN(2)/2))/(LN(2)/2)*AQ200*AT200*VLOOKUP('Données projet'!$B$10,Paramètres!$A$1:$I$89,3,0)*0.475*44/12</f>
        <v>9.2480520138028584E-25</v>
      </c>
      <c r="AX200" s="23">
        <f t="shared" si="166"/>
        <v>8.8560108365072179E-2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-7.9808160080574461E-14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183.46485104601493</v>
      </c>
      <c r="BJ200" s="62">
        <f t="shared" si="206"/>
        <v>127.47790120677581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-3.2514435588382188E-14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228.06050741667258</v>
      </c>
      <c r="CE200" s="62">
        <f t="shared" si="207"/>
        <v>191.94885821983536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9.0025493171469476E-2</v>
      </c>
      <c r="CM200" s="23">
        <f>EXP(-LN(2)/2)*CM199+(1-EXP(-LN(2)/2))/(LN(2)/2)*CG200*CJ200*VLOOKUP('Données projet'!$B$12,Paramètres!$A$1:$I$89,3,0)*0.475*44/12</f>
        <v>9.4020399230910662E-25</v>
      </c>
      <c r="CN200" s="24">
        <f t="shared" si="172"/>
        <v>9.0025493171469476E-2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projet'!$B$13,Paramètres!$A$1:$I$89,3,0)*VLOOKUP('Données projet'!$B$13,Paramètres!$A$1:$I$89,5,0)</f>
        <v>-2.7134774427395314E-13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343.37244130003143</v>
      </c>
      <c r="CZ200" s="62">
        <f t="shared" si="208"/>
        <v>318.38876834819763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-2.2737367544323206E-13</v>
      </c>
      <c r="DP200" s="18">
        <f>DO200*VLOOKUP('Données projet'!$B$14,Paramètres!$A$1:$I$89,3,0)*VLOOKUP('Données projet'!$B$14,Paramètres!$A$1:$I$89,5,0)</f>
        <v>-1.6671037883497774E-13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263.81634201637729</v>
      </c>
      <c r="DU200" s="62">
        <f t="shared" si="209"/>
        <v>302.03767435507262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322.63846641467165</v>
      </c>
      <c r="T201" s="62">
        <f t="shared" si="204"/>
        <v>435.17386576419966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0.19471293092984779</v>
      </c>
      <c r="AB201" s="23">
        <f>EXP(-LN(2)/2)*AB200+(1-EXP(-LN(2)/2))/(LN(2)/2)*V201*Y201*VLOOKUP('Données projet'!$B$9,Paramètres!$A$1:$I$89,3,0)*0.475*44/12</f>
        <v>1.5107938996683954E-25</v>
      </c>
      <c r="AC201" s="24">
        <f t="shared" si="163"/>
        <v>0.19471293092984779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175.05987582828078</v>
      </c>
      <c r="AO201" s="62">
        <f t="shared" si="205"/>
        <v>268.54782308462387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8.6138427544655588E-2</v>
      </c>
      <c r="AW201" s="23">
        <f>EXP(-LN(2)/2)*AW200+(1-EXP(-LN(2)/2))/(LN(2)/2)*AQ201*AT201*VLOOKUP('Données projet'!$B$10,Paramètres!$A$1:$I$89,3,0)*0.475*44/12</f>
        <v>6.539360291725908E-25</v>
      </c>
      <c r="AX201" s="23">
        <f t="shared" si="166"/>
        <v>8.6138427544655588E-2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-7.9808160080574461E-14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183.46485104601493</v>
      </c>
      <c r="BJ201" s="62">
        <f t="shared" si="206"/>
        <v>127.47790120677581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-3.2514435588382188E-14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228.06050741667258</v>
      </c>
      <c r="CE201" s="62">
        <f t="shared" si="207"/>
        <v>191.94885821983536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8.7563741326460706E-2</v>
      </c>
      <c r="CM201" s="23">
        <f>EXP(-LN(2)/2)*CM200+(1-EXP(-LN(2)/2))/(LN(2)/2)*CG201*CJ201*VLOOKUP('Données projet'!$B$12,Paramètres!$A$1:$I$89,3,0)*0.475*44/12</f>
        <v>6.6482461866043387E-25</v>
      </c>
      <c r="CN201" s="24">
        <f t="shared" si="172"/>
        <v>8.7563741326460706E-2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projet'!$B$13,Paramètres!$A$1:$I$89,3,0)*VLOOKUP('Données projet'!$B$13,Paramètres!$A$1:$I$89,5,0)</f>
        <v>-2.7134774427395314E-13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343.37244130003143</v>
      </c>
      <c r="CZ201" s="62">
        <f t="shared" si="208"/>
        <v>318.38876834819763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-2.2737367544323206E-13</v>
      </c>
      <c r="DP201" s="18">
        <f>DO201*VLOOKUP('Données projet'!$B$14,Paramètres!$A$1:$I$89,3,0)*VLOOKUP('Données projet'!$B$14,Paramètres!$A$1:$I$89,5,0)</f>
        <v>-1.6671037883497774E-13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263.81634201637729</v>
      </c>
      <c r="DU201" s="62">
        <f t="shared" si="209"/>
        <v>302.03767435507262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322.63846641467165</v>
      </c>
      <c r="T202" s="62">
        <f t="shared" si="204"/>
        <v>435.17386576419966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0.18938849559406309</v>
      </c>
      <c r="AB202" s="23">
        <f>EXP(-LN(2)/2)*AB201+(1-EXP(-LN(2)/2))/(LN(2)/2)*V202*Y202*VLOOKUP('Données projet'!$B$9,Paramètres!$A$1:$I$89,3,0)*0.475*44/12</f>
        <v>1.0682926114307909E-25</v>
      </c>
      <c r="AC202" s="24">
        <f t="shared" si="163"/>
        <v>0.18938849559406309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175.05987582828078</v>
      </c>
      <c r="AO202" s="62">
        <f t="shared" si="205"/>
        <v>268.54782308462387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8.3782967713623951E-2</v>
      </c>
      <c r="AW202" s="23">
        <f>EXP(-LN(2)/2)*AW201+(1-EXP(-LN(2)/2))/(LN(2)/2)*AQ202*AT202*VLOOKUP('Données projet'!$B$10,Paramètres!$A$1:$I$89,3,0)*0.475*44/12</f>
        <v>4.6240260069014292E-25</v>
      </c>
      <c r="AX202" s="23">
        <f t="shared" si="166"/>
        <v>8.3782967713623951E-2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-7.9808160080574461E-14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183.46485104601493</v>
      </c>
      <c r="BJ202" s="62">
        <f t="shared" si="206"/>
        <v>127.47790120677581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-3.2514435588382188E-14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228.06050741667258</v>
      </c>
      <c r="CE202" s="62">
        <f t="shared" si="207"/>
        <v>191.94885821983536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8.5169306215111609E-2</v>
      </c>
      <c r="CM202" s="23">
        <f>EXP(-LN(2)/2)*CM201+(1-EXP(-LN(2)/2))/(LN(2)/2)*CG202*CJ202*VLOOKUP('Données projet'!$B$12,Paramètres!$A$1:$I$89,3,0)*0.475*44/12</f>
        <v>4.7010199615455331E-25</v>
      </c>
      <c r="CN202" s="24">
        <f t="shared" si="172"/>
        <v>8.5169306215111609E-2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projet'!$B$13,Paramètres!$A$1:$I$89,3,0)*VLOOKUP('Données projet'!$B$13,Paramètres!$A$1:$I$89,5,0)</f>
        <v>-2.7134774427395314E-13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343.37244130003143</v>
      </c>
      <c r="CZ202" s="62">
        <f t="shared" si="208"/>
        <v>318.38876834819763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-2.2737367544323206E-13</v>
      </c>
      <c r="DP202" s="18">
        <f>DO202*VLOOKUP('Données projet'!$B$14,Paramètres!$A$1:$I$89,3,0)*VLOOKUP('Données projet'!$B$14,Paramètres!$A$1:$I$89,5,0)</f>
        <v>-1.6671037883497774E-13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263.81634201637729</v>
      </c>
      <c r="DU202" s="62">
        <f t="shared" si="209"/>
        <v>302.03767435507262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322.63846641467165</v>
      </c>
      <c r="T203" s="62">
        <f t="shared" si="204"/>
        <v>435.17386576419966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0.18420965722253532</v>
      </c>
      <c r="AB203" s="23">
        <f>EXP(-LN(2)/2)*AB202+(1-EXP(-LN(2)/2))/(LN(2)/2)*V203*Y203*VLOOKUP('Données projet'!$B$9,Paramètres!$A$1:$I$89,3,0)*0.475*44/12</f>
        <v>7.5539694983419769E-26</v>
      </c>
      <c r="AC203" s="24">
        <f t="shared" si="163"/>
        <v>0.18420965722253532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175.05987582828078</v>
      </c>
      <c r="AO203" s="62">
        <f t="shared" si="205"/>
        <v>268.54782308462387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8.1491918055540125E-2</v>
      </c>
      <c r="AW203" s="23">
        <f>EXP(-LN(2)/2)*AW202+(1-EXP(-LN(2)/2))/(LN(2)/2)*AQ203*AT203*VLOOKUP('Données projet'!$B$10,Paramètres!$A$1:$I$89,3,0)*0.475*44/12</f>
        <v>3.269680145862954E-25</v>
      </c>
      <c r="AX203" s="23">
        <f t="shared" si="166"/>
        <v>8.1491918055540125E-2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-7.9808160080574461E-14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183.46485104601493</v>
      </c>
      <c r="BJ203" s="62">
        <f t="shared" si="206"/>
        <v>127.47790120677581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-3.2514435588382188E-14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228.06050741667258</v>
      </c>
      <c r="CE203" s="62">
        <f t="shared" si="207"/>
        <v>191.94885821983536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8.2840347057800232E-2</v>
      </c>
      <c r="CM203" s="23">
        <f>EXP(-LN(2)/2)*CM202+(1-EXP(-LN(2)/2))/(LN(2)/2)*CG203*CJ203*VLOOKUP('Données projet'!$B$12,Paramètres!$A$1:$I$89,3,0)*0.475*44/12</f>
        <v>3.3241230933021693E-25</v>
      </c>
      <c r="CN203" s="24">
        <f t="shared" si="172"/>
        <v>8.2840347057800232E-2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projet'!$B$13,Paramètres!$A$1:$I$89,3,0)*VLOOKUP('Données projet'!$B$13,Paramètres!$A$1:$I$89,5,0)</f>
        <v>-2.7134774427395314E-13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343.37244130003143</v>
      </c>
      <c r="CZ203" s="62">
        <f t="shared" si="208"/>
        <v>318.38876834819763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-2.2737367544323206E-13</v>
      </c>
      <c r="DP203" s="18">
        <f>DO203*VLOOKUP('Données projet'!$B$14,Paramètres!$A$1:$I$89,3,0)*VLOOKUP('Données projet'!$B$14,Paramètres!$A$1:$I$89,5,0)</f>
        <v>-1.6671037883497774E-13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263.81634201637729</v>
      </c>
      <c r="DU203" s="62">
        <f t="shared" si="209"/>
        <v>302.03767435507262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1.3480061545972777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1.2997069632623315</v>
      </c>
      <c r="BA205" s="88">
        <f>EXP(LN('Données projet'!B88)/'Données projet'!A88)</f>
        <v>1.1840119133911551</v>
      </c>
      <c r="BV205" s="88">
        <f>EXP(LN('Données projet'!B114)/'Données projet'!A114)</f>
        <v>1.2231148535053959</v>
      </c>
      <c r="CQ205" s="88">
        <f>EXP(LN('Données projet'!B140)/'Données projet'!A140)</f>
        <v>1.3423796509621049</v>
      </c>
      <c r="DL205" s="88">
        <f>EXP(LN('Données projet'!B166)/'Données projet'!A166)</f>
        <v>1.2709816152101407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67" zoomScale="90" zoomScaleNormal="90" workbookViewId="0">
      <selection activeCell="E7" sqref="E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3.3180000000000001</v>
      </c>
      <c r="C6" s="156">
        <f ca="1">IF(OR('Données projet'!B9="",'Données projet'!C9="",'Données projet'!C9=0%),0,Calculateur!S3)</f>
        <v>322.63846641467165</v>
      </c>
      <c r="D6" s="156">
        <f>IF(OR('Données projet'!B9="",'Données projet'!C9="",'Données projet'!C9=0%),0,Calculateur!T3)</f>
        <v>435.17386576419966</v>
      </c>
      <c r="E6" s="156">
        <f ca="1">MIN(C6,D6)</f>
        <v>322.63846641467165</v>
      </c>
      <c r="F6" s="156">
        <f ca="1">E6*B6</f>
        <v>1070.5144315638806</v>
      </c>
      <c r="G6" s="156">
        <f ca="1">F6*(100%-'Données projet'!$C$24)*(100%-'Données projet'!$C$25)*(100%-'Données projet'!$C$26)*(100%-'Données projet'!$C$27)</f>
        <v>963.46298840749262</v>
      </c>
      <c r="H6" s="157">
        <f>IF(OR('Données projet'!B9="",'Données projet'!C9="",'Données projet'!C9=0%),0,AVERAGE(Calculateur!$AC$3:$AC$33)*B6)</f>
        <v>38.577845899265654</v>
      </c>
      <c r="I6" s="158">
        <f>H6*(100%-'Données projet'!$C$24)*(100%-'Données projet'!$C$25)*(100%-'Données projet'!$C$26)*(100%-'Données projet'!$C$27)</f>
        <v>34.720061309339087</v>
      </c>
      <c r="J6" s="159">
        <f>IF(OR('Données projet'!B9="",'Données projet'!C9="",'Données projet'!C9=0%),0,SUM(Calculateur!$V$3:$V$33)*VLOOKUP('Données projet'!$B$9,Paramètres!$A$1:$I$89,9,0)*B6)</f>
        <v>296.76191999999998</v>
      </c>
      <c r="K6" s="160">
        <f>J6*(100%-'Données projet'!$C$24)*(100%-'Données projet'!$C$25)*(100%-'Données projet'!$C$26)*(100%-'Données projet'!$C$27)</f>
        <v>267.08572799999996</v>
      </c>
      <c r="L6" s="161">
        <f ca="1">G6+I6+K6</f>
        <v>1265.2687777168317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Mélèze d'Europe</v>
      </c>
      <c r="B7" s="163">
        <f>'Données projet'!D10</f>
        <v>1.5010000000000001</v>
      </c>
      <c r="C7" s="156">
        <f ca="1">IF(OR('Données projet'!B10="",'Données projet'!C10="",'Données projet'!C10=0%),0,Calculateur!AN3)</f>
        <v>175.05987582828078</v>
      </c>
      <c r="D7" s="156">
        <f>IF(OR('Données projet'!B10="",'Données projet'!C10="",'Données projet'!C10=0%),0,Calculateur!AO3)</f>
        <v>268.54782308462387</v>
      </c>
      <c r="E7" s="156">
        <f t="shared" ref="E7:E15" ca="1" si="0">MIN(C7,D7)</f>
        <v>175.05987582828078</v>
      </c>
      <c r="F7" s="156">
        <f t="shared" ref="F7:F15" ca="1" si="1">E7*B7</f>
        <v>262.76487361824945</v>
      </c>
      <c r="G7" s="156">
        <f ca="1">F7*(100%-'Données projet'!$C$24)*(100%-'Données projet'!$C$25)*(100%-'Données projet'!$C$26)*(100%-'Données projet'!$C$27)</f>
        <v>236.48838625642452</v>
      </c>
      <c r="H7" s="164">
        <f>IF(OR('Données projet'!B10="",'Données projet'!C10="",'Données projet'!C10=0%),0,AVERAGE(Calculateur!$AX$3:$AX$33)*B7)</f>
        <v>4.4777672701396103</v>
      </c>
      <c r="I7" s="158">
        <f>H7*(100%-'Données projet'!$C$24)*(100%-'Données projet'!$C$25)*(100%-'Données projet'!$C$26)*(100%-'Données projet'!$C$27)</f>
        <v>4.0299905431256491</v>
      </c>
      <c r="J7" s="159">
        <f>IF(OR('Données projet'!B10="",'Données projet'!C10="",'Données projet'!C10=0%),0,SUM(Calculateur!$AQ$3:$AQ$33)*VLOOKUP('Données projet'!$B$10,Paramètres!$A$1:$I$89,9,0)*B7)</f>
        <v>82.615040000000008</v>
      </c>
      <c r="K7" s="160">
        <f>J7*(100%-'Données projet'!$C$24)*(100%-'Données projet'!$C$25)*(100%-'Données projet'!$C$26)*(100%-'Données projet'!$C$27)</f>
        <v>74.353536000000005</v>
      </c>
      <c r="L7" s="161">
        <f t="shared" ref="L7:L15" ca="1" si="2">G7+I7+K7</f>
        <v>314.87191279955016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1.0270000000000001</v>
      </c>
      <c r="C8" s="156">
        <f ca="1">IF(OR('Données projet'!B11="",'Données projet'!C11="",'Données projet'!C11=0%),0,Calculateur!BI3)</f>
        <v>183.46485104601493</v>
      </c>
      <c r="D8" s="156">
        <f>IF(OR('Données projet'!B11="",'Données projet'!C11="",'Données projet'!C11=0%),0,Calculateur!BJ3)</f>
        <v>127.47790120677581</v>
      </c>
      <c r="E8" s="156">
        <f t="shared" ca="1" si="0"/>
        <v>127.47790120677581</v>
      </c>
      <c r="F8" s="156">
        <f t="shared" ca="1" si="1"/>
        <v>130.91980453935878</v>
      </c>
      <c r="G8" s="156">
        <f ca="1">F8*(100%-'Données projet'!$C$24)*(100%-'Données projet'!$C$25)*(100%-'Données projet'!$C$26)*(100%-'Données projet'!$C$27)</f>
        <v>117.8278240854229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117.8278240854229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sylvestre</v>
      </c>
      <c r="B9" s="163">
        <f>'Données projet'!D12</f>
        <v>1.0270000000000001</v>
      </c>
      <c r="C9" s="156">
        <f ca="1">IF(OR('Données projet'!B12="",'Données projet'!C12="",'Données projet'!C12=0%),0,Calculateur!CD3)</f>
        <v>228.06050741667258</v>
      </c>
      <c r="D9" s="156">
        <f>IF(OR('Données projet'!B12="",'Données projet'!C12="",'Données projet'!C12=0%),0,Calculateur!CE3)</f>
        <v>191.94885821983536</v>
      </c>
      <c r="E9" s="156">
        <f t="shared" ca="1" si="0"/>
        <v>191.94885821983536</v>
      </c>
      <c r="F9" s="156">
        <f t="shared" ca="1" si="1"/>
        <v>197.13147739177094</v>
      </c>
      <c r="G9" s="156">
        <f ca="1">F9*(100%-'Données projet'!$C$24)*(100%-'Données projet'!$C$25)*(100%-'Données projet'!$C$26)*(100%-'Données projet'!$C$27)</f>
        <v>177.41832965259385</v>
      </c>
      <c r="H9" s="164">
        <f>IF(OR('Données projet'!B12="",'Données projet'!C12="",'Données projet'!C12=0%),0,AVERAGE(Calculateur!$CN$3:$CN$33)*B9)</f>
        <v>1.9251040392300163</v>
      </c>
      <c r="I9" s="158">
        <f>H9*(100%-'Données projet'!$C$24)*(100%-'Données projet'!$C$25)*(100%-'Données projet'!$C$26)*(100%-'Données projet'!$C$27)</f>
        <v>1.7325936353070146</v>
      </c>
      <c r="J9" s="159">
        <f>IF(OR('Données projet'!B12="",'Données projet'!C12="",'Données projet'!C12=0%),0,SUM(Calculateur!$CG$3:$CG$33)*VLOOKUP('Données projet'!$B$12,Paramètres!$A$1:$I$89,9,0)*B9)</f>
        <v>25.171770000000002</v>
      </c>
      <c r="K9" s="160">
        <f>J9*(100%-'Données projet'!$C$24)*(100%-'Données projet'!$C$25)*(100%-'Données projet'!$C$26)*(100%-'Données projet'!$C$27)</f>
        <v>22.654593000000002</v>
      </c>
      <c r="L9" s="161">
        <f t="shared" ca="1" si="2"/>
        <v>201.80551628790087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Erable sycomore</v>
      </c>
      <c r="B10" s="163">
        <f>'Données projet'!D13</f>
        <v>0.55300000000000005</v>
      </c>
      <c r="C10" s="156">
        <f ca="1">IF(OR('Données projet'!B13="",'Données projet'!C13="",'Données projet'!C13=0%),0,Calculateur!CY3)</f>
        <v>343.37244130003143</v>
      </c>
      <c r="D10" s="156">
        <f>IF(OR('Données projet'!B13="",'Données projet'!C13="",'Données projet'!C13=0%),0,Calculateur!CZ3)</f>
        <v>318.38876834819763</v>
      </c>
      <c r="E10" s="156">
        <f t="shared" ca="1" si="0"/>
        <v>318.38876834819763</v>
      </c>
      <c r="F10" s="156">
        <f t="shared" ca="1" si="1"/>
        <v>176.06898889655329</v>
      </c>
      <c r="G10" s="156">
        <f ca="1">F10*(100%-'Données projet'!$C$24)*(100%-'Données projet'!$C$25)*(100%-'Données projet'!$C$26)*(100%-'Données projet'!$C$27)</f>
        <v>158.46209000689797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18.387250000000002</v>
      </c>
      <c r="K10" s="160">
        <f>J10*(100%-'Données projet'!$C$24)*(100%-'Données projet'!$C$25)*(100%-'Données projet'!$C$26)*(100%-'Données projet'!$C$27)</f>
        <v>16.548525000000001</v>
      </c>
      <c r="L10" s="161">
        <f t="shared" ca="1" si="2"/>
        <v>175.01061500689798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Châtaignier</v>
      </c>
      <c r="B11" s="163">
        <f>'Données projet'!D14</f>
        <v>0.47399999999999998</v>
      </c>
      <c r="C11" s="156">
        <f ca="1">IF(OR('Données projet'!B14="",'Données projet'!C14="",'Données projet'!C14=0%),0,Calculateur!DT3)</f>
        <v>263.81634201637729</v>
      </c>
      <c r="D11" s="156">
        <f>IF(OR('Données projet'!B14="",'Données projet'!C14="",'Données projet'!C14=0%),0,Calculateur!DU3)</f>
        <v>302.03767435507262</v>
      </c>
      <c r="E11" s="156">
        <f t="shared" ca="1" si="0"/>
        <v>263.81634201637729</v>
      </c>
      <c r="F11" s="156">
        <f t="shared" ca="1" si="1"/>
        <v>125.04894611576283</v>
      </c>
      <c r="G11" s="156">
        <f ca="1">F11*(100%-'Données projet'!$C$24)*(100%-'Données projet'!$C$25)*(100%-'Données projet'!$C$26)*(100%-'Données projet'!$C$27)</f>
        <v>112.54405150418656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16.234500000000001</v>
      </c>
      <c r="K11" s="160">
        <f>J11*(100%-'Données projet'!$C$24)*(100%-'Données projet'!$C$25)*(100%-'Données projet'!$C$26)*(100%-'Données projet'!$C$27)</f>
        <v>14.611050000000001</v>
      </c>
      <c r="L11" s="161">
        <f t="shared" ca="1" si="2"/>
        <v>127.15510150418656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1962.4485221255757</v>
      </c>
      <c r="G16" s="175">
        <f t="shared" ca="1" si="3"/>
        <v>1766.2036699130188</v>
      </c>
      <c r="H16" s="176">
        <f t="shared" si="3"/>
        <v>44.980717208635276</v>
      </c>
      <c r="I16" s="176">
        <f t="shared" si="3"/>
        <v>40.482645487771748</v>
      </c>
      <c r="J16" s="177">
        <f t="shared" si="3"/>
        <v>439.17048</v>
      </c>
      <c r="K16" s="177">
        <f t="shared" si="3"/>
        <v>395.25343199999992</v>
      </c>
      <c r="L16" s="178">
        <f t="shared" ca="1" si="3"/>
        <v>2201.9397474007897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Mélèze d'Europe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sylvestre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Erable sycomore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Châtaignier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E1" zoomScale="115" zoomScaleNormal="115" workbookViewId="0">
      <selection activeCell="E24" sqref="E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8861.6019533301132</v>
      </c>
      <c r="U10" s="190">
        <f>'Données projet'!D9</f>
        <v>3.3180000000000001</v>
      </c>
      <c r="V10" s="189">
        <f>U10*T10</f>
        <v>29402.795281149316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d'Europe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3811.9390110109694</v>
      </c>
      <c r="U11" s="190">
        <f>'Données projet'!D10</f>
        <v>1.5010000000000001</v>
      </c>
      <c r="V11" s="189">
        <f t="shared" ref="V11" si="0">U11*T11</f>
        <v>5721.7204555274657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1568.4164165078676</v>
      </c>
      <c r="U12" s="190">
        <f>'Données projet'!D11</f>
        <v>1.0270000000000001</v>
      </c>
      <c r="V12" s="189">
        <f t="shared" ref="V12:V19" si="1">U12*T12</f>
        <v>1610.7636597535802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sylvestre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1585.6497636217937</v>
      </c>
      <c r="U13" s="190">
        <f>'Données projet'!D12</f>
        <v>1.0270000000000001</v>
      </c>
      <c r="V13" s="189">
        <f t="shared" si="1"/>
        <v>1628.4623072395823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sycomore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1913.9488766781296</v>
      </c>
      <c r="U14" s="190">
        <f>'Données projet'!D13</f>
        <v>0.55300000000000005</v>
      </c>
      <c r="V14" s="189">
        <f t="shared" si="1"/>
        <v>1058.4137288030058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Châtaignier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3054.4134857998988</v>
      </c>
      <c r="U15" s="190">
        <f>'Données projet'!D14</f>
        <v>0.47399999999999998</v>
      </c>
      <c r="V15" s="189">
        <f t="shared" si="1"/>
        <v>1447.7919922691519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1999.9999999999982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10000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18</v>
      </c>
      <c r="B23" s="193">
        <f>'Données projet'!D36</f>
        <v>63</v>
      </c>
      <c r="C23" s="204">
        <v>15</v>
      </c>
      <c r="D23" s="194">
        <f>B23*C23</f>
        <v>945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-38130.052575257898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24</v>
      </c>
      <c r="B24" s="193">
        <f>'Données projet'!D37</f>
        <v>66</v>
      </c>
      <c r="C24" s="204">
        <v>20</v>
      </c>
      <c r="D24" s="194">
        <f t="shared" ref="D24:D42" si="2">B24*C24</f>
        <v>1320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193.65470020917201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79</v>
      </c>
      <c r="C25" s="204">
        <v>30</v>
      </c>
      <c r="D25" s="194">
        <f t="shared" si="2"/>
        <v>2370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-38323.707275467066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36</v>
      </c>
      <c r="B26" s="193">
        <f>'Données projet'!D39</f>
        <v>92</v>
      </c>
      <c r="C26" s="204">
        <v>40</v>
      </c>
      <c r="D26" s="194">
        <f t="shared" si="2"/>
        <v>3680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42</v>
      </c>
      <c r="B27" s="193">
        <f>'Données projet'!D40</f>
        <v>88</v>
      </c>
      <c r="C27" s="204">
        <v>45</v>
      </c>
      <c r="D27" s="194">
        <f t="shared" si="2"/>
        <v>3960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48</v>
      </c>
      <c r="B28" s="193">
        <f>'Données projet'!D41</f>
        <v>102</v>
      </c>
      <c r="C28" s="204">
        <v>50</v>
      </c>
      <c r="D28" s="194">
        <f t="shared" si="2"/>
        <v>5100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54</v>
      </c>
      <c r="B29" s="193">
        <f>'Données projet'!D42</f>
        <v>640</v>
      </c>
      <c r="C29" s="204">
        <v>90</v>
      </c>
      <c r="D29" s="194">
        <f t="shared" si="2"/>
        <v>57600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4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Mélèze d'Europe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18</v>
      </c>
      <c r="B54" s="193">
        <f>'Données projet'!D62</f>
        <v>20</v>
      </c>
      <c r="C54" s="206">
        <v>10</v>
      </c>
      <c r="D54" s="191">
        <f>B54*C54</f>
        <v>200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21</v>
      </c>
      <c r="B55" s="193">
        <f>'Données projet'!D63</f>
        <v>26</v>
      </c>
      <c r="C55" s="206">
        <v>15</v>
      </c>
      <c r="D55" s="191">
        <f t="shared" ref="D55:D73" si="4">B55*C55</f>
        <v>390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24</v>
      </c>
      <c r="B56" s="193">
        <f>'Données projet'!D64</f>
        <v>29</v>
      </c>
      <c r="C56" s="206">
        <v>20</v>
      </c>
      <c r="D56" s="191">
        <f t="shared" si="4"/>
        <v>580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53</v>
      </c>
      <c r="C57" s="206">
        <v>35</v>
      </c>
      <c r="D57" s="191">
        <f t="shared" si="4"/>
        <v>1855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36</v>
      </c>
      <c r="B58" s="193">
        <f>'Données projet'!D66</f>
        <v>62</v>
      </c>
      <c r="C58" s="206">
        <v>40</v>
      </c>
      <c r="D58" s="191">
        <f t="shared" si="4"/>
        <v>2480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42</v>
      </c>
      <c r="B59" s="193">
        <f>'Données projet'!D67</f>
        <v>67</v>
      </c>
      <c r="C59" s="206">
        <v>50</v>
      </c>
      <c r="D59" s="191">
        <f t="shared" si="4"/>
        <v>3350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48</v>
      </c>
      <c r="B60" s="193">
        <f>'Données projet'!D68</f>
        <v>65</v>
      </c>
      <c r="C60" s="206">
        <v>60</v>
      </c>
      <c r="D60" s="191">
        <f t="shared" si="4"/>
        <v>3900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304</v>
      </c>
      <c r="C61" s="204">
        <v>70</v>
      </c>
      <c r="D61" s="191">
        <f t="shared" si="4"/>
        <v>21280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42</v>
      </c>
      <c r="B86" s="193">
        <f>'Données projet'!D89</f>
        <v>104.98461538461535</v>
      </c>
      <c r="C86" s="204">
        <v>15</v>
      </c>
      <c r="D86" s="191">
        <f t="shared" ref="D86:D104" si="6">B86*C86</f>
        <v>1574.7692307692303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50</v>
      </c>
      <c r="B87" s="193">
        <f>'Données projet'!D90</f>
        <v>100.66923076923077</v>
      </c>
      <c r="C87" s="204">
        <v>20</v>
      </c>
      <c r="D87" s="191">
        <f t="shared" si="6"/>
        <v>2013.3846153846152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58</v>
      </c>
      <c r="B88" s="193">
        <f>'Données projet'!D91</f>
        <v>80.315384615384588</v>
      </c>
      <c r="C88" s="204">
        <v>30</v>
      </c>
      <c r="D88" s="191">
        <f t="shared" si="6"/>
        <v>2409.4615384615377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66</v>
      </c>
      <c r="B89" s="193">
        <f>'Données projet'!D92</f>
        <v>79.169230769230779</v>
      </c>
      <c r="C89" s="204">
        <v>35</v>
      </c>
      <c r="D89" s="191">
        <f t="shared" si="6"/>
        <v>2770.9230769230771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75</v>
      </c>
      <c r="B90" s="193">
        <f>'Données projet'!D93</f>
        <v>78.307692307692321</v>
      </c>
      <c r="C90" s="204">
        <v>40</v>
      </c>
      <c r="D90" s="191">
        <f t="shared" si="6"/>
        <v>3132.3076923076928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83</v>
      </c>
      <c r="B91" s="193">
        <f>'Données projet'!D94</f>
        <v>79.707692307692355</v>
      </c>
      <c r="C91" s="204">
        <v>50</v>
      </c>
      <c r="D91" s="191">
        <f t="shared" si="6"/>
        <v>3985.384615384618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91</v>
      </c>
      <c r="B92" s="193">
        <f>'Données projet'!D95</f>
        <v>229.73846153846151</v>
      </c>
      <c r="C92" s="204">
        <v>60</v>
      </c>
      <c r="D92" s="191">
        <f t="shared" si="6"/>
        <v>13784.30769230769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101</v>
      </c>
      <c r="B93" s="193">
        <f>'Données projet'!D96</f>
        <v>307.60769230769228</v>
      </c>
      <c r="C93" s="204">
        <v>80</v>
      </c>
      <c r="D93" s="191">
        <f t="shared" si="6"/>
        <v>24608.615384615383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sylvestre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22</v>
      </c>
      <c r="B116" s="193">
        <f>'Données projet'!D114</f>
        <v>0</v>
      </c>
      <c r="C116" s="204">
        <v>10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21</v>
      </c>
      <c r="C117" s="204">
        <v>10</v>
      </c>
      <c r="D117" s="191">
        <f t="shared" ref="D117:D135" si="8">B117*C117</f>
        <v>210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36</v>
      </c>
      <c r="C118" s="204">
        <v>15</v>
      </c>
      <c r="D118" s="191">
        <f t="shared" si="8"/>
        <v>540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49</v>
      </c>
      <c r="C119" s="204">
        <v>15</v>
      </c>
      <c r="D119" s="191">
        <f t="shared" si="8"/>
        <v>735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42</v>
      </c>
      <c r="C120" s="204">
        <v>20</v>
      </c>
      <c r="D120" s="191">
        <f t="shared" si="8"/>
        <v>840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38</v>
      </c>
      <c r="C121" s="204">
        <v>25</v>
      </c>
      <c r="D121" s="191">
        <f t="shared" si="8"/>
        <v>950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37</v>
      </c>
      <c r="C122" s="204">
        <v>30</v>
      </c>
      <c r="D122" s="191">
        <f t="shared" si="8"/>
        <v>1110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58</v>
      </c>
      <c r="B123" s="193">
        <f>'Données projet'!D121</f>
        <v>48</v>
      </c>
      <c r="C123" s="204">
        <v>35</v>
      </c>
      <c r="D123" s="191">
        <f t="shared" si="8"/>
        <v>1680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66</v>
      </c>
      <c r="B124" s="193">
        <f>'Données projet'!D122</f>
        <v>50</v>
      </c>
      <c r="C124" s="204">
        <v>40</v>
      </c>
      <c r="D124" s="191">
        <f t="shared" si="8"/>
        <v>2000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74</v>
      </c>
      <c r="B125" s="193">
        <f>'Données projet'!D123</f>
        <v>20</v>
      </c>
      <c r="C125" s="204">
        <v>45</v>
      </c>
      <c r="D125" s="191">
        <f t="shared" si="8"/>
        <v>900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82</v>
      </c>
      <c r="B126" s="193">
        <f>'Données projet'!D124</f>
        <v>444</v>
      </c>
      <c r="C126" s="204">
        <v>45</v>
      </c>
      <c r="D126" s="191">
        <f t="shared" si="8"/>
        <v>19980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Erable sycomore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49</v>
      </c>
      <c r="C148" s="206">
        <v>10</v>
      </c>
      <c r="D148" s="194">
        <f t="shared" ref="D148:D166" si="10">B148*C148</f>
        <v>490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7">
        <f>'Données projet'!D142</f>
        <v>0</v>
      </c>
      <c r="C149" s="206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7">
        <f>'Données projet'!D143</f>
        <v>84</v>
      </c>
      <c r="C150" s="206">
        <v>10</v>
      </c>
      <c r="D150" s="194">
        <f t="shared" si="10"/>
        <v>840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0</v>
      </c>
      <c r="C151" s="206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7">
        <f>'Données projet'!D145</f>
        <v>84</v>
      </c>
      <c r="C152" s="206">
        <v>15</v>
      </c>
      <c r="D152" s="194">
        <f t="shared" si="10"/>
        <v>1260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7">
        <f>'Données projet'!D146</f>
        <v>0</v>
      </c>
      <c r="C153" s="206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7">
        <f>'Données projet'!D147</f>
        <v>66</v>
      </c>
      <c r="C154" s="206">
        <v>20</v>
      </c>
      <c r="D154" s="194">
        <f t="shared" si="10"/>
        <v>1320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7">
        <f>'Données projet'!D148</f>
        <v>0</v>
      </c>
      <c r="C155" s="206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55</v>
      </c>
      <c r="B156" s="187">
        <f>'Données projet'!D149</f>
        <v>39</v>
      </c>
      <c r="C156" s="206">
        <v>30</v>
      </c>
      <c r="D156" s="194">
        <f t="shared" si="10"/>
        <v>1170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60</v>
      </c>
      <c r="B157" s="187">
        <f>'Données projet'!D150</f>
        <v>0</v>
      </c>
      <c r="C157" s="206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65</v>
      </c>
      <c r="B158" s="187">
        <f>'Données projet'!D151</f>
        <v>33</v>
      </c>
      <c r="C158" s="206">
        <v>45</v>
      </c>
      <c r="D158" s="194">
        <f t="shared" si="10"/>
        <v>1485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70</v>
      </c>
      <c r="B159" s="187">
        <f>'Données projet'!D152</f>
        <v>15</v>
      </c>
      <c r="C159" s="206">
        <v>50</v>
      </c>
      <c r="D159" s="194">
        <f t="shared" si="10"/>
        <v>750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75</v>
      </c>
      <c r="B160" s="187">
        <f>'Données projet'!D153</f>
        <v>14</v>
      </c>
      <c r="C160" s="204">
        <v>55</v>
      </c>
      <c r="D160" s="194">
        <f t="shared" si="10"/>
        <v>770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80</v>
      </c>
      <c r="B161" s="187">
        <f>'Données projet'!D154</f>
        <v>382</v>
      </c>
      <c r="C161" s="204">
        <v>60</v>
      </c>
      <c r="D161" s="194">
        <f t="shared" si="10"/>
        <v>22920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Châtaignier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20</v>
      </c>
      <c r="B180" s="193">
        <f>'Données projet'!D168</f>
        <v>67</v>
      </c>
      <c r="C180" s="204">
        <v>10</v>
      </c>
      <c r="D180" s="191">
        <f t="shared" si="11"/>
        <v>670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25</v>
      </c>
      <c r="B181" s="193">
        <f>'Données projet'!D169</f>
        <v>0</v>
      </c>
      <c r="C181" s="204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30</v>
      </c>
      <c r="B182" s="193">
        <f>'Données projet'!D170</f>
        <v>70</v>
      </c>
      <c r="C182" s="204">
        <v>20</v>
      </c>
      <c r="D182" s="191">
        <f t="shared" si="11"/>
        <v>1400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35</v>
      </c>
      <c r="B183" s="193">
        <f>'Données projet'!D171</f>
        <v>0</v>
      </c>
      <c r="C183" s="204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40</v>
      </c>
      <c r="B184" s="193">
        <f>'Données projet'!D172</f>
        <v>70</v>
      </c>
      <c r="C184" s="204">
        <v>30</v>
      </c>
      <c r="D184" s="191">
        <f t="shared" si="11"/>
        <v>2100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45</v>
      </c>
      <c r="B185" s="193">
        <f>'Données projet'!D173</f>
        <v>0</v>
      </c>
      <c r="C185" s="204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50</v>
      </c>
      <c r="B186" s="193">
        <f>'Données projet'!D174</f>
        <v>43</v>
      </c>
      <c r="C186" s="204">
        <v>40</v>
      </c>
      <c r="D186" s="191">
        <f t="shared" si="11"/>
        <v>1720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55</v>
      </c>
      <c r="B187" s="193">
        <f>'Données projet'!D175</f>
        <v>0</v>
      </c>
      <c r="C187" s="204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60</v>
      </c>
      <c r="B188" s="193">
        <f>'Données projet'!D176</f>
        <v>30</v>
      </c>
      <c r="C188" s="204">
        <v>80</v>
      </c>
      <c r="D188" s="191">
        <f t="shared" si="11"/>
        <v>2400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65</v>
      </c>
      <c r="B189" s="193">
        <f>'Données projet'!D177</f>
        <v>0</v>
      </c>
      <c r="C189" s="204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70</v>
      </c>
      <c r="B190" s="193">
        <f>'Données projet'!D178</f>
        <v>26</v>
      </c>
      <c r="C190" s="204">
        <v>130</v>
      </c>
      <c r="D190" s="191">
        <f t="shared" si="11"/>
        <v>3380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75</v>
      </c>
      <c r="B191" s="193">
        <f>'Données projet'!D179</f>
        <v>12</v>
      </c>
      <c r="C191" s="204">
        <v>140</v>
      </c>
      <c r="D191" s="191">
        <f t="shared" si="11"/>
        <v>1680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80</v>
      </c>
      <c r="B192" s="193">
        <f>'Données projet'!D180</f>
        <v>330</v>
      </c>
      <c r="C192" s="206">
        <v>150</v>
      </c>
      <c r="D192" s="191">
        <f t="shared" si="11"/>
        <v>49500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Geoffroy.Rombaut</cp:lastModifiedBy>
  <dcterms:created xsi:type="dcterms:W3CDTF">2021-02-01T08:22:39Z</dcterms:created>
  <dcterms:modified xsi:type="dcterms:W3CDTF">2023-10-05T10:37:21Z</dcterms:modified>
</cp:coreProperties>
</file>