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Z:\FORET\Clients\Clients actifs\Edward\GF du LUART - LES LOGES\Gestion\Subvention\2023\"/>
    </mc:Choice>
  </mc:AlternateContent>
  <bookViews>
    <workbookView xWindow="0" yWindow="0" windowWidth="23040" windowHeight="10092" tabRatio="866" activeTab="5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EA4" i="2" s="1"/>
  <c r="GI4" i="2"/>
  <c r="GL4" i="2" s="1"/>
  <c r="CI4" i="2"/>
  <c r="ET4" i="2"/>
  <c r="DC4" i="2"/>
  <c r="BM4" i="2"/>
  <c r="DD4" i="2"/>
  <c r="CH4" i="2"/>
  <c r="BN4" i="2"/>
  <c r="BQ4" i="2" s="1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HI4" i="2" l="1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EA5" i="2" s="1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HI5" i="2" l="1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V6" i="2" l="1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EW7" i="2" s="1"/>
  <c r="FO7" i="2"/>
  <c r="FN7" i="2"/>
  <c r="DY7" i="2"/>
  <c r="EB7" i="2" s="1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FS7" i="2" l="1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I9" i="2" l="1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I10" i="2" l="1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I12" i="2" l="1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B14" i="2" s="1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I14" i="2" l="1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HI15" i="2" l="1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EA16" i="2" s="1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C16" i="2" l="1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I18" i="2" l="1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EV20" i="2" s="1"/>
  <c r="DX20" i="2"/>
  <c r="CI20" i="2"/>
  <c r="BM20" i="2"/>
  <c r="GI20" i="2"/>
  <c r="ET20" i="2"/>
  <c r="EW20" i="2" s="1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I20" i="2" l="1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B21" i="2" s="1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X21" i="2" l="1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EW22" i="2" s="1"/>
  <c r="FO22" i="2"/>
  <c r="FN22" i="2"/>
  <c r="DY22" i="2"/>
  <c r="EB22" i="2" s="1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I22" i="2" l="1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EW24" i="2" s="1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C24" i="2" l="1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B28" i="2" s="1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X28" i="2" l="1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C29" i="2" l="1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HI30" i="2" l="1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DG31" i="2" s="1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EC31" i="2" l="1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EB33" i="2" s="1"/>
  <c r="DD33" i="2"/>
  <c r="ET33" i="2"/>
  <c r="EW33" i="2" s="1"/>
  <c r="CH33" i="2"/>
  <c r="AS33" i="2"/>
  <c r="CI33" i="2"/>
  <c r="BM33" i="2"/>
  <c r="X33" i="2"/>
  <c r="ES33" i="2"/>
  <c r="EV33" i="2" s="1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GM33" i="2" l="1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S35" i="2" l="1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B37" i="2" s="1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I37" i="2" l="1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V38" i="2" l="1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EV42" i="2" s="1"/>
  <c r="DX42" i="2"/>
  <c r="EA42" i="2" s="1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C42" i="2" l="1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DG43" i="2" s="1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FS43" i="2" l="1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I44" i="2" l="1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B45" i="2" s="1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C45" i="2" l="1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FS46" i="2" l="1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FS47" i="2" l="1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FS48" i="2" l="1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W50" i="2" l="1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HI51" i="2" l="1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HI52" i="2" l="1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EA53" i="2" s="1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C53" i="2" l="1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EB57" i="2" s="1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C57" i="2" l="1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X58" i="2" l="1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FS59" i="2" l="1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FS60" i="2" l="1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HI61" i="2" l="1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B62" i="2" s="1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C62" i="2" l="1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I63" i="2" l="1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EV64" i="2" s="1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I64" i="2" l="1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FS67" i="2" l="1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EW70" i="2" s="1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C70" i="2" l="1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I71" i="2" l="1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FR74" i="2" s="1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C74" i="2" l="1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X75" i="2" l="1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FS77" i="2" l="1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EV78" i="2" s="1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AU78" i="2" l="1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X82" i="2" l="1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W85" i="2" s="1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FS85" i="2" l="1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FS86" i="2" l="1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I87" i="2" l="1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EW92" i="2" s="1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HI92" i="2" l="1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 l="1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FQ95" i="2" s="1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S95" i="2" l="1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C98" i="2" l="1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X99" i="2" l="1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EW100" i="2" s="1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AU100" i="2" l="1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HI104" i="2" l="1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X105" i="2" l="1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I107" i="2" l="1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EB108" i="2" s="1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X108" i="2" l="1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EB109" i="2" s="1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HI109" i="2" l="1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S112" i="2" l="1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EW113" i="2" s="1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AW113" i="2" l="1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C114" i="2" l="1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EV116" i="2" s="1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I116" i="2" l="1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X117" i="2" l="1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FQ118" i="2" s="1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I118" i="2" l="1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I119" i="2" l="1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HH120" i="2" s="1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C120" i="2" l="1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AW121" i="2" l="1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AU122" i="2" l="1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C124" i="2" l="1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I126" i="2" l="1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C127" i="2" l="1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I128" i="2" l="1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EW130" i="2" s="1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A130" i="2" l="1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I132" i="2" l="1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W133" i="2" s="1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I133" i="2" l="1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EW134" i="2" s="1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C134" i="2" l="1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HI135" i="2" l="1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FS137" i="2" l="1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HI138" i="2" l="1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X139" i="2" l="1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FR140" i="2" s="1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I140" i="2" l="1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X141" i="2" l="1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FS142" i="2" l="1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C143" i="2" l="1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FR144" i="2" s="1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I144" i="2" l="1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I145" i="2" l="1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FR146" i="2" s="1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X146" i="2" l="1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HI147" i="2" l="1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EX149" i="2" s="1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FS149" i="2" l="1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X150" i="2" l="1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HI151" i="2" l="1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C152" i="2" l="1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HI153" i="2" l="1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FS157" i="2" l="1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FS159" i="2" l="1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X160" i="2" l="1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FS162" i="2" l="1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V163" i="2" s="1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FS163" i="2" l="1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C164" i="2" l="1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S167" i="2" l="1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FS168" i="2" l="1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I169" i="2" l="1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C172" i="2" l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C173" i="2" l="1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EW175" i="2" s="1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I178" i="2" l="1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FS179" i="2" l="1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C180" i="2" l="1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X183" i="2" l="1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AU185" i="2" l="1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X186" i="2" l="1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I187" i="2" l="1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HI190" i="2" l="1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C191" i="2" l="1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AW192" i="2" l="1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FS193" i="2" l="1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AW194" i="2" l="1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I199" i="2" l="1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I200" i="2" l="1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HI201" i="2" l="1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V202" i="2" l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EC203" i="2" l="1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<sst xmlns="http://schemas.openxmlformats.org/spreadsheetml/2006/main" count="1170" uniqueCount="324">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</sst>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2.0674175365629677</c:v>
                </c:pt>
                <c:pt idx="2">
                  <c:v>2.7563386153172069</c:v>
                </c:pt>
                <c:pt idx="3">
                  <c:v>3.6757828754088084</c:v>
                </c:pt>
                <c:pt idx="4">
                  <c:v>4.9031880948975504</c:v>
                </c:pt>
                <c:pt idx="5">
                  <c:v>6.5420997187463925</c:v>
                </c:pt>
                <c:pt idx="6">
                  <c:v>8.7310024967746021</c:v>
                </c:pt>
                <c:pt idx="7">
                  <c:v>11.65514889235574</c:v>
                </c:pt>
                <c:pt idx="8">
                  <c:v>15.562403998555673</c:v>
                </c:pt>
                <c:pt idx="9">
                  <c:v>20.784474580403991</c:v>
                </c:pt>
                <c:pt idx="10">
                  <c:v>27.76535669760619</c:v>
                </c:pt>
                <c:pt idx="11">
                  <c:v>37.09946291026079</c:v>
                </c:pt>
                <c:pt idx="12">
                  <c:v>49.582731081946882</c:v>
                </c:pt>
                <c:pt idx="13">
                  <c:v>59.594236124604777</c:v>
                </c:pt>
                <c:pt idx="14">
                  <c:v>69.561797199090492</c:v>
                </c:pt>
                <c:pt idx="15">
                  <c:v>79.492623892016056</c:v>
                </c:pt>
                <c:pt idx="16">
                  <c:v>89.391965719110203</c:v>
                </c:pt>
                <c:pt idx="17">
                  <c:v>99.592435160257722</c:v>
                </c:pt>
                <c:pt idx="18">
                  <c:v>109.76697471767564</c:v>
                </c:pt>
                <c:pt idx="19">
                  <c:v>119.91833063897671</c:v>
                </c:pt>
                <c:pt idx="20">
                  <c:v>130.04874496692665</c:v>
                </c:pt>
                <c:pt idx="21">
                  <c:v>112.06115581346178</c:v>
                </c:pt>
                <c:pt idx="22">
                  <c:v>130.70164676639232</c:v>
                </c:pt>
                <c:pt idx="23">
                  <c:v>149.27781513137367</c:v>
                </c:pt>
                <c:pt idx="24">
                  <c:v>167.79880331835713</c:v>
                </c:pt>
                <c:pt idx="25">
                  <c:v>146.34860859377056</c:v>
                </c:pt>
                <c:pt idx="26">
                  <c:v>166.50072957530207</c:v>
                </c:pt>
                <c:pt idx="27">
                  <c:v>186.59525174341539</c:v>
                </c:pt>
                <c:pt idx="28">
                  <c:v>206.63925413557971</c:v>
                </c:pt>
                <c:pt idx="29">
                  <c:v>173.63723323162355</c:v>
                </c:pt>
                <c:pt idx="30">
                  <c:v>191.12551298630106</c:v>
                </c:pt>
                <c:pt idx="31">
                  <c:v>208.57653261210177</c:v>
                </c:pt>
                <c:pt idx="32">
                  <c:v>225.99384895175194</c:v>
                </c:pt>
                <c:pt idx="33">
                  <c:v>243.38042530319774</c:v>
                </c:pt>
                <c:pt idx="34">
                  <c:v>260.73876672061448</c:v>
                </c:pt>
                <c:pt idx="35">
                  <c:v>214.81606988744011</c:v>
                </c:pt>
                <c:pt idx="36">
                  <c:v>233.29550797113112</c:v>
                </c:pt>
                <c:pt idx="37">
                  <c:v>251.74153008738961</c:v>
                </c:pt>
                <c:pt idx="38">
                  <c:v>270.1569290324656</c:v>
                </c:pt>
                <c:pt idx="39">
                  <c:v>288.54408561876568</c:v>
                </c:pt>
                <c:pt idx="40">
                  <c:v>306.9050523897962</c:v>
                </c:pt>
                <c:pt idx="41">
                  <c:v>253.45584297532028</c:v>
                </c:pt>
                <c:pt idx="42">
                  <c:v>271.86851987228493</c:v>
                </c:pt>
                <c:pt idx="43">
                  <c:v>290.25315809891407</c:v>
                </c:pt>
                <c:pt idx="44">
                  <c:v>308.61178311135518</c:v>
                </c:pt>
                <c:pt idx="45">
                  <c:v>326.94615969742313</c:v>
                </c:pt>
                <c:pt idx="46">
                  <c:v>345.25783856692919</c:v>
                </c:pt>
                <c:pt idx="47">
                  <c:v>276.46722396694645</c:v>
                </c:pt>
                <c:pt idx="48">
                  <c:v>292.17559586956611</c:v>
                </c:pt>
                <c:pt idx="49">
                  <c:v>307.8651142991302</c:v>
                </c:pt>
                <c:pt idx="50">
                  <c:v>323.53687529895308</c:v>
                </c:pt>
                <c:pt idx="51">
                  <c:v>339.19186005389753</c:v>
                </c:pt>
                <c:pt idx="52">
                  <c:v>354.83095178375646</c:v>
                </c:pt>
                <c:pt idx="53">
                  <c:v>370.45494950158121</c:v>
                </c:pt>
                <c:pt idx="54">
                  <c:v>386.06457932909717</c:v>
                </c:pt>
                <c:pt idx="55">
                  <c:v>305.46483426630658</c:v>
                </c:pt>
                <c:pt idx="56">
                  <c:v>319.38073462081826</c:v>
                </c:pt>
                <c:pt idx="57">
                  <c:v>333.2832177462509</c:v>
                </c:pt>
                <c:pt idx="58">
                  <c:v>347.17292220202722</c:v>
                </c:pt>
                <c:pt idx="59">
                  <c:v>361.05043127605768</c:v>
                </c:pt>
                <c:pt idx="60">
                  <c:v>374.91627975419664</c:v>
                </c:pt>
                <c:pt idx="61">
                  <c:v>388.77095963573385</c:v>
                </c:pt>
                <c:pt idx="62">
                  <c:v>402.61492499148613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03448568"/>
        <c:axId val="303448960"/>
      </c:scatterChart>
      <c:valAx>
        <c:axId val="3034485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03448960"/>
        <c:crosses val="autoZero"/>
        <c:crossBetween val="midCat"/>
      </c:valAx>
      <c:valAx>
        <c:axId val="303448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034485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00709624"/>
        <c:axId val="300710016"/>
      </c:scatterChart>
      <c:valAx>
        <c:axId val="300709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00710016"/>
        <c:crosses val="autoZero"/>
        <c:crossBetween val="midCat"/>
      </c:valAx>
      <c:valAx>
        <c:axId val="300710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00709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03449744"/>
        <c:axId val="303450136"/>
      </c:scatterChart>
      <c:valAx>
        <c:axId val="3034497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03450136"/>
        <c:crosses val="autoZero"/>
        <c:crossBetween val="midCat"/>
      </c:valAx>
      <c:valAx>
        <c:axId val="303450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034497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1458936"/>
        <c:axId val="461459328"/>
      </c:scatterChart>
      <c:valAx>
        <c:axId val="46145893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1459328"/>
        <c:crosses val="autoZero"/>
        <c:crossBetween val="midCat"/>
      </c:valAx>
      <c:valAx>
        <c:axId val="461459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14589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1460112"/>
        <c:axId val="303379168"/>
      </c:scatterChart>
      <c:valAx>
        <c:axId val="4614601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03379168"/>
        <c:crosses val="autoZero"/>
        <c:crossBetween val="midCat"/>
      </c:valAx>
      <c:valAx>
        <c:axId val="303379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14601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03379952"/>
        <c:axId val="303380344"/>
      </c:scatterChart>
      <c:valAx>
        <c:axId val="30337995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03380344"/>
        <c:crosses val="autoZero"/>
        <c:crossBetween val="midCat"/>
      </c:valAx>
      <c:valAx>
        <c:axId val="303380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033799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6078112"/>
        <c:axId val="476078504"/>
      </c:scatterChart>
      <c:valAx>
        <c:axId val="4760781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76078504"/>
        <c:crosses val="autoZero"/>
        <c:crossBetween val="midCat"/>
      </c:valAx>
      <c:valAx>
        <c:axId val="476078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760781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6079288"/>
        <c:axId val="476079680"/>
      </c:scatterChart>
      <c:valAx>
        <c:axId val="47607928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76079680"/>
        <c:crosses val="autoZero"/>
        <c:crossBetween val="midCat"/>
      </c:valAx>
      <c:valAx>
        <c:axId val="476079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760792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03451008"/>
        <c:axId val="303451400"/>
      </c:scatterChart>
      <c:valAx>
        <c:axId val="30345100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03451400"/>
        <c:crosses val="autoZero"/>
        <c:crossBetween val="midCat"/>
      </c:valAx>
      <c:valAx>
        <c:axId val="303451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034510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03452184"/>
        <c:axId val="300708840"/>
      </c:scatterChart>
      <c:valAx>
        <c:axId val="30345218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00708840"/>
        <c:crosses val="autoZero"/>
        <c:crossBetween val="midCat"/>
      </c:valAx>
      <c:valAx>
        <c:axId val="300708840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034521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3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3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3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3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3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3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3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3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3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3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3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3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3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3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3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3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3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3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opLeftCell="A10" zoomScale="80" zoomScaleNormal="80" workbookViewId="0">
      <selection activeCell="C27" sqref="C27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4" t="s">
        <v>231</v>
      </c>
      <c r="B5" s="304"/>
      <c r="C5" s="26">
        <v>18.399999999999999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36</v>
      </c>
      <c r="C9" s="35">
        <v>1</v>
      </c>
      <c r="D9" s="36">
        <f t="shared" ref="D9:D18" si="0">C9*$C$5</f>
        <v>18.399999999999999</v>
      </c>
      <c r="E9" s="37">
        <v>62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1</v>
      </c>
      <c r="D19" s="41">
        <f>SUM(D9:D18)</f>
        <v>18.399999999999999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0.1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12</v>
      </c>
      <c r="B36" s="63">
        <v>36</v>
      </c>
      <c r="C36" s="63"/>
      <c r="D36" s="63"/>
      <c r="E36" s="54"/>
      <c r="F36" s="54"/>
      <c r="G36" s="54"/>
      <c r="H36" s="54"/>
      <c r="I36" s="52">
        <f>IFERROR(B36/A36,"")</f>
        <v>3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16</v>
      </c>
      <c r="B37" s="63">
        <v>66</v>
      </c>
      <c r="C37" s="63"/>
      <c r="D37" s="63"/>
      <c r="E37" s="54"/>
      <c r="F37" s="54"/>
      <c r="G37" s="54"/>
      <c r="H37" s="54"/>
      <c r="I37" s="56">
        <f t="shared" ref="I37:I55" si="1">IF(A37&lt;&gt;0,(B37-(B36-D36))/(A37-A36),"")</f>
        <v>7.5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20</v>
      </c>
      <c r="B38" s="63">
        <v>97</v>
      </c>
      <c r="C38" s="63">
        <v>1</v>
      </c>
      <c r="D38" s="63">
        <v>28</v>
      </c>
      <c r="E38" s="54"/>
      <c r="F38" s="54"/>
      <c r="G38" s="54">
        <v>1</v>
      </c>
      <c r="H38" s="54"/>
      <c r="I38" s="56">
        <f t="shared" si="1"/>
        <v>7.75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24</v>
      </c>
      <c r="B39" s="63">
        <v>126</v>
      </c>
      <c r="C39" s="63">
        <v>2</v>
      </c>
      <c r="D39" s="63">
        <v>32</v>
      </c>
      <c r="E39" s="54"/>
      <c r="F39" s="54">
        <v>0.2</v>
      </c>
      <c r="G39" s="54">
        <v>0.8</v>
      </c>
      <c r="H39" s="54"/>
      <c r="I39" s="52">
        <f t="shared" si="1"/>
        <v>14.25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28</v>
      </c>
      <c r="B40" s="63">
        <v>156</v>
      </c>
      <c r="C40" s="63">
        <v>3</v>
      </c>
      <c r="D40" s="63">
        <v>39</v>
      </c>
      <c r="E40" s="54"/>
      <c r="F40" s="54">
        <v>0.6</v>
      </c>
      <c r="G40" s="54">
        <v>0.4</v>
      </c>
      <c r="H40" s="54"/>
      <c r="I40" s="52">
        <f t="shared" si="1"/>
        <v>15.5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34</v>
      </c>
      <c r="B41" s="63">
        <v>198</v>
      </c>
      <c r="C41" s="63">
        <v>4</v>
      </c>
      <c r="D41" s="63">
        <v>50</v>
      </c>
      <c r="E41" s="54">
        <v>0.2</v>
      </c>
      <c r="F41" s="54">
        <v>0.6</v>
      </c>
      <c r="G41" s="54">
        <v>0.2</v>
      </c>
      <c r="H41" s="54"/>
      <c r="I41" s="56">
        <f t="shared" si="1"/>
        <v>13.5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40</v>
      </c>
      <c r="B42" s="63">
        <v>234</v>
      </c>
      <c r="C42" s="63">
        <v>5</v>
      </c>
      <c r="D42" s="63">
        <v>56</v>
      </c>
      <c r="E42" s="54">
        <v>0.4</v>
      </c>
      <c r="F42" s="54">
        <v>0.5</v>
      </c>
      <c r="G42" s="54">
        <v>0.1</v>
      </c>
      <c r="H42" s="54"/>
      <c r="I42" s="56">
        <f t="shared" si="1"/>
        <v>14.333333333333334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83">
        <v>46</v>
      </c>
      <c r="B43" s="63">
        <v>264</v>
      </c>
      <c r="C43" s="63">
        <v>6</v>
      </c>
      <c r="D43" s="63">
        <v>66</v>
      </c>
      <c r="E43" s="54">
        <v>0.5</v>
      </c>
      <c r="F43" s="54">
        <v>0.5</v>
      </c>
      <c r="G43" s="54"/>
      <c r="H43" s="54"/>
      <c r="I43" s="52">
        <f t="shared" si="1"/>
        <v>14.333333333333334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83">
        <v>54</v>
      </c>
      <c r="B44" s="63">
        <v>296</v>
      </c>
      <c r="C44" s="63">
        <v>7</v>
      </c>
      <c r="D44" s="63">
        <v>74</v>
      </c>
      <c r="E44" s="54">
        <v>0.7</v>
      </c>
      <c r="F44" s="54">
        <v>0.3</v>
      </c>
      <c r="G44" s="54"/>
      <c r="H44" s="54"/>
      <c r="I44" s="52">
        <f t="shared" si="1"/>
        <v>12.25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3">
        <v>62</v>
      </c>
      <c r="B45" s="63">
        <v>309</v>
      </c>
      <c r="C45" s="63">
        <v>8</v>
      </c>
      <c r="D45" s="63">
        <v>309</v>
      </c>
      <c r="E45" s="54">
        <v>0.9</v>
      </c>
      <c r="F45" s="54">
        <v>0.1</v>
      </c>
      <c r="G45" s="54"/>
      <c r="H45" s="54"/>
      <c r="I45" s="52">
        <f t="shared" si="1"/>
        <v>10.875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C36" sqref="C36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157.19386117397545</v>
      </c>
      <c r="T3" s="62">
        <f>IF('Données projet'!E9&gt;30,$R$33-$H$33,LOOKUP('Données projet'!$E$9,$A$3:$A$203,R3:R203)-LOOKUP('Données projet'!$E$9,$A$3:$A$203,$H$3:$H$203))</f>
        <v>153.10223389615993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2">
        <f>IFERROR(EXP(-1.0587+0.8836*LN(C4)+0.284),0)</f>
        <v>0.26998241883213048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70">
        <f t="shared" ref="H4:H67" si="1">(B4+E4+F4)*44/12+(C4+D4)*0.475*44/12</f>
        <v>294.75450271279925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3</v>
      </c>
      <c r="N4" s="14">
        <f>IF('Données projet'!$A$36&gt;35,N3+M4-V3,IF(A4&lt;'Données projet'!$A$36,$K$205^A4,IF(A4='Données projet'!$A$36,'Données projet'!$B$36,N3+M4-V3)))</f>
        <v>1.3480061545972777</v>
      </c>
      <c r="O4" s="14">
        <f>N4*VLOOKUP('Données projet'!$B$9,Paramètres!$A$1:$I$89,3,0)*VLOOKUP('Données projet'!$B$9,Paramètres!$A$1:$I$89,5,0)</f>
        <v>0.80610768044917203</v>
      </c>
      <c r="P4" s="14">
        <f>EXP(-1.0587+0.8836*LN(O4)+0.284)</f>
        <v>0.38092631183578585</v>
      </c>
      <c r="Q4" s="22">
        <f t="shared" ref="Q4:Q34" si="2">(O4+P4)*0.475*44/12</f>
        <v>2.0674175365629677</v>
      </c>
      <c r="R4" s="62">
        <f t="shared" si="0"/>
        <v>295.40075086989629</v>
      </c>
      <c r="S4" s="62">
        <f ca="1">AVERAGE(OFFSET($R$3,0,0,'Données projet'!$E$9+1,1))-AVERAGE(OFFSET($H$3,0,0,'Données projet'!$E$9+1,1))</f>
        <v>157.19386117397545</v>
      </c>
      <c r="T4" s="62">
        <f>$T$3</f>
        <v>153.10223389615993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2">
        <f t="shared" ref="D5:D68" si="32">IFERROR(EXP(-1.0587+0.8836*LN(C5)+0.284),0)</f>
        <v>0.49811037558348636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70">
        <f t="shared" si="1"/>
        <v>296.10277557080786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3</v>
      </c>
      <c r="N5" s="14">
        <f>IF('Données projet'!$A$36&gt;35,N4+M5-V4,IF(A5&lt;'Données projet'!$A$36,$K$205^A5,IF(A5='Données projet'!$A$36,'Données projet'!$B$36,N4+M5-V4)))</f>
        <v>1.8171205928321397</v>
      </c>
      <c r="O5" s="14">
        <f>N5*VLOOKUP('Données projet'!$B$9,Paramètres!$A$1:$I$89,3,0)*VLOOKUP('Données projet'!$B$9,Paramètres!$A$1:$I$89,5,0)</f>
        <v>1.0866381145136197</v>
      </c>
      <c r="P5" s="14">
        <f t="shared" ref="P5:P68" si="33">EXP(-1.0587+0.8836*LN(O5)+0.284)</f>
        <v>0.49594865026181029</v>
      </c>
      <c r="Q5" s="22">
        <f t="shared" si="2"/>
        <v>2.7563386153172069</v>
      </c>
      <c r="R5" s="62">
        <f t="shared" si="0"/>
        <v>296.0896719486505</v>
      </c>
      <c r="S5" s="62">
        <f ca="1">AVERAGE(OFFSET($R$3,0,0,'Données projet'!$E$9+1,1))-AVERAGE(OFFSET($H$3,0,0,'Données projet'!$E$9+1,1))</f>
        <v>157.19386117397545</v>
      </c>
      <c r="T5" s="62">
        <f t="shared" ref="T5:T68" si="34">$T$3</f>
        <v>153.10223389615993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2">
        <f t="shared" si="32"/>
        <v>0.71272144204532062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70">
        <f t="shared" si="1"/>
        <v>297.42750651156223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3</v>
      </c>
      <c r="N6" s="14">
        <f>IF('Données projet'!$A$36&gt;35,N5+M6-V5,IF(A6&lt;'Données projet'!$A$36,$K$205^A6,IF(A6='Données projet'!$A$36,'Données projet'!$B$36,N5+M6-V5)))</f>
        <v>2.4494897427831783</v>
      </c>
      <c r="O6" s="14">
        <f>N6*VLOOKUP('Données projet'!$B$9,Paramètres!$A$1:$I$89,3,0)*VLOOKUP('Données projet'!$B$9,Paramètres!$A$1:$I$89,5,0)</f>
        <v>1.4647948661843406</v>
      </c>
      <c r="P6" s="14">
        <f t="shared" si="33"/>
        <v>0.64570247854798968</v>
      </c>
      <c r="Q6" s="22">
        <f t="shared" si="2"/>
        <v>3.6757828754088084</v>
      </c>
      <c r="R6" s="62">
        <f t="shared" si="0"/>
        <v>297.00911620874211</v>
      </c>
      <c r="S6" s="62">
        <f ca="1">AVERAGE(OFFSET($R$3,0,0,'Données projet'!$E$9+1,1))-AVERAGE(OFFSET($H$3,0,0,'Données projet'!$E$9+1,1))</f>
        <v>157.19386117397545</v>
      </c>
      <c r="T6" s="62">
        <f t="shared" si="34"/>
        <v>153.10223389615993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2">
        <f t="shared" si="32"/>
        <v>0.91900038282935004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70">
        <f t="shared" si="1"/>
        <v>298.73772566676109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3</v>
      </c>
      <c r="N7" s="14">
        <f>IF('Données projet'!$A$36&gt;35,N6+M7-V6,IF(A7&lt;'Données projet'!$A$36,$K$205^A7,IF(A7='Données projet'!$A$36,'Données projet'!$B$36,N6+M7-V6)))</f>
        <v>3.3019272488946267</v>
      </c>
      <c r="O7" s="14">
        <f>N7*VLOOKUP('Données projet'!$B$9,Paramètres!$A$1:$I$89,3,0)*VLOOKUP('Données projet'!$B$9,Paramètres!$A$1:$I$89,5,0)</f>
        <v>1.974552494838987</v>
      </c>
      <c r="P7" s="14">
        <f t="shared" si="33"/>
        <v>0.84067511945625772</v>
      </c>
      <c r="Q7" s="22">
        <f t="shared" si="2"/>
        <v>4.9031880948975504</v>
      </c>
      <c r="R7" s="62">
        <f t="shared" si="0"/>
        <v>298.23652142823084</v>
      </c>
      <c r="S7" s="62">
        <f ca="1">AVERAGE(OFFSET($R$3,0,0,'Données projet'!$E$9+1,1))-AVERAGE(OFFSET($H$3,0,0,'Données projet'!$E$9+1,1))</f>
        <v>157.19386117397545</v>
      </c>
      <c r="T7" s="62">
        <f t="shared" si="34"/>
        <v>153.10223389615993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2">
        <f t="shared" si="32"/>
        <v>1.1192971032254277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70">
        <f t="shared" si="1"/>
        <v>300.03752578811759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3</v>
      </c>
      <c r="N8" s="14">
        <f>IF('Données projet'!$A$36&gt;35,N7+M8-V7,IF(A8&lt;'Données projet'!$A$36,$K$205^A8,IF(A8='Données projet'!$A$36,'Données projet'!$B$36,N7+M8-V7)))</f>
        <v>4.4510182535424141</v>
      </c>
      <c r="O8" s="14">
        <f>N8*VLOOKUP('Données projet'!$B$9,Paramètres!$A$1:$I$89,3,0)*VLOOKUP('Données projet'!$B$9,Paramètres!$A$1:$I$89,5,0)</f>
        <v>2.6617089156183638</v>
      </c>
      <c r="P8" s="14">
        <f t="shared" si="33"/>
        <v>1.0945205879680817</v>
      </c>
      <c r="Q8" s="22">
        <f t="shared" si="2"/>
        <v>6.5420997187463925</v>
      </c>
      <c r="R8" s="62">
        <f t="shared" si="0"/>
        <v>299.8754330520797</v>
      </c>
      <c r="S8" s="62">
        <f ca="1">AVERAGE(OFFSET($R$3,0,0,'Données projet'!$E$9+1,1))-AVERAGE(OFFSET($H$3,0,0,'Données projet'!$E$9+1,1))</f>
        <v>157.19386117397545</v>
      </c>
      <c r="T8" s="62">
        <f t="shared" si="34"/>
        <v>153.10223389615993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2">
        <f t="shared" si="32"/>
        <v>1.3149520873221716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70">
        <f t="shared" si="1"/>
        <v>301.3292415520861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3</v>
      </c>
      <c r="N9" s="14">
        <f>IF('Données projet'!$A$36&gt;35,N8+M9-V8,IF(A9&lt;'Données projet'!$A$36,$K$205^A9,IF(A9='Données projet'!$A$36,'Données projet'!$B$36,N8+M9-V8)))</f>
        <v>6</v>
      </c>
      <c r="O9" s="14">
        <f>N9*VLOOKUP('Données projet'!$B$9,Paramètres!$A$1:$I$89,3,0)*VLOOKUP('Données projet'!$B$9,Paramètres!$A$1:$I$89,5,0)</f>
        <v>3.5880000000000005</v>
      </c>
      <c r="P9" s="14">
        <f t="shared" si="33"/>
        <v>1.4250157876217819</v>
      </c>
      <c r="Q9" s="22">
        <f t="shared" si="2"/>
        <v>8.7310024967746021</v>
      </c>
      <c r="R9" s="62">
        <f t="shared" si="0"/>
        <v>302.06433583010789</v>
      </c>
      <c r="S9" s="62">
        <f ca="1">AVERAGE(OFFSET($R$3,0,0,'Données projet'!$E$9+1,1))-AVERAGE(OFFSET($H$3,0,0,'Données projet'!$E$9+1,1))</f>
        <v>157.19386117397545</v>
      </c>
      <c r="T9" s="62">
        <f t="shared" si="34"/>
        <v>153.10223389615993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2">
        <f t="shared" si="32"/>
        <v>1.5068294933809407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70">
        <f t="shared" si="1"/>
        <v>302.6143780343051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3</v>
      </c>
      <c r="N10" s="14">
        <f>IF('Données projet'!$A$36&gt;35,N9+M10-V9,IF(A10&lt;'Données projet'!$A$36,$K$205^A10,IF(A10='Données projet'!$A$36,'Données projet'!$B$36,N9+M10-V9)))</f>
        <v>8.0880369275836674</v>
      </c>
      <c r="O10" s="14">
        <f>N10*VLOOKUP('Données projet'!$B$9,Paramètres!$A$1:$I$89,3,0)*VLOOKUP('Données projet'!$B$9,Paramètres!$A$1:$I$89,5,0)</f>
        <v>4.836646082695033</v>
      </c>
      <c r="P10" s="14">
        <f t="shared" si="33"/>
        <v>1.8553054344470195</v>
      </c>
      <c r="Q10" s="22">
        <f t="shared" si="2"/>
        <v>11.65514889235574</v>
      </c>
      <c r="R10" s="62">
        <f t="shared" si="0"/>
        <v>304.98848222568904</v>
      </c>
      <c r="S10" s="62">
        <f ca="1">AVERAGE(OFFSET($R$3,0,0,'Données projet'!$E$9+1,1))-AVERAGE(OFFSET($H$3,0,0,'Données projet'!$E$9+1,1))</f>
        <v>157.19386117397545</v>
      </c>
      <c r="T10" s="62">
        <f t="shared" si="34"/>
        <v>153.10223389615993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2">
        <f t="shared" si="32"/>
        <v>1.6955312417477209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70">
        <f t="shared" si="1"/>
        <v>303.89398357937728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3</v>
      </c>
      <c r="N11" s="14">
        <f>IF('Données projet'!$A$36&gt;35,N10+M11-V10,IF(A11&lt;'Données projet'!$A$36,$K$205^A11,IF(A11='Données projet'!$A$36,'Données projet'!$B$36,N10+M11-V10)))</f>
        <v>10.902723556992838</v>
      </c>
      <c r="O11" s="14">
        <f>N11*VLOOKUP('Données projet'!$B$9,Paramètres!$A$1:$I$89,3,0)*VLOOKUP('Données projet'!$B$9,Paramètres!$A$1:$I$89,5,0)</f>
        <v>6.5198286870817181</v>
      </c>
      <c r="P11" s="14">
        <f t="shared" si="33"/>
        <v>2.4155228910363733</v>
      </c>
      <c r="Q11" s="22">
        <f t="shared" si="2"/>
        <v>15.562403998555673</v>
      </c>
      <c r="R11" s="62">
        <f t="shared" si="0"/>
        <v>308.89573733188899</v>
      </c>
      <c r="S11" s="62">
        <f ca="1">AVERAGE(OFFSET($R$3,0,0,'Données projet'!$E$9+1,1))-AVERAGE(OFFSET($H$3,0,0,'Données projet'!$E$9+1,1))</f>
        <v>157.19386117397545</v>
      </c>
      <c r="T11" s="62">
        <f t="shared" si="34"/>
        <v>153.10223389615993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2">
        <f t="shared" si="32"/>
        <v>1.8814997515338503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70">
        <f t="shared" si="1"/>
        <v>305.16882873392143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3</v>
      </c>
      <c r="N12" s="14">
        <f>IF('Données projet'!$A$36&gt;35,N11+M12-V11,IF(A12&lt;'Données projet'!$A$36,$K$205^A12,IF(A12='Données projet'!$A$36,'Données projet'!$B$36,N11+M12-V11)))</f>
        <v>14.696938456699069</v>
      </c>
      <c r="O12" s="14">
        <f>N12*VLOOKUP('Données projet'!$B$9,Paramètres!$A$1:$I$89,3,0)*VLOOKUP('Données projet'!$B$9,Paramètres!$A$1:$I$89,5,0)</f>
        <v>8.7887691971060438</v>
      </c>
      <c r="P12" s="14">
        <f t="shared" si="33"/>
        <v>3.1449004184369191</v>
      </c>
      <c r="Q12" s="22">
        <f t="shared" si="2"/>
        <v>20.784474580403991</v>
      </c>
      <c r="R12" s="62">
        <f t="shared" si="0"/>
        <v>314.11780791373729</v>
      </c>
      <c r="S12" s="62">
        <f ca="1">AVERAGE(OFFSET($R$3,0,0,'Données projet'!$E$9+1,1))-AVERAGE(OFFSET($H$3,0,0,'Données projet'!$E$9+1,1))</f>
        <v>157.19386117397545</v>
      </c>
      <c r="T12" s="62">
        <f t="shared" si="34"/>
        <v>153.10223389615993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2">
        <f t="shared" si="32"/>
        <v>2.0650733588092973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70">
        <f t="shared" si="1"/>
        <v>306.43950276659285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3</v>
      </c>
      <c r="N13" s="14">
        <f>IF('Données projet'!$A$36&gt;35,N12+M13-V12,IF(A13&lt;'Données projet'!$A$36,$K$205^A13,IF(A13='Données projet'!$A$36,'Données projet'!$B$36,N12+M13-V12)))</f>
        <v>19.81156349336776</v>
      </c>
      <c r="O13" s="14">
        <f>N13*VLOOKUP('Données projet'!$B$9,Paramètres!$A$1:$I$89,3,0)*VLOOKUP('Données projet'!$B$9,Paramètres!$A$1:$I$89,5,0)</f>
        <v>11.847314969033921</v>
      </c>
      <c r="P13" s="14">
        <f t="shared" si="33"/>
        <v>4.094516627677768</v>
      </c>
      <c r="Q13" s="22">
        <f t="shared" si="2"/>
        <v>27.76535669760619</v>
      </c>
      <c r="R13" s="62">
        <f t="shared" si="0"/>
        <v>321.09869003093951</v>
      </c>
      <c r="S13" s="62">
        <f ca="1">AVERAGE(OFFSET($R$3,0,0,'Données projet'!$E$9+1,1))-AVERAGE(OFFSET($H$3,0,0,'Données projet'!$E$9+1,1))</f>
        <v>157.19386117397545</v>
      </c>
      <c r="T13" s="62">
        <f t="shared" si="34"/>
        <v>153.10223389615993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2">
        <f t="shared" si="32"/>
        <v>2.2465188167092136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70">
        <f t="shared" si="1"/>
        <v>307.70647027243518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3</v>
      </c>
      <c r="N14" s="14">
        <f>IF('Données projet'!$A$36&gt;35,N13+M14-V13,IF(A14&lt;'Données projet'!$A$36,$K$205^A14,IF(A14='Données projet'!$A$36,'Données projet'!$B$36,N13+M14-V13)))</f>
        <v>26.706109521254486</v>
      </c>
      <c r="O14" s="14">
        <f>N14*VLOOKUP('Données projet'!$B$9,Paramètres!$A$1:$I$89,3,0)*VLOOKUP('Données projet'!$B$9,Paramètres!$A$1:$I$89,5,0)</f>
        <v>15.970253493710185</v>
      </c>
      <c r="P14" s="14">
        <f t="shared" si="33"/>
        <v>5.3308735361046251</v>
      </c>
      <c r="Q14" s="22">
        <f t="shared" si="2"/>
        <v>37.09946291026079</v>
      </c>
      <c r="R14" s="62">
        <f t="shared" si="0"/>
        <v>330.43279624359411</v>
      </c>
      <c r="S14" s="62">
        <f ca="1">AVERAGE(OFFSET($R$3,0,0,'Données projet'!$E$9+1,1))-AVERAGE(OFFSET($H$3,0,0,'Données projet'!$E$9+1,1))</f>
        <v>157.19386117397545</v>
      </c>
      <c r="T14" s="62">
        <f t="shared" si="34"/>
        <v>153.10223389615993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2">
        <f t="shared" si="32"/>
        <v>2.4260515959655744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70">
        <f t="shared" si="1"/>
        <v>308.97010652964002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>
        <f>VLOOKUP(A15,'Données projet'!$A$35:$I$55,2,0)</f>
        <v>36</v>
      </c>
      <c r="L15" s="13">
        <f>VLOOKUP(A15,'Données projet'!$A$35:$I$55,9,0)</f>
        <v>3</v>
      </c>
      <c r="M15" s="13">
        <f t="array" ref="M15">INDEX(L:L,MIN(IF(ISNUMBER(L15:L211),ROW(L15:L211),"")))</f>
        <v>3</v>
      </c>
      <c r="N15" s="14">
        <f>IF('Données projet'!$A$36&gt;35,N14+M15-V14,IF(A15&lt;'Données projet'!$A$36,$K$205^A15,IF(A15='Données projet'!$A$36,'Données projet'!$B$36,N14+M15-V14)))</f>
        <v>36</v>
      </c>
      <c r="O15" s="14">
        <f>N15*VLOOKUP('Données projet'!$B$9,Paramètres!$A$1:$I$89,3,0)*VLOOKUP('Données projet'!$B$9,Paramètres!$A$1:$I$89,5,0)</f>
        <v>21.528000000000002</v>
      </c>
      <c r="P15" s="14">
        <f t="shared" si="33"/>
        <v>6.9405537312613621</v>
      </c>
      <c r="Q15" s="22">
        <f t="shared" si="2"/>
        <v>49.582731081946882</v>
      </c>
      <c r="R15" s="62">
        <f t="shared" si="0"/>
        <v>342.91606441528018</v>
      </c>
      <c r="S15" s="62">
        <f ca="1">AVERAGE(OFFSET($R$3,0,0,'Données projet'!$E$9+1,1))-AVERAGE(OFFSET($H$3,0,0,'Données projet'!$E$9+1,1))</f>
        <v>157.19386117397545</v>
      </c>
      <c r="T15" s="62">
        <f t="shared" si="34"/>
        <v>153.10223389615993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2">
        <f t="shared" si="32"/>
        <v>2.6038492076799815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70">
        <f t="shared" si="1"/>
        <v>310.23072070337594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7.5</v>
      </c>
      <c r="N16" s="14">
        <f>IF('Données projet'!$A$36&gt;35,N15+M16-V15,IF(A16&lt;'Données projet'!$A$36,$K$205^A16,IF(A16='Données projet'!$A$36,'Données projet'!$B$36,N15+M16-V15)))</f>
        <v>43.5</v>
      </c>
      <c r="O16" s="14">
        <f>N16*VLOOKUP('Données projet'!$B$9,Paramètres!$A$1:$I$89,3,0)*VLOOKUP('Données projet'!$B$9,Paramètres!$A$1:$I$89,5,0)</f>
        <v>26.013000000000002</v>
      </c>
      <c r="P16" s="14">
        <f t="shared" si="33"/>
        <v>8.2037862916391067</v>
      </c>
      <c r="Q16" s="22">
        <f t="shared" si="2"/>
        <v>59.594236124604777</v>
      </c>
      <c r="R16" s="62">
        <f t="shared" si="0"/>
        <v>352.92756945793809</v>
      </c>
      <c r="S16" s="62">
        <f ca="1">AVERAGE(OFFSET($R$3,0,0,'Données projet'!$E$9+1,1))-AVERAGE(OFFSET($H$3,0,0,'Données projet'!$E$9+1,1))</f>
        <v>157.19386117397545</v>
      </c>
      <c r="T16" s="62">
        <f t="shared" si="34"/>
        <v>153.10223389615993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2">
        <f t="shared" si="32"/>
        <v>2.7800603022041317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70">
        <f t="shared" si="1"/>
        <v>311.4885716930055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7.5</v>
      </c>
      <c r="N17" s="14">
        <f>IF('Données projet'!$A$36&gt;35,N16+M17-V16,IF(A17&lt;'Données projet'!$A$36,$K$205^A17,IF(A17='Données projet'!$A$36,'Données projet'!$B$36,N16+M17-V16)))</f>
        <v>51</v>
      </c>
      <c r="O17" s="14">
        <f>N17*VLOOKUP('Données projet'!$B$9,Paramètres!$A$1:$I$89,3,0)*VLOOKUP('Données projet'!$B$9,Paramètres!$A$1:$I$89,5,0)</f>
        <v>30.498000000000001</v>
      </c>
      <c r="P17" s="14">
        <f t="shared" si="33"/>
        <v>9.4417878655064982</v>
      </c>
      <c r="Q17" s="22">
        <f t="shared" si="2"/>
        <v>69.561797199090492</v>
      </c>
      <c r="R17" s="62">
        <f t="shared" si="0"/>
        <v>362.89513053242382</v>
      </c>
      <c r="S17" s="62">
        <f ca="1">AVERAGE(OFFSET($R$3,0,0,'Données projet'!$E$9+1,1))-AVERAGE(OFFSET($H$3,0,0,'Données projet'!$E$9+1,1))</f>
        <v>157.19386117397545</v>
      </c>
      <c r="T17" s="62">
        <f t="shared" si="34"/>
        <v>153.10223389615993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2">
        <f t="shared" si="32"/>
        <v>2.9548110908066194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70">
        <f t="shared" si="1"/>
        <v>312.74387931648818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7.5</v>
      </c>
      <c r="N18" s="14">
        <f>IF('Données projet'!$A$36&gt;35,N17+M18-V17,IF(A18&lt;'Données projet'!$A$36,$K$205^A18,IF(A18='Données projet'!$A$36,'Données projet'!$B$36,N17+M18-V17)))</f>
        <v>58.5</v>
      </c>
      <c r="O18" s="14">
        <f>N18*VLOOKUP('Données projet'!$B$9,Paramètres!$A$1:$I$89,3,0)*VLOOKUP('Données projet'!$B$9,Paramètres!$A$1:$I$89,5,0)</f>
        <v>34.983000000000004</v>
      </c>
      <c r="P18" s="14">
        <f t="shared" si="33"/>
        <v>10.658697928430266</v>
      </c>
      <c r="Q18" s="22">
        <f t="shared" si="2"/>
        <v>79.492623892016056</v>
      </c>
      <c r="R18" s="62">
        <f t="shared" si="0"/>
        <v>372.82595722534938</v>
      </c>
      <c r="S18" s="62">
        <f ca="1">AVERAGE(OFFSET($R$3,0,0,'Données projet'!$E$9+1,1))-AVERAGE(OFFSET($H$3,0,0,'Données projet'!$E$9+1,1))</f>
        <v>157.19386117397545</v>
      </c>
      <c r="T18" s="62">
        <f t="shared" si="34"/>
        <v>153.10223389615993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2">
        <f t="shared" si="32"/>
        <v>3.1282100045396777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70">
        <f t="shared" si="1"/>
        <v>313.99683242457326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>
        <f>VLOOKUP(A19,'Données projet'!$A$35:$I$55,2,0)</f>
        <v>66</v>
      </c>
      <c r="L19" s="13">
        <f>VLOOKUP(A19,'Données projet'!$A$35:$I$55,9,0)</f>
        <v>7.5</v>
      </c>
      <c r="M19" s="13">
        <f t="array" ref="M19">INDEX(L:L,MIN(IF(ISNUMBER(L19:L215),ROW(L19:L215),"")))</f>
        <v>7.5</v>
      </c>
      <c r="N19" s="14">
        <f>IF('Données projet'!$A$36&gt;35,N18+M19-V18,IF(A19&lt;'Données projet'!$A$36,$K$205^A19,IF(A19='Données projet'!$A$36,'Données projet'!$B$36,N18+M19-V18)))</f>
        <v>66</v>
      </c>
      <c r="O19" s="14">
        <f>N19*VLOOKUP('Données projet'!$B$9,Paramètres!$A$1:$I$89,3,0)*VLOOKUP('Données projet'!$B$9,Paramètres!$A$1:$I$89,5,0)</f>
        <v>39.468000000000004</v>
      </c>
      <c r="P19" s="14">
        <f t="shared" si="33"/>
        <v>11.8575305564269</v>
      </c>
      <c r="Q19" s="22">
        <f t="shared" si="2"/>
        <v>89.391965719110203</v>
      </c>
      <c r="R19" s="62">
        <f t="shared" si="0"/>
        <v>382.72529905244352</v>
      </c>
      <c r="S19" s="62">
        <f ca="1">AVERAGE(OFFSET($R$3,0,0,'Données projet'!$E$9+1,1))-AVERAGE(OFFSET($H$3,0,0,'Données projet'!$E$9+1,1))</f>
        <v>157.19386117397545</v>
      </c>
      <c r="T19" s="62">
        <f t="shared" si="34"/>
        <v>153.10223389615993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2">
        <f t="shared" si="32"/>
        <v>3.3003511545061563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70">
        <f t="shared" si="1"/>
        <v>315.24759492743152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7.75</v>
      </c>
      <c r="N20" s="14">
        <f>IF('Données projet'!$A$36&gt;35,N19+M20-V19,IF(A20&lt;'Données projet'!$A$36,$K$205^A20,IF(A20='Données projet'!$A$36,'Données projet'!$B$36,N19+M20-V19)))</f>
        <v>73.75</v>
      </c>
      <c r="O20" s="14">
        <f>N20*VLOOKUP('Données projet'!$B$9,Paramètres!$A$1:$I$89,3,0)*VLOOKUP('Données projet'!$B$9,Paramètres!$A$1:$I$89,5,0)</f>
        <v>44.102500000000006</v>
      </c>
      <c r="P20" s="14">
        <f t="shared" si="33"/>
        <v>13.079759422157538</v>
      </c>
      <c r="Q20" s="22">
        <f t="shared" si="2"/>
        <v>99.592435160257722</v>
      </c>
      <c r="R20" s="62">
        <f t="shared" si="0"/>
        <v>392.92576849359102</v>
      </c>
      <c r="S20" s="62">
        <f ca="1">AVERAGE(OFFSET($R$3,0,0,'Données projet'!$E$9+1,1))-AVERAGE(OFFSET($H$3,0,0,'Données projet'!$E$9+1,1))</f>
        <v>157.19386117397545</v>
      </c>
      <c r="T20" s="62">
        <f t="shared" si="34"/>
        <v>153.10223389615993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2">
        <f t="shared" si="32"/>
        <v>3.4713169544550633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70">
        <f t="shared" si="1"/>
        <v>316.49631036234257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7.75</v>
      </c>
      <c r="N21" s="14">
        <f>IF('Données projet'!$A$36&gt;35,N20+M21-V20,IF(A21&lt;'Données projet'!$A$36,$K$205^A21,IF(A21='Données projet'!$A$36,'Données projet'!$B$36,N20+M21-V20)))</f>
        <v>81.5</v>
      </c>
      <c r="O21" s="14">
        <f>N21*VLOOKUP('Données projet'!$B$9,Paramètres!$A$1:$I$89,3,0)*VLOOKUP('Données projet'!$B$9,Paramètres!$A$1:$I$89,5,0)</f>
        <v>48.737000000000002</v>
      </c>
      <c r="P21" s="14">
        <f t="shared" si="33"/>
        <v>14.287100316368795</v>
      </c>
      <c r="Q21" s="22">
        <f t="shared" si="2"/>
        <v>109.76697471767564</v>
      </c>
      <c r="R21" s="62">
        <f t="shared" si="0"/>
        <v>403.10030805100894</v>
      </c>
      <c r="S21" s="62">
        <f ca="1">AVERAGE(OFFSET($R$3,0,0,'Données projet'!$E$9+1,1))-AVERAGE(OFFSET($H$3,0,0,'Données projet'!$E$9+1,1))</f>
        <v>157.19386117397545</v>
      </c>
      <c r="T21" s="62">
        <f t="shared" si="34"/>
        <v>153.10223389615993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2">
        <f t="shared" si="32"/>
        <v>3.6411801438697724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70">
        <f t="shared" si="1"/>
        <v>317.74310541723986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7.75</v>
      </c>
      <c r="N22" s="14">
        <f>IF('Données projet'!$A$36&gt;35,N21+M22-V21,IF(A22&lt;'Données projet'!$A$36,$K$205^A22,IF(A22='Données projet'!$A$36,'Données projet'!$B$36,N21+M22-V21)))</f>
        <v>89.25</v>
      </c>
      <c r="O22" s="14">
        <f>N22*VLOOKUP('Données projet'!$B$9,Paramètres!$A$1:$I$89,3,0)*VLOOKUP('Données projet'!$B$9,Paramètres!$A$1:$I$89,5,0)</f>
        <v>53.371500000000005</v>
      </c>
      <c r="P22" s="14">
        <f t="shared" si="33"/>
        <v>15.481130031948343</v>
      </c>
      <c r="Q22" s="22">
        <f t="shared" si="2"/>
        <v>119.91833063897671</v>
      </c>
      <c r="R22" s="62">
        <f t="shared" si="0"/>
        <v>413.25166397231004</v>
      </c>
      <c r="S22" s="62">
        <f ca="1">AVERAGE(OFFSET($R$3,0,0,'Données projet'!$E$9+1,1))-AVERAGE(OFFSET($H$3,0,0,'Données projet'!$E$9+1,1))</f>
        <v>157.19386117397545</v>
      </c>
      <c r="T22" s="62">
        <f t="shared" si="34"/>
        <v>153.10223389615993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2">
        <f t="shared" si="32"/>
        <v>3.810005372992582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70">
        <f t="shared" si="1"/>
        <v>318.98809269129538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>
        <f>VLOOKUP(A23,'Données projet'!$A$35:$I$55,2,0)</f>
        <v>97</v>
      </c>
      <c r="L23" s="13">
        <f>VLOOKUP(A23,'Données projet'!$A$35:$I$55,9,0)</f>
        <v>7.75</v>
      </c>
      <c r="M23" s="13">
        <f t="array" ref="M23">INDEX(L:L,MIN(IF(ISNUMBER(L23:L219),ROW(L23:L219),"")))</f>
        <v>7.75</v>
      </c>
      <c r="N23" s="14">
        <f>IF('Données projet'!$A$36&gt;35,N22+M23-V22,IF(A23&lt;'Données projet'!$A$36,$K$205^A23,IF(A23='Données projet'!$A$36,'Données projet'!$B$36,N22+M23-V22)))</f>
        <v>97</v>
      </c>
      <c r="O23" s="14">
        <f>N23*VLOOKUP('Données projet'!$B$9,Paramètres!$A$1:$I$89,3,0)*VLOOKUP('Données projet'!$B$9,Paramètres!$A$1:$I$89,5,0)</f>
        <v>58.006000000000007</v>
      </c>
      <c r="P23" s="14">
        <f t="shared" si="33"/>
        <v>16.663135866177967</v>
      </c>
      <c r="Q23" s="22">
        <f t="shared" si="2"/>
        <v>130.04874496692665</v>
      </c>
      <c r="R23" s="62">
        <f t="shared" si="0"/>
        <v>423.38207830025999</v>
      </c>
      <c r="S23" s="62">
        <f ca="1">AVERAGE(OFFSET($R$3,0,0,'Données projet'!$E$9+1,1))-AVERAGE(OFFSET($H$3,0,0,'Données projet'!$E$9+1,1))</f>
        <v>157.19386117397545</v>
      </c>
      <c r="T23" s="62">
        <f t="shared" si="34"/>
        <v>153.10223389615993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28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1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18.958097589783147</v>
      </c>
      <c r="AC23" s="24">
        <f t="shared" si="3"/>
        <v>18.958097589783147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2">
        <f t="shared" si="32"/>
        <v>3.9778504618356041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70">
        <f t="shared" si="1"/>
        <v>320.23137288769698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14.25</v>
      </c>
      <c r="N24" s="14">
        <f>IF('Données projet'!$A$36&gt;35,N23+M24-V23,IF(A24&lt;'Données projet'!$A$36,$K$205^A24,IF(A24='Données projet'!$A$36,'Données projet'!$B$36,N23+M24-V23)))</f>
        <v>83.25</v>
      </c>
      <c r="O24" s="14">
        <f>N24*VLOOKUP('Données projet'!$B$9,Paramètres!$A$1:$I$89,3,0)*VLOOKUP('Données projet'!$B$9,Paramètres!$A$1:$I$89,5,0)</f>
        <v>49.783500000000004</v>
      </c>
      <c r="P24" s="14">
        <f t="shared" si="33"/>
        <v>14.557833481413466</v>
      </c>
      <c r="Q24" s="22">
        <f t="shared" si="2"/>
        <v>112.06115581346178</v>
      </c>
      <c r="R24" s="62">
        <f t="shared" si="0"/>
        <v>405.39448914679508</v>
      </c>
      <c r="S24" s="62">
        <f ca="1">AVERAGE(OFFSET($R$3,0,0,'Données projet'!$E$9+1,1))-AVERAGE(OFFSET($H$3,0,0,'Données projet'!$E$9+1,1))</f>
        <v>157.19386117397545</v>
      </c>
      <c r="T24" s="62">
        <f t="shared" si="34"/>
        <v>153.10223389615993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13.405399364132007</v>
      </c>
      <c r="AC24" s="24">
        <f t="shared" si="3"/>
        <v>13.405399364132007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2">
        <f t="shared" si="32"/>
        <v>4.1447674125853915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70">
        <f t="shared" si="1"/>
        <v>321.47303657691953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14.25</v>
      </c>
      <c r="N25" s="14">
        <f>IF('Données projet'!$A$36&gt;35,N24+M25-V24,IF(A25&lt;'Données projet'!$A$36,$K$205^A25,IF(A25='Données projet'!$A$36,'Données projet'!$B$36,N24+M25-V24)))</f>
        <v>97.5</v>
      </c>
      <c r="O25" s="14">
        <f>N25*VLOOKUP('Données projet'!$B$9,Paramètres!$A$1:$I$89,3,0)*VLOOKUP('Données projet'!$B$9,Paramètres!$A$1:$I$89,5,0)</f>
        <v>58.305000000000007</v>
      </c>
      <c r="P25" s="14">
        <f t="shared" si="33"/>
        <v>16.739007712761136</v>
      </c>
      <c r="Q25" s="22">
        <f t="shared" si="2"/>
        <v>130.70164676639232</v>
      </c>
      <c r="R25" s="62">
        <f t="shared" si="0"/>
        <v>424.03498009972566</v>
      </c>
      <c r="S25" s="62">
        <f ca="1">AVERAGE(OFFSET($R$3,0,0,'Données projet'!$E$9+1,1))-AVERAGE(OFFSET($H$3,0,0,'Données projet'!$E$9+1,1))</f>
        <v>157.19386117397545</v>
      </c>
      <c r="T25" s="62">
        <f t="shared" si="34"/>
        <v>153.10223389615993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9.4790487948915754</v>
      </c>
      <c r="AC25" s="24">
        <f t="shared" si="3"/>
        <v>9.4790487948915754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2">
        <f t="shared" si="32"/>
        <v>4.3108032327306516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70">
        <f t="shared" si="1"/>
        <v>322.71316563033918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14.25</v>
      </c>
      <c r="N26" s="14">
        <f>IF('Données projet'!$A$36&gt;35,N25+M26-V25,IF(A26&lt;'Données projet'!$A$36,$K$205^A26,IF(A26='Données projet'!$A$36,'Données projet'!$B$36,N25+M26-V25)))</f>
        <v>111.75</v>
      </c>
      <c r="O26" s="14">
        <f>N26*VLOOKUP('Données projet'!$B$9,Paramètres!$A$1:$I$89,3,0)*VLOOKUP('Données projet'!$B$9,Paramètres!$A$1:$I$89,5,0)</f>
        <v>66.82650000000001</v>
      </c>
      <c r="P26" s="14">
        <f t="shared" si="33"/>
        <v>18.883250314664316</v>
      </c>
      <c r="Q26" s="22">
        <f t="shared" si="2"/>
        <v>149.27781513137367</v>
      </c>
      <c r="R26" s="62">
        <f t="shared" si="0"/>
        <v>442.61114846470696</v>
      </c>
      <c r="S26" s="62">
        <f ca="1">AVERAGE(OFFSET($R$3,0,0,'Données projet'!$E$9+1,1))-AVERAGE(OFFSET($H$3,0,0,'Données projet'!$E$9+1,1))</f>
        <v>157.19386117397545</v>
      </c>
      <c r="T26" s="62">
        <f t="shared" si="34"/>
        <v>153.10223389615993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6.7026996820660045</v>
      </c>
      <c r="AC26" s="24">
        <f t="shared" si="3"/>
        <v>6.7026996820660045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2">
        <f t="shared" si="32"/>
        <v>4.4760006109979766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70">
        <f t="shared" si="1"/>
        <v>323.95183439748814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>
        <f>VLOOKUP(A27,'Données projet'!$A$35:$I$55,2,0)</f>
        <v>126</v>
      </c>
      <c r="L27" s="13">
        <f>VLOOKUP(A27,'Données projet'!$A$35:$I$55,9,0)</f>
        <v>14.25</v>
      </c>
      <c r="M27" s="13">
        <f t="array" ref="M27">INDEX(L:L,MIN(IF(ISNUMBER(L27:L223),ROW(L27:L223),"")))</f>
        <v>14.25</v>
      </c>
      <c r="N27" s="14">
        <f>IF('Données projet'!$A$36&gt;35,N26+M27-V26,IF(A27&lt;'Données projet'!$A$36,$K$205^A27,IF(A27='Données projet'!$A$36,'Données projet'!$B$36,N26+M27-V26)))</f>
        <v>126</v>
      </c>
      <c r="O27" s="14">
        <f>N27*VLOOKUP('Données projet'!$B$9,Paramètres!$A$1:$I$89,3,0)*VLOOKUP('Données projet'!$B$9,Paramètres!$A$1:$I$89,5,0)</f>
        <v>75.347999999999999</v>
      </c>
      <c r="P27" s="14">
        <f t="shared" si="33"/>
        <v>20.99581051771704</v>
      </c>
      <c r="Q27" s="22">
        <f t="shared" si="2"/>
        <v>167.79880331835713</v>
      </c>
      <c r="R27" s="62">
        <f t="shared" si="0"/>
        <v>461.13213665169042</v>
      </c>
      <c r="S27" s="62">
        <f ca="1">AVERAGE(OFFSET($R$3,0,0,'Données projet'!$E$9+1,1))-AVERAGE(OFFSET($H$3,0,0,'Données projet'!$E$9+1,1))</f>
        <v>157.19386117397545</v>
      </c>
      <c r="T27" s="62">
        <f t="shared" si="34"/>
        <v>153.10223389615993</v>
      </c>
      <c r="U27" s="16">
        <f>IF(ISNA(VLOOKUP(A27,'Données projet'!$A$35:$I$55,3,0)),0,VLOOKUP(A27,'Données projet'!$A$35:$I$55,3,0))</f>
        <v>2</v>
      </c>
      <c r="V27" s="16">
        <f>IF(ISNA(VLOOKUP(A27,'Données projet'!$A$35:$I$55,4,0)),0,VLOOKUP(A27,'Données projet'!$A$35:$I$55,4,0))</f>
        <v>32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9.0000000000000011E-2</v>
      </c>
      <c r="Y27" s="17">
        <f>IF(ISNA(VLOOKUP(A27,'Données projet'!$A$35:$I$55,7,0)),0%,VLOOKUP(A27,'Données projet'!$A$35:$I$55,7,0))</f>
        <v>0.8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2.2756667814698064</v>
      </c>
      <c r="AB27" s="23">
        <f>EXP(-LN(2)/2)*AB26+(1-EXP(-LN(2)/2))/(LN(2)/2)*V27*Y27*VLOOKUP('Données projet'!$B$9,Paramètres!$A$1:$I$89,3,0)*0.475*44/12</f>
        <v>22.07264219381895</v>
      </c>
      <c r="AC27" s="24">
        <f t="shared" si="3"/>
        <v>24.348308975288756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2">
        <f t="shared" si="32"/>
        <v>4.6403984774572109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70">
        <f t="shared" si="1"/>
        <v>325.18911068157126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15.5</v>
      </c>
      <c r="N28" s="14">
        <f>IF('Données projet'!$A$36&gt;35,N27+M28-V27,IF(A28&lt;'Données projet'!$A$36,$K$205^A28,IF(A28='Données projet'!$A$36,'Données projet'!$B$36,N27+M28-V27)))</f>
        <v>109.5</v>
      </c>
      <c r="O28" s="14">
        <f>N28*VLOOKUP('Données projet'!$B$9,Paramètres!$A$1:$I$89,3,0)*VLOOKUP('Données projet'!$B$9,Paramètres!$A$1:$I$89,5,0)</f>
        <v>65.481000000000009</v>
      </c>
      <c r="P28" s="14">
        <f t="shared" si="33"/>
        <v>18.54690924044241</v>
      </c>
      <c r="Q28" s="22">
        <f t="shared" si="2"/>
        <v>146.34860859377056</v>
      </c>
      <c r="R28" s="62">
        <f t="shared" si="0"/>
        <v>439.68194192710388</v>
      </c>
      <c r="S28" s="62">
        <f ca="1">AVERAGE(OFFSET($R$3,0,0,'Données projet'!$E$9+1,1))-AVERAGE(OFFSET($H$3,0,0,'Données projet'!$E$9+1,1))</f>
        <v>157.19386117397545</v>
      </c>
      <c r="T28" s="62">
        <f t="shared" si="34"/>
        <v>153.10223389615993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2.2134385536583996</v>
      </c>
      <c r="AB28" s="23">
        <f>EXP(-LN(2)/2)*AB27+(1-EXP(-LN(2)/2))/(LN(2)/2)*V28*Y28*VLOOKUP('Données projet'!$B$9,Paramètres!$A$1:$I$89,3,0)*0.475*44/12</f>
        <v>15.607714973953694</v>
      </c>
      <c r="AC28" s="24">
        <f t="shared" si="3"/>
        <v>17.821153527612093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2">
        <f t="shared" si="32"/>
        <v>4.8040324714872957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70">
        <f t="shared" si="1"/>
        <v>326.42505655450702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15.5</v>
      </c>
      <c r="N29" s="14">
        <f>IF('Données projet'!$A$36&gt;35,N28+M29-V28,IF(A29&lt;'Données projet'!$A$36,$K$205^A29,IF(A29='Données projet'!$A$36,'Données projet'!$B$36,N28+M29-V28)))</f>
        <v>125</v>
      </c>
      <c r="O29" s="14">
        <f>N29*VLOOKUP('Données projet'!$B$9,Paramètres!$A$1:$I$89,3,0)*VLOOKUP('Données projet'!$B$9,Paramètres!$A$1:$I$89,5,0)</f>
        <v>74.75</v>
      </c>
      <c r="P29" s="14">
        <f t="shared" si="33"/>
        <v>20.848505019312213</v>
      </c>
      <c r="Q29" s="22">
        <f t="shared" si="2"/>
        <v>166.50072957530207</v>
      </c>
      <c r="R29" s="62">
        <f t="shared" si="0"/>
        <v>459.83406290863536</v>
      </c>
      <c r="S29" s="62">
        <f ca="1">AVERAGE(OFFSET($R$3,0,0,'Données projet'!$E$9+1,1))-AVERAGE(OFFSET($H$3,0,0,'Données projet'!$E$9+1,1))</f>
        <v>157.19386117397545</v>
      </c>
      <c r="T29" s="62">
        <f t="shared" si="34"/>
        <v>153.10223389615993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2.1529119600089359</v>
      </c>
      <c r="AB29" s="23">
        <f>EXP(-LN(2)/2)*AB28+(1-EXP(-LN(2)/2))/(LN(2)/2)*V29*Y29*VLOOKUP('Données projet'!$B$9,Paramètres!$A$1:$I$89,3,0)*0.475*44/12</f>
        <v>11.036321096909477</v>
      </c>
      <c r="AC29" s="24">
        <f t="shared" si="3"/>
        <v>13.189233056918413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2">
        <f t="shared" si="32"/>
        <v>4.9669353357224146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70">
        <f t="shared" si="1"/>
        <v>327.65972904304982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15.5</v>
      </c>
      <c r="N30" s="14">
        <f>IF('Données projet'!$A$36&gt;35,N29+M30-V29,IF(A30&lt;'Données projet'!$A$36,$K$205^A30,IF(A30='Données projet'!$A$36,'Données projet'!$B$36,N29+M30-V29)))</f>
        <v>140.5</v>
      </c>
      <c r="O30" s="14">
        <f>N30*VLOOKUP('Données projet'!$B$9,Paramètres!$A$1:$I$89,3,0)*VLOOKUP('Données projet'!$B$9,Paramètres!$A$1:$I$89,5,0)</f>
        <v>84.01900000000002</v>
      </c>
      <c r="P30" s="14">
        <f t="shared" si="33"/>
        <v>23.117029709137995</v>
      </c>
      <c r="Q30" s="22">
        <f t="shared" si="2"/>
        <v>186.59525174341539</v>
      </c>
      <c r="R30" s="62">
        <f t="shared" si="0"/>
        <v>479.92858507674873</v>
      </c>
      <c r="S30" s="62">
        <f ca="1">AVERAGE(OFFSET($R$3,0,0,'Données projet'!$E$9+1,1))-AVERAGE(OFFSET($H$3,0,0,'Données projet'!$E$9+1,1))</f>
        <v>157.19386117397545</v>
      </c>
      <c r="T30" s="62">
        <f t="shared" si="34"/>
        <v>153.10223389615993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2.0940404692457721</v>
      </c>
      <c r="AB30" s="23">
        <f>EXP(-LN(2)/2)*AB29+(1-EXP(-LN(2)/2))/(LN(2)/2)*V30*Y30*VLOOKUP('Données projet'!$B$9,Paramètres!$A$1:$I$89,3,0)*0.475*44/12</f>
        <v>7.803857486976848</v>
      </c>
      <c r="AC30" s="24">
        <f t="shared" si="3"/>
        <v>9.8978979562226197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2">
        <f t="shared" si="32"/>
        <v>5.1291372499950274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70">
        <f t="shared" si="1"/>
        <v>328.89318071040799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>
        <f>VLOOKUP(A31,'Données projet'!$A$35:$I$55,2,0)</f>
        <v>156</v>
      </c>
      <c r="L31" s="13">
        <f>VLOOKUP(A31,'Données projet'!$A$35:$I$55,9,0)</f>
        <v>15.5</v>
      </c>
      <c r="M31" s="13">
        <f t="array" ref="M31">INDEX(L:L,MIN(IF(ISNUMBER(L31:L227),ROW(L31:L227),"")))</f>
        <v>15.5</v>
      </c>
      <c r="N31" s="14">
        <f>IF('Données projet'!$A$36&gt;35,N30+M31-V30,IF(A31&lt;'Données projet'!$A$36,$K$205^A31,IF(A31='Données projet'!$A$36,'Données projet'!$B$36,N30+M31-V30)))</f>
        <v>156</v>
      </c>
      <c r="O31" s="14">
        <f>N31*VLOOKUP('Données projet'!$B$9,Paramètres!$A$1:$I$89,3,0)*VLOOKUP('Données projet'!$B$9,Paramètres!$A$1:$I$89,5,0)</f>
        <v>93.288000000000011</v>
      </c>
      <c r="P31" s="14">
        <f t="shared" si="33"/>
        <v>25.356547829040977</v>
      </c>
      <c r="Q31" s="22">
        <f t="shared" si="2"/>
        <v>206.63925413557971</v>
      </c>
      <c r="R31" s="62">
        <f t="shared" si="0"/>
        <v>499.97258746891305</v>
      </c>
      <c r="S31" s="62">
        <f ca="1">AVERAGE(OFFSET($R$3,0,0,'Données projet'!$E$9+1,1))-AVERAGE(OFFSET($H$3,0,0,'Données projet'!$E$9+1,1))</f>
        <v>157.19386117397545</v>
      </c>
      <c r="T31" s="62">
        <f t="shared" si="34"/>
        <v>153.10223389615993</v>
      </c>
      <c r="U31" s="16">
        <f>IF(ISNA(VLOOKUP(A31,'Données projet'!$A$35:$I$55,3,0)),0,VLOOKUP(A31,'Données projet'!$A$35:$I$55,3,0))</f>
        <v>3</v>
      </c>
      <c r="V31" s="16">
        <f>IF(ISNA(VLOOKUP(A31,'Données projet'!$A$35:$I$55,4,0)),0,VLOOKUP(A31,'Données projet'!$A$35:$I$55,4,0))</f>
        <v>39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0.27</v>
      </c>
      <c r="Y31" s="17">
        <f>IF(ISNA(VLOOKUP(A31,'Données projet'!$A$35:$I$55,7,0)),0%,VLOOKUP(A31,'Données projet'!$A$35:$I$55,7,0))</f>
        <v>0.4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10.357185492242424</v>
      </c>
      <c r="AB31" s="23">
        <f>EXP(-LN(2)/2)*AB30+(1-EXP(-LN(2)/2))/(LN(2)/2)*V31*Y31*VLOOKUP('Données projet'!$B$9,Paramètres!$A$1:$I$89,3,0)*0.475*44/12</f>
        <v>16.080529205619634</v>
      </c>
      <c r="AC31" s="24">
        <f t="shared" si="3"/>
        <v>26.437714697862056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2">
        <f t="shared" si="32"/>
        <v>5.2906661162322051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70">
        <f t="shared" si="1"/>
        <v>330.12546015243771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13.5</v>
      </c>
      <c r="N32" s="14">
        <f>IF('Données projet'!$A$36&gt;35,N31+M32-V31,IF(A32&lt;'Données projet'!$A$36,$K$205^A32,IF(A32='Données projet'!$A$36,'Données projet'!$B$36,N31+M32-V31)))</f>
        <v>130.5</v>
      </c>
      <c r="O32" s="14">
        <f>N32*VLOOKUP('Données projet'!$B$9,Paramètres!$A$1:$I$89,3,0)*VLOOKUP('Données projet'!$B$9,Paramètres!$A$1:$I$89,5,0)</f>
        <v>78.039000000000001</v>
      </c>
      <c r="P32" s="14">
        <f t="shared" si="33"/>
        <v>21.657019080358005</v>
      </c>
      <c r="Q32" s="22">
        <f t="shared" si="2"/>
        <v>173.63723323162355</v>
      </c>
      <c r="R32" s="62">
        <f t="shared" si="0"/>
        <v>466.97056656495687</v>
      </c>
      <c r="S32" s="62">
        <f ca="1">AVERAGE(OFFSET($R$3,0,0,'Données projet'!$E$9+1,1))-AVERAGE(OFFSET($H$3,0,0,'Données projet'!$E$9+1,1))</f>
        <v>157.19386117397545</v>
      </c>
      <c r="T32" s="62">
        <f t="shared" si="34"/>
        <v>153.10223389615993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10.073967710296342</v>
      </c>
      <c r="AB32" s="23">
        <f>EXP(-LN(2)/2)*AB31+(1-EXP(-LN(2)/2))/(LN(2)/2)*V32*Y32*VLOOKUP('Données projet'!$B$9,Paramètres!$A$1:$I$89,3,0)*0.475*44/12</f>
        <v>11.37065124636197</v>
      </c>
      <c r="AC32" s="24">
        <f t="shared" si="3"/>
        <v>21.44461895665831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2">
        <f t="shared" si="32"/>
        <v>5.4515478029518807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70">
        <f t="shared" si="1"/>
        <v>331.35661242347447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13.5</v>
      </c>
      <c r="N33" s="14">
        <f>IF('Données projet'!$A$36&gt;35,N32+M33-V32,IF(A33&lt;'Données projet'!$A$36,$K$205^A33,IF(A33='Données projet'!$A$36,'Données projet'!$B$36,N32+M33-V32)))</f>
        <v>144</v>
      </c>
      <c r="O33" s="14">
        <f>N33*VLOOKUP('Données projet'!$B$9,Paramètres!$A$1:$I$89,3,0)*VLOOKUP('Données projet'!$B$9,Paramètres!$A$1:$I$89,5,0)</f>
        <v>86.112000000000009</v>
      </c>
      <c r="P33" s="14">
        <f t="shared" si="33"/>
        <v>23.625136642852297</v>
      </c>
      <c r="Q33" s="22">
        <f t="shared" si="2"/>
        <v>191.12551298630106</v>
      </c>
      <c r="R33" s="62">
        <f t="shared" si="0"/>
        <v>484.4588463196344</v>
      </c>
      <c r="S33" s="62">
        <f ca="1">AVERAGE(OFFSET($R$3,0,0,'Données projet'!$E$9+1,1))-AVERAGE(OFFSET($H$3,0,0,'Données projet'!$E$9+1,1))</f>
        <v>157.19386117397545</v>
      </c>
      <c r="T33" s="62">
        <f t="shared" si="34"/>
        <v>153.10223389615993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9.7984945334913505</v>
      </c>
      <c r="AB33" s="23">
        <f>EXP(-LN(2)/2)*AB32+(1-EXP(-LN(2)/2))/(LN(2)/2)*V33*Y33*VLOOKUP('Données projet'!$B$9,Paramètres!$A$1:$I$89,3,0)*0.475*44/12</f>
        <v>8.0402646028098168</v>
      </c>
      <c r="AC33" s="24">
        <f t="shared" si="3"/>
        <v>17.838759136301167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2">
        <f t="shared" si="32"/>
        <v>5.6118063562438518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70">
        <f t="shared" si="1"/>
        <v>332.58667940379132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13.5</v>
      </c>
      <c r="N34" s="14">
        <f>IF('Données projet'!$A$36&gt;35,N33+M34-V33,IF(A34&lt;'Données projet'!$A$36,$K$205^A34,IF(A34='Données projet'!$A$36,'Données projet'!$B$36,N33+M34-V33)))</f>
        <v>157.5</v>
      </c>
      <c r="O34" s="14">
        <f>N34*VLOOKUP('Données projet'!$B$9,Paramètres!$A$1:$I$89,3,0)*VLOOKUP('Données projet'!$B$9,Paramètres!$A$1:$I$89,5,0)</f>
        <v>94.185000000000002</v>
      </c>
      <c r="P34" s="14">
        <f t="shared" si="33"/>
        <v>25.571860829914897</v>
      </c>
      <c r="Q34" s="22">
        <f t="shared" si="2"/>
        <v>208.57653261210177</v>
      </c>
      <c r="R34" s="62">
        <f t="shared" si="0"/>
        <v>501.90986594543506</v>
      </c>
      <c r="S34" s="62">
        <f ca="1">AVERAGE(OFFSET($R$3,0,0,'Données projet'!$E$9+1,1))-AVERAGE(OFFSET($H$3,0,0,'Données projet'!$E$9+1,1))</f>
        <v>157.19386117397545</v>
      </c>
      <c r="T34" s="62">
        <f t="shared" si="34"/>
        <v>153.10223389615993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9.5305541851925959</v>
      </c>
      <c r="AB34" s="23">
        <f>EXP(-LN(2)/2)*AB33+(1-EXP(-LN(2)/2))/(LN(2)/2)*V34*Y34*VLOOKUP('Données projet'!$B$9,Paramètres!$A$1:$I$89,3,0)*0.475*44/12</f>
        <v>5.6853256231809848</v>
      </c>
      <c r="AC34" s="24">
        <f t="shared" si="3"/>
        <v>15.215879808373581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2">
        <f t="shared" si="32"/>
        <v>5.7714641827626956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70">
        <f t="shared" si="1"/>
        <v>333.81570011831167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13.5</v>
      </c>
      <c r="N35" s="14">
        <f>IF('Données projet'!$A$36&gt;35,N34+M35-V34,IF(A35&lt;'Données projet'!$A$36,$K$205^A35,IF(A35='Données projet'!$A$36,'Données projet'!$B$36,N34+M35-V34)))</f>
        <v>171</v>
      </c>
      <c r="O35" s="14">
        <f>N35*VLOOKUP('Données projet'!$B$9,Paramètres!$A$1:$I$89,3,0)*VLOOKUP('Données projet'!$B$9,Paramètres!$A$1:$I$89,5,0)</f>
        <v>102.258</v>
      </c>
      <c r="P35" s="14">
        <f t="shared" si="33"/>
        <v>27.499233847895859</v>
      </c>
      <c r="Q35" s="22">
        <f t="shared" ref="Q35:Q66" si="53">(O35+P35)*0.475*44/12</f>
        <v>225.99384895175194</v>
      </c>
      <c r="R35" s="62">
        <f t="shared" si="0"/>
        <v>519.3271822850852</v>
      </c>
      <c r="S35" s="62">
        <f ca="1">AVERAGE(OFFSET($R$3,0,0,'Données projet'!$E$9+1,1))-AVERAGE(OFFSET($H$3,0,0,'Données projet'!$E$9+1,1))</f>
        <v>157.19386117397545</v>
      </c>
      <c r="T35" s="62">
        <f t="shared" si="34"/>
        <v>153.10223389615993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9.2699406798084425</v>
      </c>
      <c r="AB35" s="23">
        <f>EXP(-LN(2)/2)*AB34+(1-EXP(-LN(2)/2))/(LN(2)/2)*V35*Y35*VLOOKUP('Données projet'!$B$9,Paramètres!$A$1:$I$89,3,0)*0.475*44/12</f>
        <v>4.0201323014049084</v>
      </c>
      <c r="AC35" s="24">
        <f t="shared" si="3"/>
        <v>13.290072981213351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2">
        <f t="shared" si="32"/>
        <v>5.9305422092039777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70">
        <f t="shared" si="1"/>
        <v>335.04371101436357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13.5</v>
      </c>
      <c r="N36" s="14">
        <f>IF('Données projet'!$A$36&gt;35,N35+M36-V35,IF(A36&lt;'Données projet'!$A$36,$K$205^A36,IF(A36='Données projet'!$A$36,'Données projet'!$B$36,N35+M36-V35)))</f>
        <v>184.5</v>
      </c>
      <c r="O36" s="14">
        <f>N36*VLOOKUP('Données projet'!$B$9,Paramètres!$A$1:$I$89,3,0)*VLOOKUP('Données projet'!$B$9,Paramètres!$A$1:$I$89,5,0)</f>
        <v>110.331</v>
      </c>
      <c r="P36" s="14">
        <f t="shared" si="33"/>
        <v>29.408957111883872</v>
      </c>
      <c r="Q36" s="22">
        <f t="shared" si="53"/>
        <v>243.38042530319774</v>
      </c>
      <c r="R36" s="62">
        <f t="shared" si="0"/>
        <v>536.71375863653111</v>
      </c>
      <c r="S36" s="62">
        <f ca="1">AVERAGE(OFFSET($R$3,0,0,'Données projet'!$E$9+1,1))-AVERAGE(OFFSET($H$3,0,0,'Données projet'!$E$9+1,1))</f>
        <v>157.19386117397545</v>
      </c>
      <c r="T36" s="62">
        <f t="shared" si="34"/>
        <v>153.10223389615993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9.0164536644340867</v>
      </c>
      <c r="AB36" s="23">
        <f>EXP(-LN(2)/2)*AB35+(1-EXP(-LN(2)/2))/(LN(2)/2)*V36*Y36*VLOOKUP('Données projet'!$B$9,Paramètres!$A$1:$I$89,3,0)*0.475*44/12</f>
        <v>2.8426628115904924</v>
      </c>
      <c r="AC36" s="24">
        <f t="shared" si="3"/>
        <v>11.859116476024578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2">
        <f t="shared" si="32"/>
        <v>6.0890600219069135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70">
        <f t="shared" si="1"/>
        <v>336.27074620482119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>
        <f>VLOOKUP(A37,'Données projet'!$A$35:$I$55,2,0)</f>
        <v>198</v>
      </c>
      <c r="L37" s="13">
        <f>VLOOKUP(A37,'Données projet'!$A$35:$I$55,9,0)</f>
        <v>13.5</v>
      </c>
      <c r="M37" s="13">
        <f t="array" ref="M37">INDEX(L:L,MIN(IF(ISNUMBER(L37:L233),ROW(L37:L233),"")))</f>
        <v>13.5</v>
      </c>
      <c r="N37" s="14">
        <f>IF('Données projet'!$A$36&gt;35,N36+M37-V36,IF(A37&lt;'Données projet'!$A$36,$K$205^A37,IF(A37='Données projet'!$A$36,'Données projet'!$B$36,N36+M37-V36)))</f>
        <v>198</v>
      </c>
      <c r="O37" s="14">
        <f>N37*VLOOKUP('Données projet'!$B$9,Paramètres!$A$1:$I$89,3,0)*VLOOKUP('Données projet'!$B$9,Paramètres!$A$1:$I$89,5,0)</f>
        <v>118.404</v>
      </c>
      <c r="P37" s="14">
        <f t="shared" si="33"/>
        <v>31.302468930496392</v>
      </c>
      <c r="Q37" s="22">
        <f t="shared" si="53"/>
        <v>260.73876672061448</v>
      </c>
      <c r="R37" s="62">
        <f t="shared" si="0"/>
        <v>554.07210005394779</v>
      </c>
      <c r="S37" s="62">
        <f ca="1">AVERAGE(OFFSET($R$3,0,0,'Données projet'!$E$9+1,1))-AVERAGE(OFFSET($H$3,0,0,'Données projet'!$E$9+1,1))</f>
        <v>157.19386117397545</v>
      </c>
      <c r="T37" s="62">
        <f t="shared" si="34"/>
        <v>153.10223389615993</v>
      </c>
      <c r="U37" s="16">
        <f>IF(ISNA(VLOOKUP(A37,'Données projet'!$A$35:$I$55,3,0)),0,VLOOKUP(A37,'Données projet'!$A$35:$I$55,3,0))</f>
        <v>4</v>
      </c>
      <c r="V37" s="16">
        <f>IF(ISNA(VLOOKUP(A37,'Données projet'!$A$35:$I$55,4,0)),0,VLOOKUP(A37,'Données projet'!$A$35:$I$55,4,0))</f>
        <v>50</v>
      </c>
      <c r="W37" s="17">
        <f>IF(ISNA(VLOOKUP(A37,'Données projet'!$A$35:$I$55,5,0)),0%,VLOOKUP(A37,'Données projet'!$A$35:$I$55,5,0)*VLOOKUP('Données projet'!$B$9,Paramètres!$A$1:$I$89,7,0))</f>
        <v>9.0000000000000011E-2</v>
      </c>
      <c r="X37" s="17">
        <f>IF(ISNA(VLOOKUP(A37,'Données projet'!$A$35:$I$55,6,0)),0%,VLOOKUP(A37,'Données projet'!$A$35:$I$55,6,0)*VLOOKUP('Données projet'!$B$9,Paramètres!$A$1:$I$89,7,0))</f>
        <v>0.27</v>
      </c>
      <c r="Y37" s="17">
        <f>IF(ISNA(VLOOKUP(A37,'Données projet'!$A$35:$I$55,7,0)),0%,VLOOKUP(A37,'Données projet'!$A$35:$I$55,7,0))</f>
        <v>0.2</v>
      </c>
      <c r="Z37" s="23">
        <f>EXP(-LN(2)/35)*Z36+(1-EXP(-LN(2)/35))/(LN(2)/35)*V37*W37*VLOOKUP('Données projet'!$B$9,Paramètres!$A$1:$I$89,3,0)*0.475*44/12</f>
        <v>3.5697849495878029</v>
      </c>
      <c r="AA37" s="23">
        <f>EXP(-LN(2)/25)*AA36+(1-EXP(-LN(2)/25))/(LN(2)/25)*Calculateur!V37*Calculateur!X37*VLOOKUP('Données projet'!$B$9,Paramètres!$A$1:$I$89,3,0)*0.475*44/12</f>
        <v>19.437086302965163</v>
      </c>
      <c r="AB37" s="23">
        <f>EXP(-LN(2)/2)*AB36+(1-EXP(-LN(2)/2))/(LN(2)/2)*V37*Y37*VLOOKUP('Données projet'!$B$9,Paramètres!$A$1:$I$89,3,0)*0.475*44/12</f>
        <v>8.7808152899107199</v>
      </c>
      <c r="AC37" s="24">
        <f t="shared" si="3"/>
        <v>31.787686542463685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2">
        <f t="shared" si="32"/>
        <v>6.2470359895716463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70">
        <f t="shared" si="1"/>
        <v>337.49683768183723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14.333333333333334</v>
      </c>
      <c r="N38" s="14">
        <f>IF('Données projet'!$A$36&gt;35,N37+M38-V37,IF(A38&lt;'Données projet'!$A$36,$K$205^A38,IF(A38='Données projet'!$A$36,'Données projet'!$B$36,N37+M38-V37)))</f>
        <v>162.33333333333334</v>
      </c>
      <c r="O38" s="14">
        <f>N38*VLOOKUP('Données projet'!$B$9,Paramètres!$A$1:$I$89,3,0)*VLOOKUP('Données projet'!$B$9,Paramètres!$A$1:$I$89,5,0)</f>
        <v>97.075333333333347</v>
      </c>
      <c r="P38" s="14">
        <f t="shared" si="33"/>
        <v>26.264036936967184</v>
      </c>
      <c r="Q38" s="22">
        <f t="shared" si="53"/>
        <v>214.81606988744011</v>
      </c>
      <c r="R38" s="62">
        <f t="shared" si="0"/>
        <v>508.14940322077342</v>
      </c>
      <c r="S38" s="62">
        <f ca="1">AVERAGE(OFFSET($R$3,0,0,'Données projet'!$E$9+1,1))-AVERAGE(OFFSET($H$3,0,0,'Données projet'!$E$9+1,1))</f>
        <v>157.19386117397545</v>
      </c>
      <c r="T38" s="62">
        <f t="shared" si="34"/>
        <v>153.10223389615993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3.4997836440802095</v>
      </c>
      <c r="AA38" s="23">
        <f>EXP(-LN(2)/25)*AA37+(1-EXP(-LN(2)/25))/(LN(2)/25)*Calculateur!V38*Calculateur!X38*VLOOKUP('Données projet'!$B$9,Paramètres!$A$1:$I$89,3,0)*0.475*44/12</f>
        <v>18.905578155858635</v>
      </c>
      <c r="AB38" s="23">
        <f>EXP(-LN(2)/2)*AB37+(1-EXP(-LN(2)/2))/(LN(2)/2)*V38*Y38*VLOOKUP('Données projet'!$B$9,Paramètres!$A$1:$I$89,3,0)*0.475*44/12</f>
        <v>6.2089740358423908</v>
      </c>
      <c r="AC38" s="24">
        <f t="shared" si="3"/>
        <v>28.614335835781237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2">
        <f t="shared" si="32"/>
        <v>6.4044873715575248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70">
        <f t="shared" si="1"/>
        <v>338.72201550546265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14.333333333333334</v>
      </c>
      <c r="N39" s="14">
        <f>IF('Données projet'!$A$36&gt;35,N38+M39-V38,IF(A39&lt;'Données projet'!$A$36,$K$205^A39,IF(A39='Données projet'!$A$36,'Données projet'!$B$36,N38+M39-V38)))</f>
        <v>176.66666666666669</v>
      </c>
      <c r="O39" s="14">
        <f>N39*VLOOKUP('Données projet'!$B$9,Paramètres!$A$1:$I$89,3,0)*VLOOKUP('Données projet'!$B$9,Paramètres!$A$1:$I$89,5,0)</f>
        <v>105.64666666666669</v>
      </c>
      <c r="P39" s="14">
        <f t="shared" si="33"/>
        <v>28.302907288049756</v>
      </c>
      <c r="Q39" s="22">
        <f t="shared" si="53"/>
        <v>233.29550797113112</v>
      </c>
      <c r="R39" s="62">
        <f t="shared" si="0"/>
        <v>526.62884130446446</v>
      </c>
      <c r="S39" s="62">
        <f ca="1">AVERAGE(OFFSET($R$3,0,0,'Données projet'!$E$9+1,1))-AVERAGE(OFFSET($H$3,0,0,'Données projet'!$E$9+1,1))</f>
        <v>157.19386117397545</v>
      </c>
      <c r="T39" s="62">
        <f t="shared" si="34"/>
        <v>153.10223389615993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3.4311550214770397</v>
      </c>
      <c r="AA39" s="23">
        <f>EXP(-LN(2)/25)*AA38+(1-EXP(-LN(2)/25))/(LN(2)/25)*Calculateur!V39*Calculateur!X39*VLOOKUP('Données projet'!$B$9,Paramètres!$A$1:$I$89,3,0)*0.475*44/12</f>
        <v>18.388604126985534</v>
      </c>
      <c r="AB39" s="23">
        <f>EXP(-LN(2)/2)*AB38+(1-EXP(-LN(2)/2))/(LN(2)/2)*V39*Y39*VLOOKUP('Données projet'!$B$9,Paramètres!$A$1:$I$89,3,0)*0.475*44/12</f>
        <v>4.3904076449553608</v>
      </c>
      <c r="AC39" s="24">
        <f t="shared" si="3"/>
        <v>26.210166793417933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2">
        <f t="shared" si="32"/>
        <v>6.5614304138099282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70">
        <f t="shared" si="1"/>
        <v>339.94630797071892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14.333333333333334</v>
      </c>
      <c r="N40" s="14">
        <f>IF('Données projet'!$A$36&gt;35,N39+M40-V39,IF(A40&lt;'Données projet'!$A$36,$K$205^A40,IF(A40='Données projet'!$A$36,'Données projet'!$B$36,N39+M40-V39)))</f>
        <v>191.00000000000003</v>
      </c>
      <c r="O40" s="14">
        <f>N40*VLOOKUP('Données projet'!$B$9,Paramètres!$A$1:$I$89,3,0)*VLOOKUP('Données projet'!$B$9,Paramètres!$A$1:$I$89,5,0)</f>
        <v>114.21800000000002</v>
      </c>
      <c r="P40" s="14">
        <f t="shared" si="33"/>
        <v>30.322591437735639</v>
      </c>
      <c r="Q40" s="22">
        <f t="shared" si="53"/>
        <v>251.74153008738961</v>
      </c>
      <c r="R40" s="62">
        <f t="shared" si="0"/>
        <v>545.07486342072298</v>
      </c>
      <c r="S40" s="62">
        <f ca="1">AVERAGE(OFFSET($R$3,0,0,'Données projet'!$E$9+1,1))-AVERAGE(OFFSET($H$3,0,0,'Données projet'!$E$9+1,1))</f>
        <v>157.19386117397545</v>
      </c>
      <c r="T40" s="62">
        <f t="shared" si="34"/>
        <v>153.10223389615993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3.3638721643037912</v>
      </c>
      <c r="AA40" s="23">
        <f>EXP(-LN(2)/25)*AA39+(1-EXP(-LN(2)/25))/(LN(2)/25)*Calculateur!V40*Calculateur!X40*VLOOKUP('Données projet'!$B$9,Paramètres!$A$1:$I$89,3,0)*0.475*44/12</f>
        <v>17.885766780118452</v>
      </c>
      <c r="AB40" s="23">
        <f>EXP(-LN(2)/2)*AB39+(1-EXP(-LN(2)/2))/(LN(2)/2)*V40*Y40*VLOOKUP('Données projet'!$B$9,Paramètres!$A$1:$I$89,3,0)*0.475*44/12</f>
        <v>3.1044870179211959</v>
      </c>
      <c r="AC40" s="24">
        <f t="shared" si="3"/>
        <v>24.354125962343439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2">
        <f t="shared" si="32"/>
        <v>6.717880434124976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70">
        <f t="shared" si="1"/>
        <v>341.16974175610096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14.333333333333334</v>
      </c>
      <c r="N41" s="14">
        <f>IF('Données projet'!$A$36&gt;35,N40+M41-V40,IF(A41&lt;'Données projet'!$A$36,$K$205^A41,IF(A41='Données projet'!$A$36,'Données projet'!$B$36,N40+M41-V40)))</f>
        <v>205.33333333333337</v>
      </c>
      <c r="O41" s="14">
        <f>N41*VLOOKUP('Données projet'!$B$9,Paramètres!$A$1:$I$89,3,0)*VLOOKUP('Données projet'!$B$9,Paramètres!$A$1:$I$89,5,0)</f>
        <v>122.78933333333337</v>
      </c>
      <c r="P41" s="14">
        <f t="shared" si="33"/>
        <v>32.324692905402863</v>
      </c>
      <c r="Q41" s="22">
        <f t="shared" si="53"/>
        <v>270.1569290324656</v>
      </c>
      <c r="R41" s="62">
        <f t="shared" si="0"/>
        <v>563.49026236579891</v>
      </c>
      <c r="S41" s="62">
        <f ca="1">AVERAGE(OFFSET($R$3,0,0,'Données projet'!$E$9+1,1))-AVERAGE(OFFSET($H$3,0,0,'Données projet'!$E$9+1,1))</f>
        <v>157.19386117397545</v>
      </c>
      <c r="T41" s="62">
        <f t="shared" si="34"/>
        <v>153.10223389615993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3.2979086829212196</v>
      </c>
      <c r="AA41" s="23">
        <f>EXP(-LN(2)/25)*AA40+(1-EXP(-LN(2)/25))/(LN(2)/25)*Calculateur!V41*Calculateur!X41*VLOOKUP('Données projet'!$B$9,Paramètres!$A$1:$I$89,3,0)*0.475*44/12</f>
        <v>17.396679546944515</v>
      </c>
      <c r="AB41" s="23">
        <f>EXP(-LN(2)/2)*AB40+(1-EXP(-LN(2)/2))/(LN(2)/2)*V41*Y41*VLOOKUP('Données projet'!$B$9,Paramètres!$A$1:$I$89,3,0)*0.475*44/12</f>
        <v>2.1952038224776804</v>
      </c>
      <c r="AC41" s="24">
        <f t="shared" si="3"/>
        <v>22.889792052343417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2">
        <f t="shared" si="32"/>
        <v>6.8738518981865644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70">
        <f t="shared" si="1"/>
        <v>342.3923420560082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14.333333333333334</v>
      </c>
      <c r="N42" s="14">
        <f>IF('Données projet'!$A$36&gt;35,N41+M42-V41,IF(A42&lt;'Données projet'!$A$36,$K$205^A42,IF(A42='Données projet'!$A$36,'Données projet'!$B$36,N41+M42-V41)))</f>
        <v>219.66666666666671</v>
      </c>
      <c r="O42" s="14">
        <f>N42*VLOOKUP('Données projet'!$B$9,Paramètres!$A$1:$I$89,3,0)*VLOOKUP('Données projet'!$B$9,Paramètres!$A$1:$I$89,5,0)</f>
        <v>131.3606666666667</v>
      </c>
      <c r="P42" s="14">
        <f t="shared" si="33"/>
        <v>34.310578664682033</v>
      </c>
      <c r="Q42" s="22">
        <f t="shared" si="53"/>
        <v>288.54408561876568</v>
      </c>
      <c r="R42" s="62">
        <f t="shared" si="0"/>
        <v>581.87741895209899</v>
      </c>
      <c r="S42" s="62">
        <f ca="1">AVERAGE(OFFSET($R$3,0,0,'Données projet'!$E$9+1,1))-AVERAGE(OFFSET($H$3,0,0,'Données projet'!$E$9+1,1))</f>
        <v>157.19386117397545</v>
      </c>
      <c r="T42" s="62">
        <f t="shared" si="34"/>
        <v>153.10223389615993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3.2332387051748093</v>
      </c>
      <c r="AA42" s="23">
        <f>EXP(-LN(2)/25)*AA41+(1-EXP(-LN(2)/25))/(LN(2)/25)*Calculateur!V42*Calculateur!X42*VLOOKUP('Données projet'!$B$9,Paramètres!$A$1:$I$89,3,0)*0.475*44/12</f>
        <v>16.920966429881702</v>
      </c>
      <c r="AB42" s="23">
        <f>EXP(-LN(2)/2)*AB41+(1-EXP(-LN(2)/2))/(LN(2)/2)*V42*Y42*VLOOKUP('Données projet'!$B$9,Paramètres!$A$1:$I$89,3,0)*0.475*44/12</f>
        <v>1.5522435089605979</v>
      </c>
      <c r="AC42" s="24">
        <f t="shared" si="3"/>
        <v>21.706448644017108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2">
        <f t="shared" si="32"/>
        <v>7.0293584875852577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70">
        <f t="shared" si="1"/>
        <v>343.61413269921093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234</v>
      </c>
      <c r="L43" s="13">
        <f>VLOOKUP(A43,'Données projet'!$A$35:$I$55,9,0)</f>
        <v>14.333333333333334</v>
      </c>
      <c r="M43" s="13">
        <f t="array" ref="M43">INDEX(L:L,MIN(IF(ISNUMBER(L43:L239),ROW(L43:L239),"")))</f>
        <v>14.333333333333334</v>
      </c>
      <c r="N43" s="14">
        <f>IF('Données projet'!$A$36&gt;35,N42+M43-V42,IF(A43&lt;'Données projet'!$A$36,$K$205^A43,IF(A43='Données projet'!$A$36,'Données projet'!$B$36,N42+M43-V42)))</f>
        <v>234.00000000000006</v>
      </c>
      <c r="O43" s="14">
        <f>N43*VLOOKUP('Données projet'!$B$9,Paramètres!$A$1:$I$89,3,0)*VLOOKUP('Données projet'!$B$9,Paramètres!$A$1:$I$89,5,0)</f>
        <v>139.93200000000004</v>
      </c>
      <c r="P43" s="14">
        <f t="shared" si="33"/>
        <v>36.281427209452353</v>
      </c>
      <c r="Q43" s="22">
        <f t="shared" si="53"/>
        <v>306.9050523897962</v>
      </c>
      <c r="R43" s="62">
        <f t="shared" si="0"/>
        <v>600.23838572312957</v>
      </c>
      <c r="S43" s="62">
        <f ca="1">AVERAGE(OFFSET($R$3,0,0,'Données projet'!$E$9+1,1))-AVERAGE(OFFSET($H$3,0,0,'Données projet'!$E$9+1,1))</f>
        <v>157.19386117397545</v>
      </c>
      <c r="T43" s="62">
        <f t="shared" si="34"/>
        <v>153.10223389615993</v>
      </c>
      <c r="U43" s="16">
        <f>IF(ISNA(VLOOKUP(A43,'Données projet'!$A$35:$I$55,3,0)),0,VLOOKUP(A43,'Données projet'!$A$35:$I$55,3,0))</f>
        <v>5</v>
      </c>
      <c r="V43" s="16">
        <f>IF(ISNA(VLOOKUP(A43,'Données projet'!$A$35:$I$55,4,0)),0,VLOOKUP(A43,'Données projet'!$A$35:$I$55,4,0))</f>
        <v>56</v>
      </c>
      <c r="W43" s="17">
        <f>IF(ISNA(VLOOKUP(A43,'Données projet'!$A$35:$I$55,5,0)),0%,VLOOKUP(A43,'Données projet'!$A$35:$I$55,5,0)*VLOOKUP('Données projet'!$B$9,Paramètres!$A$1:$I$89,7,0))</f>
        <v>0.18000000000000002</v>
      </c>
      <c r="X43" s="17">
        <f>IF(ISNA(VLOOKUP(A43,'Données projet'!$A$35:$I$55,6,0)),0%,VLOOKUP(A43,'Données projet'!$A$35:$I$55,6,0)*VLOOKUP('Données projet'!$B$9,Paramètres!$A$1:$I$89,7,0))</f>
        <v>0.22500000000000001</v>
      </c>
      <c r="Y43" s="17">
        <f>IF(ISNA(VLOOKUP(A43,'Données projet'!$A$35:$I$55,7,0)),0%,VLOOKUP(A43,'Données projet'!$A$35:$I$55,7,0))</f>
        <v>0.1</v>
      </c>
      <c r="Z43" s="23">
        <f>EXP(-LN(2)/35)*Z42+(1-EXP(-LN(2)/35))/(LN(2)/35)*V43*W43*VLOOKUP('Données projet'!$B$9,Paramètres!$A$1:$I$89,3,0)*0.475*44/12</f>
        <v>11.166155153323894</v>
      </c>
      <c r="AA43" s="23">
        <f>EXP(-LN(2)/25)*AA42+(1-EXP(-LN(2)/25))/(LN(2)/25)*Calculateur!V43*Calculateur!X43*VLOOKUP('Données projet'!$B$9,Paramètres!$A$1:$I$89,3,0)*0.475*44/12</f>
        <v>26.414303881952037</v>
      </c>
      <c r="AB43" s="23">
        <f>EXP(-LN(2)/2)*AB42+(1-EXP(-LN(2)/2))/(LN(2)/2)*V43*Y43*VLOOKUP('Données projet'!$B$9,Paramètres!$A$1:$I$89,3,0)*0.475*44/12</f>
        <v>4.8892214291954694</v>
      </c>
      <c r="AC43" s="24">
        <f t="shared" si="3"/>
        <v>42.469680464471395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2">
        <f t="shared" si="32"/>
        <v>7.1844131608438397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70">
        <f t="shared" si="1"/>
        <v>344.83513625513632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14.333333333333334</v>
      </c>
      <c r="N44" s="14">
        <f>IF('Données projet'!$A$36&gt;35,N43+M44-V43,IF(A44&lt;'Données projet'!$A$36,$K$205^A44,IF(A44='Données projet'!$A$36,'Données projet'!$B$36,N43+M44-V43)))</f>
        <v>192.3333333333334</v>
      </c>
      <c r="O44" s="14">
        <f>N44*VLOOKUP('Données projet'!$B$9,Paramètres!$A$1:$I$89,3,0)*VLOOKUP('Données projet'!$B$9,Paramètres!$A$1:$I$89,5,0)</f>
        <v>115.01533333333339</v>
      </c>
      <c r="P44" s="14">
        <f t="shared" si="33"/>
        <v>30.509552585510797</v>
      </c>
      <c r="Q44" s="22">
        <f t="shared" si="53"/>
        <v>253.45584297532028</v>
      </c>
      <c r="R44" s="62">
        <f t="shared" si="0"/>
        <v>546.78917630865362</v>
      </c>
      <c r="S44" s="62">
        <f ca="1">AVERAGE(OFFSET($R$3,0,0,'Données projet'!$E$9+1,1))-AVERAGE(OFFSET($H$3,0,0,'Données projet'!$E$9+1,1))</f>
        <v>157.19386117397545</v>
      </c>
      <c r="T44" s="62">
        <f t="shared" si="34"/>
        <v>153.10223389615993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10.947193661449356</v>
      </c>
      <c r="AA44" s="23">
        <f>EXP(-LN(2)/25)*AA43+(1-EXP(-LN(2)/25))/(LN(2)/25)*Calculateur!V44*Calculateur!X44*VLOOKUP('Données projet'!$B$9,Paramètres!$A$1:$I$89,3,0)*0.475*44/12</f>
        <v>25.692003353232188</v>
      </c>
      <c r="AB44" s="23">
        <f>EXP(-LN(2)/2)*AB43+(1-EXP(-LN(2)/2))/(LN(2)/2)*V44*Y44*VLOOKUP('Données projet'!$B$9,Paramètres!$A$1:$I$89,3,0)*0.475*44/12</f>
        <v>3.4572016273067003</v>
      </c>
      <c r="AC44" s="24">
        <f t="shared" si="3"/>
        <v>40.096398641988245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2">
        <f t="shared" si="32"/>
        <v>7.3390282083215048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70">
        <f t="shared" si="1"/>
        <v>346.05537412949326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14.333333333333334</v>
      </c>
      <c r="N45" s="14">
        <f>IF('Données projet'!$A$36&gt;35,N44+M45-V44,IF(A45&lt;'Données projet'!$A$36,$K$205^A45,IF(A45='Données projet'!$A$36,'Données projet'!$B$36,N44+M45-V44)))</f>
        <v>206.66666666666674</v>
      </c>
      <c r="O45" s="14">
        <f>N45*VLOOKUP('Données projet'!$B$9,Paramètres!$A$1:$I$89,3,0)*VLOOKUP('Données projet'!$B$9,Paramètres!$A$1:$I$89,5,0)</f>
        <v>123.58666666666672</v>
      </c>
      <c r="P45" s="14">
        <f t="shared" si="33"/>
        <v>32.510091154740877</v>
      </c>
      <c r="Q45" s="22">
        <f t="shared" si="53"/>
        <v>271.86851987228493</v>
      </c>
      <c r="R45" s="62">
        <f t="shared" si="0"/>
        <v>565.20185320561825</v>
      </c>
      <c r="S45" s="62">
        <f ca="1">AVERAGE(OFFSET($R$3,0,0,'Données projet'!$E$9+1,1))-AVERAGE(OFFSET($H$3,0,0,'Données projet'!$E$9+1,1))</f>
        <v>157.19386117397545</v>
      </c>
      <c r="T45" s="62">
        <f t="shared" si="34"/>
        <v>153.10223389615993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10.732525870877156</v>
      </c>
      <c r="AA45" s="23">
        <f>EXP(-LN(2)/25)*AA44+(1-EXP(-LN(2)/25))/(LN(2)/25)*Calculateur!V45*Calculateur!X45*VLOOKUP('Données projet'!$B$9,Paramètres!$A$1:$I$89,3,0)*0.475*44/12</f>
        <v>24.989454170454316</v>
      </c>
      <c r="AB45" s="23">
        <f>EXP(-LN(2)/2)*AB44+(1-EXP(-LN(2)/2))/(LN(2)/2)*V45*Y45*VLOOKUP('Données projet'!$B$9,Paramètres!$A$1:$I$89,3,0)*0.475*44/12</f>
        <v>2.4446107145977352</v>
      </c>
      <c r="AC45" s="24">
        <f t="shared" si="3"/>
        <v>38.166590755929207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2">
        <f t="shared" si="32"/>
        <v>7.4932153017418166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70">
        <f t="shared" si="1"/>
        <v>347.27486665053362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14.333333333333334</v>
      </c>
      <c r="N46" s="14">
        <f>IF('Données projet'!$A$36&gt;35,N45+M46-V45,IF(A46&lt;'Données projet'!$A$36,$K$205^A46,IF(A46='Données projet'!$A$36,'Données projet'!$B$36,N45+M46-V45)))</f>
        <v>221.00000000000009</v>
      </c>
      <c r="O46" s="14">
        <f>N46*VLOOKUP('Données projet'!$B$9,Paramètres!$A$1:$I$89,3,0)*VLOOKUP('Données projet'!$B$9,Paramètres!$A$1:$I$89,5,0)</f>
        <v>132.15800000000004</v>
      </c>
      <c r="P46" s="14">
        <f t="shared" si="33"/>
        <v>34.494530965883655</v>
      </c>
      <c r="Q46" s="22">
        <f t="shared" si="53"/>
        <v>290.25315809891407</v>
      </c>
      <c r="R46" s="62">
        <f t="shared" si="0"/>
        <v>583.58649143224739</v>
      </c>
      <c r="S46" s="62">
        <f ca="1">AVERAGE(OFFSET($R$3,0,0,'Données projet'!$E$9+1,1))-AVERAGE(OFFSET($H$3,0,0,'Données projet'!$E$9+1,1))</f>
        <v>157.19386117397545</v>
      </c>
      <c r="T46" s="62">
        <f t="shared" si="34"/>
        <v>153.10223389615993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10.522067584743652</v>
      </c>
      <c r="AA46" s="23">
        <f>EXP(-LN(2)/25)*AA45+(1-EXP(-LN(2)/25))/(LN(2)/25)*Calculateur!V46*Calculateur!X46*VLOOKUP('Données projet'!$B$9,Paramètres!$A$1:$I$89,3,0)*0.475*44/12</f>
        <v>24.306116232024962</v>
      </c>
      <c r="AB46" s="23">
        <f>EXP(-LN(2)/2)*AB45+(1-EXP(-LN(2)/2))/(LN(2)/2)*V46*Y46*VLOOKUP('Données projet'!$B$9,Paramètres!$A$1:$I$89,3,0)*0.475*44/12</f>
        <v>1.7286008136533504</v>
      </c>
      <c r="AC46" s="24">
        <f t="shared" si="3"/>
        <v>36.556784630421966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2">
        <f t="shared" si="32"/>
        <v>7.6469855389835546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70">
        <f t="shared" si="1"/>
        <v>348.49363314706295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14.333333333333334</v>
      </c>
      <c r="N47" s="14">
        <f>IF('Données projet'!$A$36&gt;35,N46+M47-V46,IF(A47&lt;'Données projet'!$A$36,$K$205^A47,IF(A47='Données projet'!$A$36,'Données projet'!$B$36,N46+M47-V46)))</f>
        <v>235.33333333333343</v>
      </c>
      <c r="O47" s="14">
        <f>N47*VLOOKUP('Données projet'!$B$9,Paramètres!$A$1:$I$89,3,0)*VLOOKUP('Données projet'!$B$9,Paramètres!$A$1:$I$89,5,0)</f>
        <v>140.72933333333341</v>
      </c>
      <c r="P47" s="14">
        <f t="shared" si="33"/>
        <v>36.464034960267668</v>
      </c>
      <c r="Q47" s="22">
        <f t="shared" si="53"/>
        <v>308.61178311135518</v>
      </c>
      <c r="R47" s="62">
        <f t="shared" si="0"/>
        <v>601.94511644468844</v>
      </c>
      <c r="S47" s="62">
        <f ca="1">AVERAGE(OFFSET($R$3,0,0,'Données projet'!$E$9+1,1))-AVERAGE(OFFSET($H$3,0,0,'Données projet'!$E$9+1,1))</f>
        <v>157.19386117397545</v>
      </c>
      <c r="T47" s="62">
        <f t="shared" si="34"/>
        <v>153.10223389615993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10.315736257234349</v>
      </c>
      <c r="AA47" s="23">
        <f>EXP(-LN(2)/25)*AA46+(1-EXP(-LN(2)/25))/(LN(2)/25)*Calculateur!V47*Calculateur!X47*VLOOKUP('Données projet'!$B$9,Paramètres!$A$1:$I$89,3,0)*0.475*44/12</f>
        <v>23.64146420545714</v>
      </c>
      <c r="AB47" s="23">
        <f>EXP(-LN(2)/2)*AB46+(1-EXP(-LN(2)/2))/(LN(2)/2)*V47*Y47*VLOOKUP('Données projet'!$B$9,Paramètres!$A$1:$I$89,3,0)*0.475*44/12</f>
        <v>1.2223053572988678</v>
      </c>
      <c r="AC47" s="24">
        <f t="shared" si="3"/>
        <v>35.179505819990354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2">
        <f t="shared" si="32"/>
        <v>7.8003494846849248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70">
        <f t="shared" si="1"/>
        <v>349.7116920191595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14.333333333333334</v>
      </c>
      <c r="N48" s="14">
        <f>IF('Données projet'!$A$36&gt;35,N47+M48-V47,IF(A48&lt;'Données projet'!$A$36,$K$205^A48,IF(A48='Données projet'!$A$36,'Données projet'!$B$36,N47+M48-V47)))</f>
        <v>249.66666666666677</v>
      </c>
      <c r="O48" s="14">
        <f>N48*VLOOKUP('Données projet'!$B$9,Paramètres!$A$1:$I$89,3,0)*VLOOKUP('Données projet'!$B$9,Paramètres!$A$1:$I$89,5,0)</f>
        <v>149.30066666666673</v>
      </c>
      <c r="P48" s="14">
        <f t="shared" si="33"/>
        <v>38.419616413193424</v>
      </c>
      <c r="Q48" s="22">
        <f t="shared" si="53"/>
        <v>326.94615969742313</v>
      </c>
      <c r="R48" s="62">
        <f t="shared" si="0"/>
        <v>620.27949303075638</v>
      </c>
      <c r="S48" s="62">
        <f ca="1">AVERAGE(OFFSET($R$3,0,0,'Données projet'!$E$9+1,1))-AVERAGE(OFFSET($H$3,0,0,'Données projet'!$E$9+1,1))</f>
        <v>157.19386117397545</v>
      </c>
      <c r="T48" s="62">
        <f t="shared" si="34"/>
        <v>153.10223389615993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10.113450961207819</v>
      </c>
      <c r="AA48" s="23">
        <f>EXP(-LN(2)/25)*AA47+(1-EXP(-LN(2)/25))/(LN(2)/25)*Calculateur!V48*Calculateur!X48*VLOOKUP('Données projet'!$B$9,Paramètres!$A$1:$I$89,3,0)*0.475*44/12</f>
        <v>22.994987123508345</v>
      </c>
      <c r="AB48" s="23">
        <f>EXP(-LN(2)/2)*AB47+(1-EXP(-LN(2)/2))/(LN(2)/2)*V48*Y48*VLOOKUP('Données projet'!$B$9,Paramètres!$A$1:$I$89,3,0)*0.475*44/12</f>
        <v>0.86430040682667542</v>
      </c>
      <c r="AC48" s="24">
        <f t="shared" si="3"/>
        <v>33.972738491542835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2">
        <f t="shared" si="32"/>
        <v>7.9533172071366991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70">
        <f t="shared" si="1"/>
        <v>350.92906080242972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>
        <f>VLOOKUP(A49,'Données projet'!$A$35:$I$55,2,0)</f>
        <v>264</v>
      </c>
      <c r="L49" s="13">
        <f>VLOOKUP(A49,'Données projet'!$A$35:$I$55,9,0)</f>
        <v>14.333333333333334</v>
      </c>
      <c r="M49" s="13">
        <f t="array" ref="M49">INDEX(L:L,MIN(IF(ISNUMBER(L49:L245),ROW(L49:L245),"")))</f>
        <v>14.333333333333334</v>
      </c>
      <c r="N49" s="14">
        <f>IF('Données projet'!$A$36&gt;35,N48+M49-V48,IF(A49&lt;'Données projet'!$A$36,$K$205^A49,IF(A49='Données projet'!$A$36,'Données projet'!$B$36,N48+M49-V48)))</f>
        <v>264.00000000000011</v>
      </c>
      <c r="O49" s="14">
        <f>N49*VLOOKUP('Données projet'!$B$9,Paramètres!$A$1:$I$89,3,0)*VLOOKUP('Données projet'!$B$9,Paramètres!$A$1:$I$89,5,0)</f>
        <v>157.87200000000007</v>
      </c>
      <c r="P49" s="14">
        <f t="shared" si="33"/>
        <v>40.362165684361159</v>
      </c>
      <c r="Q49" s="22">
        <f t="shared" si="53"/>
        <v>345.25783856692919</v>
      </c>
      <c r="R49" s="62">
        <f t="shared" si="0"/>
        <v>638.59117190026245</v>
      </c>
      <c r="S49" s="62">
        <f ca="1">AVERAGE(OFFSET($R$3,0,0,'Données projet'!$E$9+1,1))-AVERAGE(OFFSET($H$3,0,0,'Données projet'!$E$9+1,1))</f>
        <v>157.19386117397545</v>
      </c>
      <c r="T49" s="62">
        <f t="shared" si="34"/>
        <v>153.10223389615993</v>
      </c>
      <c r="U49" s="16">
        <f>IF(ISNA(VLOOKUP(A49,'Données projet'!$A$35:$I$55,3,0)),0,VLOOKUP(A49,'Données projet'!$A$35:$I$55,3,0))</f>
        <v>6</v>
      </c>
      <c r="V49" s="16">
        <f>IF(ISNA(VLOOKUP(A49,'Données projet'!$A$35:$I$55,4,0)),0,VLOOKUP(A49,'Données projet'!$A$35:$I$55,4,0))</f>
        <v>66</v>
      </c>
      <c r="W49" s="17">
        <f>IF(ISNA(VLOOKUP(A49,'Données projet'!$A$35:$I$55,5,0)),0%,VLOOKUP(A49,'Données projet'!$A$35:$I$55,5,0)*VLOOKUP('Données projet'!$B$9,Paramètres!$A$1:$I$89,7,0))</f>
        <v>0.22500000000000001</v>
      </c>
      <c r="X49" s="17">
        <f>IF(ISNA(VLOOKUP(A49,'Données projet'!$A$35:$I$55,6,0)),0%,VLOOKUP(A49,'Données projet'!$A$35:$I$55,6,0)*VLOOKUP('Données projet'!$B$9,Paramètres!$A$1:$I$89,7,0))</f>
        <v>0.22500000000000001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21.695422690094272</v>
      </c>
      <c r="AA49" s="23">
        <f>EXP(-LN(2)/25)*AA48+(1-EXP(-LN(2)/25))/(LN(2)/25)*Calculateur!V49*Calculateur!X49*VLOOKUP('Données projet'!$B$9,Paramètres!$A$1:$I$89,3,0)*0.475*44/12</f>
        <v>34.100094833315879</v>
      </c>
      <c r="AB49" s="23">
        <f>EXP(-LN(2)/2)*AB48+(1-EXP(-LN(2)/2))/(LN(2)/2)*V49*Y49*VLOOKUP('Données projet'!$B$9,Paramètres!$A$1:$I$89,3,0)*0.475*44/12</f>
        <v>0.61115267864943401</v>
      </c>
      <c r="AC49" s="24">
        <f t="shared" si="3"/>
        <v>56.406670202059587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2">
        <f t="shared" si="32"/>
        <v>8.1058983118768051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70">
        <f t="shared" si="1"/>
        <v>352.14575622651876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12.25</v>
      </c>
      <c r="N50" s="14">
        <f>IF('Données projet'!$A$36&gt;35,N49+M50-V49,IF(A50&lt;'Données projet'!$A$36,$K$205^A50,IF(A50='Données projet'!$A$36,'Données projet'!$B$36,N49+M50-V49)))</f>
        <v>210.25000000000011</v>
      </c>
      <c r="O50" s="14">
        <f>N50*VLOOKUP('Données projet'!$B$9,Paramètres!$A$1:$I$89,3,0)*VLOOKUP('Données projet'!$B$9,Paramètres!$A$1:$I$89,5,0)</f>
        <v>125.72950000000009</v>
      </c>
      <c r="P50" s="14">
        <f t="shared" si="33"/>
        <v>33.007662086284974</v>
      </c>
      <c r="Q50" s="22">
        <f t="shared" si="53"/>
        <v>276.46722396694645</v>
      </c>
      <c r="R50" s="62">
        <f t="shared" si="0"/>
        <v>569.80055730027971</v>
      </c>
      <c r="S50" s="62">
        <f ca="1">AVERAGE(OFFSET($R$3,0,0,'Données projet'!$E$9+1,1))-AVERAGE(OFFSET($H$3,0,0,'Données projet'!$E$9+1,1))</f>
        <v>157.19386117397545</v>
      </c>
      <c r="T50" s="62">
        <f t="shared" si="34"/>
        <v>153.10223389615993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21.269988684042723</v>
      </c>
      <c r="AA50" s="23">
        <f>EXP(-LN(2)/25)*AA49+(1-EXP(-LN(2)/25))/(LN(2)/25)*Calculateur!V50*Calculateur!X50*VLOOKUP('Données projet'!$B$9,Paramètres!$A$1:$I$89,3,0)*0.475*44/12</f>
        <v>33.167625946852809</v>
      </c>
      <c r="AB50" s="23">
        <f>EXP(-LN(2)/2)*AB49+(1-EXP(-LN(2)/2))/(LN(2)/2)*V50*Y50*VLOOKUP('Données projet'!$B$9,Paramètres!$A$1:$I$89,3,0)*0.475*44/12</f>
        <v>0.43215020341333776</v>
      </c>
      <c r="AC50" s="24">
        <f t="shared" si="3"/>
        <v>54.869764834308867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2">
        <f t="shared" si="32"/>
        <v>8.2581019723450915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70">
        <f t="shared" si="1"/>
        <v>353.361794268501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12.25</v>
      </c>
      <c r="N51" s="14">
        <f>IF('Données projet'!$A$36&gt;35,N50+M51-V50,IF(A51&lt;'Données projet'!$A$36,$K$205^A51,IF(A51='Données projet'!$A$36,'Données projet'!$B$36,N50+M51-V50)))</f>
        <v>222.50000000000011</v>
      </c>
      <c r="O51" s="14">
        <f>N51*VLOOKUP('Données projet'!$B$9,Paramètres!$A$1:$I$89,3,0)*VLOOKUP('Données projet'!$B$9,Paramètres!$A$1:$I$89,5,0)</f>
        <v>133.05500000000006</v>
      </c>
      <c r="P51" s="14">
        <f t="shared" si="33"/>
        <v>34.701322987310633</v>
      </c>
      <c r="Q51" s="22">
        <f t="shared" si="53"/>
        <v>292.17559586956611</v>
      </c>
      <c r="R51" s="62">
        <f t="shared" si="0"/>
        <v>585.50892920289948</v>
      </c>
      <c r="S51" s="62">
        <f ca="1">AVERAGE(OFFSET($R$3,0,0,'Données projet'!$E$9+1,1))-AVERAGE(OFFSET($H$3,0,0,'Données projet'!$E$9+1,1))</f>
        <v>157.19386117397545</v>
      </c>
      <c r="T51" s="62">
        <f t="shared" si="34"/>
        <v>153.10223389615993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20.852897179360724</v>
      </c>
      <c r="AA51" s="23">
        <f>EXP(-LN(2)/25)*AA50+(1-EXP(-LN(2)/25))/(LN(2)/25)*Calculateur!V51*Calculateur!X51*VLOOKUP('Données projet'!$B$9,Paramètres!$A$1:$I$89,3,0)*0.475*44/12</f>
        <v>32.260655471126476</v>
      </c>
      <c r="AB51" s="23">
        <f>EXP(-LN(2)/2)*AB50+(1-EXP(-LN(2)/2))/(LN(2)/2)*V51*Y51*VLOOKUP('Données projet'!$B$9,Paramètres!$A$1:$I$89,3,0)*0.475*44/12</f>
        <v>0.30557633932471706</v>
      </c>
      <c r="AC51" s="24">
        <f t="shared" si="3"/>
        <v>53.419128989811917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2">
        <f t="shared" si="32"/>
        <v>8.4099369579114391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70">
        <f t="shared" si="1"/>
        <v>354.57719020169571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12.25</v>
      </c>
      <c r="N52" s="14">
        <f>IF('Données projet'!$A$36&gt;35,N51+M52-V51,IF(A52&lt;'Données projet'!$A$36,$K$205^A52,IF(A52='Données projet'!$A$36,'Données projet'!$B$36,N51+M52-V51)))</f>
        <v>234.75000000000011</v>
      </c>
      <c r="O52" s="14">
        <f>N52*VLOOKUP('Données projet'!$B$9,Paramètres!$A$1:$I$89,3,0)*VLOOKUP('Données projet'!$B$9,Paramètres!$A$1:$I$89,5,0)</f>
        <v>140.38050000000007</v>
      </c>
      <c r="P52" s="14">
        <f t="shared" si="33"/>
        <v>36.384158927730169</v>
      </c>
      <c r="Q52" s="22">
        <f t="shared" si="53"/>
        <v>307.8651142991302</v>
      </c>
      <c r="R52" s="62">
        <f t="shared" si="0"/>
        <v>601.19844763246351</v>
      </c>
      <c r="S52" s="62">
        <f ca="1">AVERAGE(OFFSET($R$3,0,0,'Données projet'!$E$9+1,1))-AVERAGE(OFFSET($H$3,0,0,'Données projet'!$E$9+1,1))</f>
        <v>157.19386117397545</v>
      </c>
      <c r="T52" s="62">
        <f t="shared" si="34"/>
        <v>153.10223389615993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20.443984584684841</v>
      </c>
      <c r="AA52" s="23">
        <f>EXP(-LN(2)/25)*AA51+(1-EXP(-LN(2)/25))/(LN(2)/25)*Calculateur!V52*Calculateur!X52*VLOOKUP('Données projet'!$B$9,Paramètres!$A$1:$I$89,3,0)*0.475*44/12</f>
        <v>31.378486150754384</v>
      </c>
      <c r="AB52" s="23">
        <f>EXP(-LN(2)/2)*AB51+(1-EXP(-LN(2)/2))/(LN(2)/2)*V52*Y52*VLOOKUP('Données projet'!$B$9,Paramètres!$A$1:$I$89,3,0)*0.475*44/12</f>
        <v>0.21607510170666891</v>
      </c>
      <c r="AC52" s="24">
        <f t="shared" si="3"/>
        <v>52.038545837145897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2">
        <f t="shared" si="32"/>
        <v>8.5614116595512399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70">
        <f t="shared" si="1"/>
        <v>355.79195864038502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12.25</v>
      </c>
      <c r="N53" s="14">
        <f>IF('Données projet'!$A$36&gt;35,N52+M53-V52,IF(A53&lt;'Données projet'!$A$36,$K$205^A53,IF(A53='Données projet'!$A$36,'Données projet'!$B$36,N52+M53-V52)))</f>
        <v>247.00000000000011</v>
      </c>
      <c r="O53" s="14">
        <f>N53*VLOOKUP('Données projet'!$B$9,Paramètres!$A$1:$I$89,3,0)*VLOOKUP('Données projet'!$B$9,Paramètres!$A$1:$I$89,5,0)</f>
        <v>147.70600000000007</v>
      </c>
      <c r="P53" s="14">
        <f t="shared" si="33"/>
        <v>38.056799214709841</v>
      </c>
      <c r="Q53" s="22">
        <f t="shared" si="53"/>
        <v>323.53687529895308</v>
      </c>
      <c r="R53" s="62">
        <f t="shared" si="0"/>
        <v>616.87020863228645</v>
      </c>
      <c r="S53" s="62">
        <f ca="1">AVERAGE(OFFSET($R$3,0,0,'Données projet'!$E$9+1,1))-AVERAGE(OFFSET($H$3,0,0,'Données projet'!$E$9+1,1))</f>
        <v>157.19386117397545</v>
      </c>
      <c r="T53" s="62">
        <f t="shared" si="34"/>
        <v>153.10223389615993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20.043090516578498</v>
      </c>
      <c r="AA53" s="23">
        <f>EXP(-LN(2)/25)*AA52+(1-EXP(-LN(2)/25))/(LN(2)/25)*Calculateur!V53*Calculateur!X53*VLOOKUP('Données projet'!$B$9,Paramètres!$A$1:$I$89,3,0)*0.475*44/12</f>
        <v>30.520439796839135</v>
      </c>
      <c r="AB53" s="23">
        <f>EXP(-LN(2)/2)*AB52+(1-EXP(-LN(2)/2))/(LN(2)/2)*V53*Y53*VLOOKUP('Données projet'!$B$9,Paramètres!$A$1:$I$89,3,0)*0.475*44/12</f>
        <v>0.15278816966235856</v>
      </c>
      <c r="AC53" s="24">
        <f t="shared" si="3"/>
        <v>50.716318483079988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2">
        <f t="shared" si="32"/>
        <v>8.7125341134088217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70">
        <f t="shared" si="1"/>
        <v>357.00611358085365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12.25</v>
      </c>
      <c r="N54" s="14">
        <f>IF('Données projet'!$A$36&gt;35,N53+M54-V53,IF(A54&lt;'Données projet'!$A$36,$K$205^A54,IF(A54='Données projet'!$A$36,'Données projet'!$B$36,N53+M54-V53)))</f>
        <v>259.25000000000011</v>
      </c>
      <c r="O54" s="14">
        <f>N54*VLOOKUP('Données projet'!$B$9,Paramètres!$A$1:$I$89,3,0)*VLOOKUP('Données projet'!$B$9,Paramètres!$A$1:$I$89,5,0)</f>
        <v>155.03150000000008</v>
      </c>
      <c r="P54" s="14">
        <f t="shared" si="33"/>
        <v>39.71980720797935</v>
      </c>
      <c r="Q54" s="22">
        <f t="shared" si="53"/>
        <v>339.19186005389753</v>
      </c>
      <c r="R54" s="62">
        <f t="shared" si="0"/>
        <v>632.52519338723084</v>
      </c>
      <c r="S54" s="62">
        <f ca="1">AVERAGE(OFFSET($R$3,0,0,'Données projet'!$E$9+1,1))-AVERAGE(OFFSET($H$3,0,0,'Données projet'!$E$9+1,1))</f>
        <v>157.19386117397545</v>
      </c>
      <c r="T54" s="62">
        <f t="shared" si="34"/>
        <v>153.10223389615993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19.650057736626483</v>
      </c>
      <c r="AA54" s="23">
        <f>EXP(-LN(2)/25)*AA53+(1-EXP(-LN(2)/25))/(LN(2)/25)*Calculateur!V54*Calculateur!X54*VLOOKUP('Données projet'!$B$9,Paramètres!$A$1:$I$89,3,0)*0.475*44/12</f>
        <v>29.685856765594394</v>
      </c>
      <c r="AB54" s="23">
        <f>EXP(-LN(2)/2)*AB53+(1-EXP(-LN(2)/2))/(LN(2)/2)*V54*Y54*VLOOKUP('Données projet'!$B$9,Paramètres!$A$1:$I$89,3,0)*0.475*44/12</f>
        <v>0.10803755085333448</v>
      </c>
      <c r="AC54" s="24">
        <f t="shared" si="3"/>
        <v>49.443952053074206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2">
        <f t="shared" si="32"/>
        <v>8.8633120224605459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70">
        <f t="shared" si="1"/>
        <v>358.21966843911872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12.25</v>
      </c>
      <c r="N55" s="14">
        <f>IF('Données projet'!$A$36&gt;35,N54+M55-V54,IF(A55&lt;'Données projet'!$A$36,$K$205^A55,IF(A55='Données projet'!$A$36,'Données projet'!$B$36,N54+M55-V54)))</f>
        <v>271.50000000000011</v>
      </c>
      <c r="O55" s="14">
        <f>N55*VLOOKUP('Données projet'!$B$9,Paramètres!$A$1:$I$89,3,0)*VLOOKUP('Données projet'!$B$9,Paramètres!$A$1:$I$89,5,0)</f>
        <v>162.35700000000008</v>
      </c>
      <c r="P55" s="14">
        <f t="shared" si="33"/>
        <v>41.37369001938162</v>
      </c>
      <c r="Q55" s="22">
        <f t="shared" si="53"/>
        <v>354.83095178375646</v>
      </c>
      <c r="R55" s="62">
        <f t="shared" si="0"/>
        <v>648.16428511708978</v>
      </c>
      <c r="S55" s="62">
        <f ca="1">AVERAGE(OFFSET($R$3,0,0,'Données projet'!$E$9+1,1))-AVERAGE(OFFSET($H$3,0,0,'Données projet'!$E$9+1,1))</f>
        <v>157.19386117397545</v>
      </c>
      <c r="T55" s="62">
        <f t="shared" si="34"/>
        <v>153.10223389615993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19.264732089763001</v>
      </c>
      <c r="AA55" s="23">
        <f>EXP(-LN(2)/25)*AA54+(1-EXP(-LN(2)/25))/(LN(2)/25)*Calculateur!V55*Calculateur!X55*VLOOKUP('Données projet'!$B$9,Paramètres!$A$1:$I$89,3,0)*0.475*44/12</f>
        <v>28.874095451227856</v>
      </c>
      <c r="AB55" s="23">
        <f>EXP(-LN(2)/2)*AB54+(1-EXP(-LN(2)/2))/(LN(2)/2)*V55*Y55*VLOOKUP('Données projet'!$B$9,Paramètres!$A$1:$I$89,3,0)*0.475*44/12</f>
        <v>7.6394084831179293E-2</v>
      </c>
      <c r="AC55" s="24">
        <f t="shared" si="3"/>
        <v>48.215221625822039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2">
        <f t="shared" si="32"/>
        <v>9.0137527764644076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70">
        <f t="shared" si="1"/>
        <v>359.43263608567548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12.25</v>
      </c>
      <c r="N56" s="14">
        <f>IF('Données projet'!$A$36&gt;35,N55+M56-V55,IF(A56&lt;'Données projet'!$A$36,$K$205^A56,IF(A56='Données projet'!$A$36,'Données projet'!$B$36,N55+M56-V55)))</f>
        <v>283.75000000000011</v>
      </c>
      <c r="O56" s="14">
        <f>N56*VLOOKUP('Données projet'!$B$9,Paramètres!$A$1:$I$89,3,0)*VLOOKUP('Données projet'!$B$9,Paramètres!$A$1:$I$89,5,0)</f>
        <v>169.68250000000009</v>
      </c>
      <c r="P56" s="14">
        <f t="shared" si="33"/>
        <v>43.018906412391033</v>
      </c>
      <c r="Q56" s="22">
        <f t="shared" si="53"/>
        <v>370.45494950158121</v>
      </c>
      <c r="R56" s="62">
        <f t="shared" si="0"/>
        <v>663.78828283491453</v>
      </c>
      <c r="S56" s="62">
        <f ca="1">AVERAGE(OFFSET($R$3,0,0,'Données projet'!$E$9+1,1))-AVERAGE(OFFSET($H$3,0,0,'Données projet'!$E$9+1,1))</f>
        <v>157.19386117397545</v>
      </c>
      <c r="T56" s="62">
        <f t="shared" si="34"/>
        <v>153.10223389615993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18.886962443809075</v>
      </c>
      <c r="AA56" s="23">
        <f>EXP(-LN(2)/25)*AA55+(1-EXP(-LN(2)/25))/(LN(2)/25)*Calculateur!V56*Calculateur!X56*VLOOKUP('Données projet'!$B$9,Paramètres!$A$1:$I$89,3,0)*0.475*44/12</f>
        <v>28.084531792691344</v>
      </c>
      <c r="AB56" s="23">
        <f>EXP(-LN(2)/2)*AB55+(1-EXP(-LN(2)/2))/(LN(2)/2)*V56*Y56*VLOOKUP('Données projet'!$B$9,Paramètres!$A$1:$I$89,3,0)*0.475*44/12</f>
        <v>5.4018775426667248E-2</v>
      </c>
      <c r="AC56" s="24">
        <f t="shared" si="3"/>
        <v>47.025513011927089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2">
        <f t="shared" si="32"/>
        <v>9.163863470361429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70">
        <f t="shared" si="1"/>
        <v>360.64502887754611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>
        <f>VLOOKUP(A57,'Données projet'!$A$35:$I$55,2,0)</f>
        <v>296</v>
      </c>
      <c r="L57" s="13">
        <f>VLOOKUP(A57,'Données projet'!$A$35:$I$55,9,0)</f>
        <v>12.25</v>
      </c>
      <c r="M57" s="13">
        <f t="array" ref="M57">INDEX(L:L,MIN(IF(ISNUMBER(L57:L253),ROW(L57:L253),"")))</f>
        <v>12.25</v>
      </c>
      <c r="N57" s="14">
        <f>IF('Données projet'!$A$36&gt;35,N56+M57-V56,IF(A57&lt;'Données projet'!$A$36,$K$205^A57,IF(A57='Données projet'!$A$36,'Données projet'!$B$36,N56+M57-V56)))</f>
        <v>296.00000000000011</v>
      </c>
      <c r="O57" s="14">
        <f>N57*VLOOKUP('Données projet'!$B$9,Paramètres!$A$1:$I$89,3,0)*VLOOKUP('Données projet'!$B$9,Paramètres!$A$1:$I$89,5,0)</f>
        <v>177.00800000000007</v>
      </c>
      <c r="P57" s="14">
        <f t="shared" si="33"/>
        <v>44.65587329900309</v>
      </c>
      <c r="Q57" s="22">
        <f t="shared" si="53"/>
        <v>386.06457932909717</v>
      </c>
      <c r="R57" s="62">
        <f t="shared" si="0"/>
        <v>679.39791266243049</v>
      </c>
      <c r="S57" s="62">
        <f ca="1">AVERAGE(OFFSET($R$3,0,0,'Données projet'!$E$9+1,1))-AVERAGE(OFFSET($H$3,0,0,'Données projet'!$E$9+1,1))</f>
        <v>157.19386117397545</v>
      </c>
      <c r="T57" s="62">
        <f t="shared" si="34"/>
        <v>153.10223389615993</v>
      </c>
      <c r="U57" s="16">
        <f>IF(ISNA(VLOOKUP(A57,'Données projet'!$A$35:$I$55,3,0)),0,VLOOKUP(A57,'Données projet'!$A$35:$I$55,3,0))</f>
        <v>7</v>
      </c>
      <c r="V57" s="16">
        <f>IF(ISNA(VLOOKUP(A57,'Données projet'!$A$35:$I$55,4,0)),0,VLOOKUP(A57,'Données projet'!$A$35:$I$55,4,0))</f>
        <v>74</v>
      </c>
      <c r="W57" s="17">
        <f>IF(ISNA(VLOOKUP(A57,'Données projet'!$A$35:$I$55,5,0)),0%,VLOOKUP(A57,'Données projet'!$A$35:$I$55,5,0)*VLOOKUP('Données projet'!$B$9,Paramètres!$A$1:$I$89,7,0))</f>
        <v>0.315</v>
      </c>
      <c r="X57" s="17">
        <f>IF(ISNA(VLOOKUP(A57,'Données projet'!$A$35:$I$55,6,0)),0%,VLOOKUP(A57,'Données projet'!$A$35:$I$55,6,0)*VLOOKUP('Données projet'!$B$9,Paramètres!$A$1:$I$89,7,0))</f>
        <v>0.13500000000000001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37.00808666906039</v>
      </c>
      <c r="AA57" s="23">
        <f>EXP(-LN(2)/25)*AA56+(1-EXP(-LN(2)/25))/(LN(2)/25)*Calculateur!V57*Calculateur!X57*VLOOKUP('Données projet'!$B$9,Paramètres!$A$1:$I$89,3,0)*0.475*44/12</f>
        <v>35.210277942142248</v>
      </c>
      <c r="AB57" s="23">
        <f>EXP(-LN(2)/2)*AB56+(1-EXP(-LN(2)/2))/(LN(2)/2)*V57*Y57*VLOOKUP('Données projet'!$B$9,Paramètres!$A$1:$I$89,3,0)*0.475*44/12</f>
        <v>3.8197042415589653E-2</v>
      </c>
      <c r="AC57" s="24">
        <f t="shared" si="3"/>
        <v>72.256561653618235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2">
        <f t="shared" si="32"/>
        <v>9.3136509212754071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70">
        <f t="shared" si="1"/>
        <v>361.85685868788795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10.875</v>
      </c>
      <c r="N58" s="14">
        <f>IF('Données projet'!$A$36&gt;35,N57+M58-V57,IF(A58&lt;'Données projet'!$A$36,$K$205^A58,IF(A58='Données projet'!$A$36,'Données projet'!$B$36,N57+M58-V57)))</f>
        <v>232.87500000000011</v>
      </c>
      <c r="O58" s="14">
        <f>N58*VLOOKUP('Données projet'!$B$9,Paramètres!$A$1:$I$89,3,0)*VLOOKUP('Données projet'!$B$9,Paramètres!$A$1:$I$89,5,0)</f>
        <v>139.25925000000009</v>
      </c>
      <c r="P58" s="14">
        <f t="shared" si="33"/>
        <v>36.127257712711845</v>
      </c>
      <c r="Q58" s="22">
        <f t="shared" si="53"/>
        <v>305.46483426630658</v>
      </c>
      <c r="R58" s="62">
        <f t="shared" si="0"/>
        <v>598.7981675996399</v>
      </c>
      <c r="S58" s="62">
        <f ca="1">AVERAGE(OFFSET($R$3,0,0,'Données projet'!$E$9+1,1))-AVERAGE(OFFSET($H$3,0,0,'Données projet'!$E$9+1,1))</f>
        <v>157.19386117397545</v>
      </c>
      <c r="T58" s="62">
        <f t="shared" si="34"/>
        <v>153.10223389615993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36.282380662184117</v>
      </c>
      <c r="AA58" s="23">
        <f>EXP(-LN(2)/25)*AA57+(1-EXP(-LN(2)/25))/(LN(2)/25)*Calculateur!V58*Calculateur!X58*VLOOKUP('Données projet'!$B$9,Paramètres!$A$1:$I$89,3,0)*0.475*44/12</f>
        <v>34.247451040186327</v>
      </c>
      <c r="AB58" s="23">
        <f>EXP(-LN(2)/2)*AB57+(1-EXP(-LN(2)/2))/(LN(2)/2)*V58*Y58*VLOOKUP('Données projet'!$B$9,Paramètres!$A$1:$I$89,3,0)*0.475*44/12</f>
        <v>2.7009387713333631E-2</v>
      </c>
      <c r="AC58" s="24">
        <f t="shared" si="3"/>
        <v>70.556841090083779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2">
        <f t="shared" si="32"/>
        <v>9.4631216842413828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70">
        <f t="shared" si="1"/>
        <v>363.068136933387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10.875</v>
      </c>
      <c r="N59" s="14">
        <f>IF('Données projet'!$A$36&gt;35,N58+M59-V58,IF(A59&lt;'Données projet'!$A$36,$K$205^A59,IF(A59='Données projet'!$A$36,'Données projet'!$B$36,N58+M59-V58)))</f>
        <v>243.75000000000011</v>
      </c>
      <c r="O59" s="14">
        <f>N59*VLOOKUP('Données projet'!$B$9,Paramètres!$A$1:$I$89,3,0)*VLOOKUP('Données projet'!$B$9,Paramètres!$A$1:$I$89,5,0)</f>
        <v>145.76250000000007</v>
      </c>
      <c r="P59" s="14">
        <f t="shared" si="33"/>
        <v>37.613998346881225</v>
      </c>
      <c r="Q59" s="22">
        <f t="shared" si="53"/>
        <v>319.38073462081826</v>
      </c>
      <c r="R59" s="62">
        <f t="shared" si="0"/>
        <v>612.71406795415157</v>
      </c>
      <c r="S59" s="62">
        <f ca="1">AVERAGE(OFFSET($R$3,0,0,'Données projet'!$E$9+1,1))-AVERAGE(OFFSET($H$3,0,0,'Données projet'!$E$9+1,1))</f>
        <v>157.19386117397545</v>
      </c>
      <c r="T59" s="62">
        <f t="shared" si="34"/>
        <v>153.10223389615993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35.570905307465729</v>
      </c>
      <c r="AA59" s="23">
        <f>EXP(-LN(2)/25)*AA58+(1-EXP(-LN(2)/25))/(LN(2)/25)*Calculateur!V59*Calculateur!X59*VLOOKUP('Données projet'!$B$9,Paramètres!$A$1:$I$89,3,0)*0.475*44/12</f>
        <v>33.310952690497253</v>
      </c>
      <c r="AB59" s="23">
        <f>EXP(-LN(2)/2)*AB58+(1-EXP(-LN(2)/2))/(LN(2)/2)*V59*Y59*VLOOKUP('Données projet'!$B$9,Paramètres!$A$1:$I$89,3,0)*0.475*44/12</f>
        <v>1.909852120779483E-2</v>
      </c>
      <c r="AC59" s="24">
        <f t="shared" si="3"/>
        <v>68.900956519170776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2">
        <f t="shared" si="32"/>
        <v>9.6122820667787945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70">
        <f t="shared" si="1"/>
        <v>364.27887459963966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10.875</v>
      </c>
      <c r="N60" s="14">
        <f>IF('Données projet'!$A$36&gt;35,N59+M60-V59,IF(A60&lt;'Données projet'!$A$36,$K$205^A60,IF(A60='Données projet'!$A$36,'Données projet'!$B$36,N59+M60-V59)))</f>
        <v>254.62500000000011</v>
      </c>
      <c r="O60" s="14">
        <f>N60*VLOOKUP('Données projet'!$B$9,Paramètres!$A$1:$I$89,3,0)*VLOOKUP('Données projet'!$B$9,Paramètres!$A$1:$I$89,5,0)</f>
        <v>152.26575000000008</v>
      </c>
      <c r="P60" s="14">
        <f t="shared" si="33"/>
        <v>39.093035308852109</v>
      </c>
      <c r="Q60" s="22">
        <f t="shared" si="53"/>
        <v>333.2832177462509</v>
      </c>
      <c r="R60" s="62">
        <f t="shared" si="0"/>
        <v>626.61655107958427</v>
      </c>
      <c r="S60" s="62">
        <f ca="1">AVERAGE(OFFSET($R$3,0,0,'Données projet'!$E$9+1,1))-AVERAGE(OFFSET($H$3,0,0,'Données projet'!$E$9+1,1))</f>
        <v>157.19386117397545</v>
      </c>
      <c r="T60" s="62">
        <f t="shared" si="34"/>
        <v>153.10223389615993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34.873381550496248</v>
      </c>
      <c r="AA60" s="23">
        <f>EXP(-LN(2)/25)*AA59+(1-EXP(-LN(2)/25))/(LN(2)/25)*Calculateur!V60*Calculateur!X60*VLOOKUP('Données projet'!$B$9,Paramètres!$A$1:$I$89,3,0)*0.475*44/12</f>
        <v>32.400062937428736</v>
      </c>
      <c r="AB60" s="23">
        <f>EXP(-LN(2)/2)*AB59+(1-EXP(-LN(2)/2))/(LN(2)/2)*V60*Y60*VLOOKUP('Données projet'!$B$9,Paramètres!$A$1:$I$89,3,0)*0.475*44/12</f>
        <v>1.3504693856666817E-2</v>
      </c>
      <c r="AC60" s="24">
        <f t="shared" si="3"/>
        <v>67.286949181781651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2">
        <f t="shared" si="32"/>
        <v>9.7611381424130617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70">
        <f t="shared" si="1"/>
        <v>365.48908226470269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10.875</v>
      </c>
      <c r="N61" s="14">
        <f>IF('Données projet'!$A$36&gt;35,N60+M61-V60,IF(A61&lt;'Données projet'!$A$36,$K$205^A61,IF(A61='Données projet'!$A$36,'Données projet'!$B$36,N60+M61-V60)))</f>
        <v>265.50000000000011</v>
      </c>
      <c r="O61" s="14">
        <f>N61*VLOOKUP('Données projet'!$B$9,Paramètres!$A$1:$I$89,3,0)*VLOOKUP('Données projet'!$B$9,Paramètres!$A$1:$I$89,5,0)</f>
        <v>158.76900000000006</v>
      </c>
      <c r="P61" s="14">
        <f t="shared" si="33"/>
        <v>40.564735235613689</v>
      </c>
      <c r="Q61" s="22">
        <f t="shared" si="53"/>
        <v>347.17292220202722</v>
      </c>
      <c r="R61" s="62">
        <f t="shared" si="0"/>
        <v>640.50625553536054</v>
      </c>
      <c r="S61" s="62">
        <f ca="1">AVERAGE(OFFSET($R$3,0,0,'Données projet'!$E$9+1,1))-AVERAGE(OFFSET($H$3,0,0,'Données projet'!$E$9+1,1))</f>
        <v>157.19386117397545</v>
      </c>
      <c r="T61" s="62">
        <f t="shared" si="34"/>
        <v>153.10223389615993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34.189535808953458</v>
      </c>
      <c r="AA61" s="23">
        <f>EXP(-LN(2)/25)*AA60+(1-EXP(-LN(2)/25))/(LN(2)/25)*Calculateur!V61*Calculateur!X61*VLOOKUP('Données projet'!$B$9,Paramètres!$A$1:$I$89,3,0)*0.475*44/12</f>
        <v>31.514081512559489</v>
      </c>
      <c r="AB61" s="23">
        <f>EXP(-LN(2)/2)*AB60+(1-EXP(-LN(2)/2))/(LN(2)/2)*V61*Y61*VLOOKUP('Données projet'!$B$9,Paramètres!$A$1:$I$89,3,0)*0.475*44/12</f>
        <v>9.5492606038974168E-3</v>
      </c>
      <c r="AC61" s="24">
        <f t="shared" si="3"/>
        <v>65.713166582116855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2">
        <f t="shared" si="32"/>
        <v>9.9096957632381564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70">
        <f t="shared" si="1"/>
        <v>366.69877012097305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10.875</v>
      </c>
      <c r="N62" s="14">
        <f>IF('Données projet'!$A$36&gt;35,N61+M62-V61,IF(A62&lt;'Données projet'!$A$36,$K$205^A62,IF(A62='Données projet'!$A$36,'Données projet'!$B$36,N61+M62-V61)))</f>
        <v>276.37500000000011</v>
      </c>
      <c r="O62" s="14">
        <f>N62*VLOOKUP('Données projet'!$B$9,Paramètres!$A$1:$I$89,3,0)*VLOOKUP('Données projet'!$B$9,Paramètres!$A$1:$I$89,5,0)</f>
        <v>165.2722500000001</v>
      </c>
      <c r="P62" s="14">
        <f t="shared" si="33"/>
        <v>42.029433029315314</v>
      </c>
      <c r="Q62" s="22">
        <f t="shared" si="53"/>
        <v>361.05043127605768</v>
      </c>
      <c r="R62" s="62">
        <f t="shared" si="0"/>
        <v>654.38376460939094</v>
      </c>
      <c r="S62" s="62">
        <f ca="1">AVERAGE(OFFSET($R$3,0,0,'Données projet'!$E$9+1,1))-AVERAGE(OFFSET($H$3,0,0,'Données projet'!$E$9+1,1))</f>
        <v>157.19386117397545</v>
      </c>
      <c r="T62" s="62">
        <f t="shared" si="34"/>
        <v>153.10223389615993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33.519099865297605</v>
      </c>
      <c r="AA62" s="23">
        <f>EXP(-LN(2)/25)*AA61+(1-EXP(-LN(2)/25))/(LN(2)/25)*Calculateur!V62*Calculateur!X62*VLOOKUP('Données projet'!$B$9,Paramètres!$A$1:$I$89,3,0)*0.475*44/12</f>
        <v>30.652327296345028</v>
      </c>
      <c r="AB62" s="23">
        <f>EXP(-LN(2)/2)*AB61+(1-EXP(-LN(2)/2))/(LN(2)/2)*V62*Y62*VLOOKUP('Données projet'!$B$9,Paramètres!$A$1:$I$89,3,0)*0.475*44/12</f>
        <v>6.7523469283334095E-3</v>
      </c>
      <c r="AC62" s="24">
        <f t="shared" si="3"/>
        <v>64.178179508570977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2">
        <f t="shared" si="32"/>
        <v>10.05796057160342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70">
        <f t="shared" si="1"/>
        <v>367.90794799554254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10.875</v>
      </c>
      <c r="N63" s="14">
        <f>IF('Données projet'!$A$36&gt;35,N62+M63-V62,IF(A63&lt;'Données projet'!$A$36,$K$205^A63,IF(A63='Données projet'!$A$36,'Données projet'!$B$36,N62+M63-V62)))</f>
        <v>287.25000000000011</v>
      </c>
      <c r="O63" s="14">
        <f>N63*VLOOKUP('Données projet'!$B$9,Paramètres!$A$1:$I$89,3,0)*VLOOKUP('Données projet'!$B$9,Paramètres!$A$1:$I$89,5,0)</f>
        <v>171.77550000000008</v>
      </c>
      <c r="P63" s="14">
        <f t="shared" si="33"/>
        <v>43.487435744036283</v>
      </c>
      <c r="Q63" s="22">
        <f t="shared" si="53"/>
        <v>374.91627975419664</v>
      </c>
      <c r="R63" s="62">
        <f t="shared" si="0"/>
        <v>668.24961308752995</v>
      </c>
      <c r="S63" s="62">
        <f ca="1">AVERAGE(OFFSET($R$3,0,0,'Données projet'!$E$9+1,1))-AVERAGE(OFFSET($H$3,0,0,'Données projet'!$E$9+1,1))</f>
        <v>157.19386117397545</v>
      </c>
      <c r="T63" s="62">
        <f t="shared" si="34"/>
        <v>153.10223389615993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32.861810761571299</v>
      </c>
      <c r="AA63" s="23">
        <f>EXP(-LN(2)/25)*AA62+(1-EXP(-LN(2)/25))/(LN(2)/25)*Calculateur!V63*Calculateur!X63*VLOOKUP('Données projet'!$B$9,Paramètres!$A$1:$I$89,3,0)*0.475*44/12</f>
        <v>29.814137794490637</v>
      </c>
      <c r="AB63" s="23">
        <f>EXP(-LN(2)/2)*AB62+(1-EXP(-LN(2)/2))/(LN(2)/2)*V63*Y63*VLOOKUP('Données projet'!$B$9,Paramètres!$A$1:$I$89,3,0)*0.475*44/12</f>
        <v>4.7746303019487084E-3</v>
      </c>
      <c r="AC63" s="24">
        <f t="shared" si="3"/>
        <v>62.680723186363892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2">
        <f t="shared" si="32"/>
        <v>10.205938010999123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70">
        <f t="shared" si="1"/>
        <v>369.11662536915674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10.875</v>
      </c>
      <c r="N64" s="14">
        <f>IF('Données projet'!$A$36&gt;35,N63+M64-V63,IF(A64&lt;'Données projet'!$A$36,$K$205^A64,IF(A64='Données projet'!$A$36,'Données projet'!$B$36,N63+M64-V63)))</f>
        <v>298.12500000000011</v>
      </c>
      <c r="O64" s="14">
        <f>N64*VLOOKUP('Données projet'!$B$9,Paramètres!$A$1:$I$89,3,0)*VLOOKUP('Données projet'!$B$9,Paramètres!$A$1:$I$89,5,0)</f>
        <v>178.27875000000006</v>
      </c>
      <c r="P64" s="14">
        <f t="shared" si="33"/>
        <v>44.939025867406933</v>
      </c>
      <c r="Q64" s="22">
        <f t="shared" si="53"/>
        <v>388.77095963573385</v>
      </c>
      <c r="R64" s="62">
        <f t="shared" si="0"/>
        <v>682.10429296906716</v>
      </c>
      <c r="S64" s="62">
        <f ca="1">AVERAGE(OFFSET($R$3,0,0,'Données projet'!$E$9+1,1))-AVERAGE(OFFSET($H$3,0,0,'Données projet'!$E$9+1,1))</f>
        <v>157.19386117397545</v>
      </c>
      <c r="T64" s="62">
        <f t="shared" si="34"/>
        <v>153.10223389615993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32.217410696262299</v>
      </c>
      <c r="AA64" s="23">
        <f>EXP(-LN(2)/25)*AA63+(1-EXP(-LN(2)/25))/(LN(2)/25)*Calculateur!V64*Calculateur!X64*VLOOKUP('Données projet'!$B$9,Paramètres!$A$1:$I$89,3,0)*0.475*44/12</f>
        <v>28.998868628642924</v>
      </c>
      <c r="AB64" s="23">
        <f>EXP(-LN(2)/2)*AB63+(1-EXP(-LN(2)/2))/(LN(2)/2)*V64*Y64*VLOOKUP('Données projet'!$B$9,Paramètres!$A$1:$I$89,3,0)*0.475*44/12</f>
        <v>3.3761734641667047E-3</v>
      </c>
      <c r="AC64" s="24">
        <f t="shared" si="3"/>
        <v>61.219655498369391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2">
        <f t="shared" si="32"/>
        <v>10.353633336208009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70">
        <f t="shared" si="1"/>
        <v>370.32481139389552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>
        <f>VLOOKUP(A65,'Données projet'!$A$35:$I$55,2,0)</f>
        <v>309</v>
      </c>
      <c r="L65" s="13">
        <f>VLOOKUP(A65,'Données projet'!$A$35:$I$55,9,0)</f>
        <v>10.875</v>
      </c>
      <c r="M65" s="13">
        <f t="array" ref="M65">INDEX(L:L,MIN(IF(ISNUMBER(L65:L261),ROW(L65:L261),"")))</f>
        <v>10.875</v>
      </c>
      <c r="N65" s="14">
        <f>IF('Données projet'!$A$36&gt;35,N64+M65-V64,IF(A65&lt;'Données projet'!$A$36,$K$205^A65,IF(A65='Données projet'!$A$36,'Données projet'!$B$36,N64+M65-V64)))</f>
        <v>309.00000000000011</v>
      </c>
      <c r="O65" s="14">
        <f>N65*VLOOKUP('Données projet'!$B$9,Paramètres!$A$1:$I$89,3,0)*VLOOKUP('Données projet'!$B$9,Paramètres!$A$1:$I$89,5,0)</f>
        <v>184.7820000000001</v>
      </c>
      <c r="P65" s="14">
        <f t="shared" si="33"/>
        <v>46.384464109944147</v>
      </c>
      <c r="Q65" s="22">
        <f t="shared" si="53"/>
        <v>402.61492499148613</v>
      </c>
      <c r="R65" s="62">
        <f t="shared" si="0"/>
        <v>695.94825832481945</v>
      </c>
      <c r="S65" s="62">
        <f ca="1">AVERAGE(OFFSET($R$3,0,0,'Données projet'!$E$9+1,1))-AVERAGE(OFFSET($H$3,0,0,'Données projet'!$E$9+1,1))</f>
        <v>157.19386117397545</v>
      </c>
      <c r="T65" s="62">
        <f t="shared" si="34"/>
        <v>153.10223389615993</v>
      </c>
      <c r="U65" s="16">
        <f>IF(ISNA(VLOOKUP(A65,'Données projet'!$A$35:$I$55,3,0)),0,VLOOKUP(A65,'Données projet'!$A$35:$I$55,3,0))</f>
        <v>8</v>
      </c>
      <c r="V65" s="16">
        <f>IF(ISNA(VLOOKUP(A65,'Données projet'!$A$35:$I$55,4,0)),0,VLOOKUP(A65,'Données projet'!$A$35:$I$55,4,0))</f>
        <v>309</v>
      </c>
      <c r="W65" s="17">
        <f>IF(ISNA(VLOOKUP(A65,'Données projet'!$A$35:$I$55,5,0)),0%,VLOOKUP(A65,'Données projet'!$A$35:$I$55,5,0)*VLOOKUP('Données projet'!$B$9,Paramètres!$A$1:$I$89,7,0))</f>
        <v>0.40500000000000003</v>
      </c>
      <c r="X65" s="17">
        <f>IF(ISNA(VLOOKUP(A65,'Données projet'!$A$35:$I$55,6,0)),0%,VLOOKUP(A65,'Données projet'!$A$35:$I$55,6,0)*VLOOKUP('Données projet'!$B$9,Paramètres!$A$1:$I$89,7,0))</f>
        <v>4.5000000000000005E-2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130.86136637122559</v>
      </c>
      <c r="AA65" s="23">
        <f>EXP(-LN(2)/25)*AA64+(1-EXP(-LN(2)/25))/(LN(2)/25)*Calculateur!V65*Calculateur!X65*VLOOKUP('Données projet'!$B$9,Paramètres!$A$1:$I$89,3,0)*0.475*44/12</f>
        <v>39.193096720292367</v>
      </c>
      <c r="AB65" s="23">
        <f>EXP(-LN(2)/2)*AB64+(1-EXP(-LN(2)/2))/(LN(2)/2)*V65*Y65*VLOOKUP('Données projet'!$B$9,Paramètres!$A$1:$I$89,3,0)*0.475*44/12</f>
        <v>2.3873151509743542E-3</v>
      </c>
      <c r="AC65" s="24">
        <f t="shared" si="3"/>
        <v>170.05685040666893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2">
        <f t="shared" si="32"/>
        <v>10.501051622783336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70">
        <f t="shared" si="1"/>
        <v>371.53251490968091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1.1368683772161603E-13</v>
      </c>
      <c r="O66" s="14">
        <f>N66*VLOOKUP('Données projet'!$B$9,Paramètres!$A$1:$I$89,3,0)*VLOOKUP('Données projet'!$B$9,Paramètres!$A$1:$I$89,5,0)</f>
        <v>6.7984728957526396E-14</v>
      </c>
      <c r="P66" s="14">
        <f t="shared" si="33"/>
        <v>1.0682447123141398E-12</v>
      </c>
      <c r="Q66" s="22">
        <f t="shared" si="53"/>
        <v>1.978932943548152E-12</v>
      </c>
      <c r="R66" s="62">
        <f t="shared" si="0"/>
        <v>293.3333333333353</v>
      </c>
      <c r="S66" s="62">
        <f ca="1">AVERAGE(OFFSET($R$3,0,0,'Données projet'!$E$9+1,1))-AVERAGE(OFFSET($H$3,0,0,'Données projet'!$E$9+1,1))</f>
        <v>157.19386117397545</v>
      </c>
      <c r="T66" s="62">
        <f t="shared" si="34"/>
        <v>153.10223389615993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128.29525479423802</v>
      </c>
      <c r="AA66" s="23">
        <f>EXP(-LN(2)/25)*AA65+(1-EXP(-LN(2)/25))/(LN(2)/25)*Calculateur!V66*Calculateur!X66*VLOOKUP('Données projet'!$B$9,Paramètres!$A$1:$I$89,3,0)*0.475*44/12</f>
        <v>38.121359429400592</v>
      </c>
      <c r="AB66" s="23">
        <f>EXP(-LN(2)/2)*AB65+(1-EXP(-LN(2)/2))/(LN(2)/2)*V66*Y66*VLOOKUP('Données projet'!$B$9,Paramètres!$A$1:$I$89,3,0)*0.475*44/12</f>
        <v>1.6880867320833524E-3</v>
      </c>
      <c r="AC66" s="24">
        <f t="shared" si="3"/>
        <v>166.41830231037071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2">
        <f t="shared" si="32"/>
        <v>10.648197775908036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70">
        <f t="shared" si="1"/>
        <v>372.73974445970646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1.1368683772161603E-13</v>
      </c>
      <c r="O67" s="14">
        <f>N67*VLOOKUP('Données projet'!$B$9,Paramètres!$A$1:$I$89,3,0)*VLOOKUP('Données projet'!$B$9,Paramètres!$A$1:$I$89,5,0)</f>
        <v>6.7984728957526396E-14</v>
      </c>
      <c r="P67" s="14">
        <f t="shared" si="33"/>
        <v>1.0682447123141398E-12</v>
      </c>
      <c r="Q67" s="22">
        <f t="shared" ref="Q67:Q98" si="54">(O67+P67)*0.475*44/12</f>
        <v>1.978932943548152E-12</v>
      </c>
      <c r="R67" s="62">
        <f t="shared" ref="R67:R130" si="55">Q67+(I67+J67)*44/12</f>
        <v>293.3333333333353</v>
      </c>
      <c r="S67" s="62">
        <f ca="1">AVERAGE(OFFSET($R$3,0,0,'Données projet'!$E$9+1,1))-AVERAGE(OFFSET($H$3,0,0,'Données projet'!$E$9+1,1))</f>
        <v>157.19386117397545</v>
      </c>
      <c r="T67" s="62">
        <f t="shared" si="34"/>
        <v>153.10223389615993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125.77946310010165</v>
      </c>
      <c r="AA67" s="23">
        <f>EXP(-LN(2)/25)*AA66+(1-EXP(-LN(2)/25))/(LN(2)/25)*Calculateur!V67*Calculateur!X67*VLOOKUP('Données projet'!$B$9,Paramètres!$A$1:$I$89,3,0)*0.475*44/12</f>
        <v>37.07892885108847</v>
      </c>
      <c r="AB67" s="23">
        <f>EXP(-LN(2)/2)*AB66+(1-EXP(-LN(2)/2))/(LN(2)/2)*V67*Y67*VLOOKUP('Données projet'!$B$9,Paramètres!$A$1:$I$89,3,0)*0.475*44/12</f>
        <v>1.1936575754871771E-3</v>
      </c>
      <c r="AC67" s="24">
        <f t="shared" si="3"/>
        <v>162.85958560876563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2">
        <f t="shared" si="32"/>
        <v>10.795076538684501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70">
        <f t="shared" ref="H68:H131" si="56">(B68+E68+F68)*44/12+(C68+D68)*0.475*44/12</f>
        <v>373.94650830487547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1.1368683772161603E-13</v>
      </c>
      <c r="O68" s="14">
        <f>N68*VLOOKUP('Données projet'!$B$9,Paramètres!$A$1:$I$89,3,0)*VLOOKUP('Données projet'!$B$9,Paramètres!$A$1:$I$89,5,0)</f>
        <v>6.7984728957526396E-14</v>
      </c>
      <c r="P68" s="14">
        <f t="shared" si="33"/>
        <v>1.0682447123141398E-12</v>
      </c>
      <c r="Q68" s="22">
        <f t="shared" si="54"/>
        <v>1.978932943548152E-12</v>
      </c>
      <c r="R68" s="62">
        <f t="shared" si="55"/>
        <v>293.3333333333353</v>
      </c>
      <c r="S68" s="62">
        <f ca="1">AVERAGE(OFFSET($R$3,0,0,'Données projet'!$E$9+1,1))-AVERAGE(OFFSET($H$3,0,0,'Données projet'!$E$9+1,1))</f>
        <v>157.19386117397545</v>
      </c>
      <c r="T68" s="62">
        <f t="shared" si="34"/>
        <v>153.10223389615993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123.31300454660588</v>
      </c>
      <c r="AA68" s="23">
        <f>EXP(-LN(2)/25)*AA67+(1-EXP(-LN(2)/25))/(LN(2)/25)*Calculateur!V68*Calculateur!X68*VLOOKUP('Données projet'!$B$9,Paramètres!$A$1:$I$89,3,0)*0.475*44/12</f>
        <v>36.065003591759336</v>
      </c>
      <c r="AB68" s="23">
        <f>EXP(-LN(2)/2)*AB67+(1-EXP(-LN(2)/2))/(LN(2)/2)*V68*Y68*VLOOKUP('Données projet'!$B$9,Paramètres!$A$1:$I$89,3,0)*0.475*44/12</f>
        <v>8.4404336604167619E-4</v>
      </c>
      <c r="AC68" s="24">
        <f t="shared" ref="AC68:AC131" si="57">SUM(Z68:AB68)</f>
        <v>159.37885218173125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2">
        <f t="shared" ref="D69:D132" si="86">IFERROR(EXP(-1.0587+0.8836*LN(C69)+0.284),0)</f>
        <v>10.941692499899732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70">
        <f t="shared" si="56"/>
        <v>375.15281443732528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1.1368683772161603E-13</v>
      </c>
      <c r="O69" s="14">
        <f>N69*VLOOKUP('Données projet'!$B$9,Paramètres!$A$1:$I$89,3,0)*VLOOKUP('Données projet'!$B$9,Paramètres!$A$1:$I$89,5,0)</f>
        <v>6.7984728957526396E-14</v>
      </c>
      <c r="P69" s="14">
        <f t="shared" ref="P69:P132" si="87">EXP(-1.0587+0.8836*LN(O69)+0.284)</f>
        <v>1.0682447123141398E-12</v>
      </c>
      <c r="Q69" s="22">
        <f t="shared" si="54"/>
        <v>1.978932943548152E-12</v>
      </c>
      <c r="R69" s="62">
        <f t="shared" si="55"/>
        <v>293.3333333333353</v>
      </c>
      <c r="S69" s="62">
        <f ca="1">AVERAGE(OFFSET($R$3,0,0,'Données projet'!$E$9+1,1))-AVERAGE(OFFSET($H$3,0,0,'Données projet'!$E$9+1,1))</f>
        <v>157.19386117397545</v>
      </c>
      <c r="T69" s="62">
        <f t="shared" ref="T69:T132" si="88">$T$3</f>
        <v>153.10223389615993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120.89491174095299</v>
      </c>
      <c r="AA69" s="23">
        <f>EXP(-LN(2)/25)*AA68+(1-EXP(-LN(2)/25))/(LN(2)/25)*Calculateur!V69*Calculateur!X69*VLOOKUP('Données projet'!$B$9,Paramètres!$A$1:$I$89,3,0)*0.475*44/12</f>
        <v>35.078804171966567</v>
      </c>
      <c r="AB69" s="23">
        <f>EXP(-LN(2)/2)*AB68+(1-EXP(-LN(2)/2))/(LN(2)/2)*V69*Y69*VLOOKUP('Données projet'!$B$9,Paramètres!$A$1:$I$89,3,0)*0.475*44/12</f>
        <v>5.9682878774358855E-4</v>
      </c>
      <c r="AC69" s="24">
        <f t="shared" si="57"/>
        <v>155.97431274170728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2">
        <f t="shared" si="86"/>
        <v>11.088050101306514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70">
        <f t="shared" si="56"/>
        <v>376.3586705931088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1.1368683772161603E-13</v>
      </c>
      <c r="O70" s="14">
        <f>N70*VLOOKUP('Données projet'!$B$9,Paramètres!$A$1:$I$89,3,0)*VLOOKUP('Données projet'!$B$9,Paramètres!$A$1:$I$89,5,0)</f>
        <v>6.7984728957526396E-14</v>
      </c>
      <c r="P70" s="14">
        <f t="shared" si="87"/>
        <v>1.0682447123141398E-12</v>
      </c>
      <c r="Q70" s="22">
        <f t="shared" si="54"/>
        <v>1.978932943548152E-12</v>
      </c>
      <c r="R70" s="62">
        <f t="shared" si="55"/>
        <v>293.3333333333353</v>
      </c>
      <c r="S70" s="62">
        <f ca="1">AVERAGE(OFFSET($R$3,0,0,'Données projet'!$E$9+1,1))-AVERAGE(OFFSET($H$3,0,0,'Données projet'!$E$9+1,1))</f>
        <v>157.19386117397545</v>
      </c>
      <c r="T70" s="62">
        <f t="shared" si="88"/>
        <v>153.10223389615993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118.52423626032798</v>
      </c>
      <c r="AA70" s="23">
        <f>EXP(-LN(2)/25)*AA69+(1-EXP(-LN(2)/25))/(LN(2)/25)*Calculateur!V70*Calculateur!X70*VLOOKUP('Données projet'!$B$9,Paramètres!$A$1:$I$89,3,0)*0.475*44/12</f>
        <v>34.119572427170006</v>
      </c>
      <c r="AB70" s="23">
        <f>EXP(-LN(2)/2)*AB69+(1-EXP(-LN(2)/2))/(LN(2)/2)*V70*Y70*VLOOKUP('Données projet'!$B$9,Paramètres!$A$1:$I$89,3,0)*0.475*44/12</f>
        <v>4.2202168302083809E-4</v>
      </c>
      <c r="AC70" s="24">
        <f t="shared" si="57"/>
        <v>152.64423070918102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2">
        <f t="shared" si="86"/>
        <v>11.234153644457548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70">
        <f t="shared" si="56"/>
        <v>377.56408426409683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1.1368683772161603E-13</v>
      </c>
      <c r="O71" s="14">
        <f>N71*VLOOKUP('Données projet'!$B$9,Paramètres!$A$1:$I$89,3,0)*VLOOKUP('Données projet'!$B$9,Paramètres!$A$1:$I$89,5,0)</f>
        <v>6.7984728957526396E-14</v>
      </c>
      <c r="P71" s="14">
        <f t="shared" si="87"/>
        <v>1.0682447123141398E-12</v>
      </c>
      <c r="Q71" s="22">
        <f t="shared" si="54"/>
        <v>1.978932943548152E-12</v>
      </c>
      <c r="R71" s="62">
        <f t="shared" si="55"/>
        <v>293.3333333333353</v>
      </c>
      <c r="S71" s="62">
        <f ca="1">AVERAGE(OFFSET($R$3,0,0,'Données projet'!$E$9+1,1))-AVERAGE(OFFSET($H$3,0,0,'Données projet'!$E$9+1,1))</f>
        <v>157.19386117397545</v>
      </c>
      <c r="T71" s="62">
        <f t="shared" si="88"/>
        <v>153.10223389615993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116.20004827990876</v>
      </c>
      <c r="AA71" s="23">
        <f>EXP(-LN(2)/25)*AA70+(1-EXP(-LN(2)/25))/(LN(2)/25)*Calculateur!V71*Calculateur!X71*VLOOKUP('Données projet'!$B$9,Paramètres!$A$1:$I$89,3,0)*0.475*44/12</f>
        <v>33.186570924878708</v>
      </c>
      <c r="AB71" s="23">
        <f>EXP(-LN(2)/2)*AB70+(1-EXP(-LN(2)/2))/(LN(2)/2)*V71*Y71*VLOOKUP('Données projet'!$B$9,Paramètres!$A$1:$I$89,3,0)*0.475*44/12</f>
        <v>2.9841439387179428E-4</v>
      </c>
      <c r="AC71" s="24">
        <f t="shared" si="57"/>
        <v>149.38691761918133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2">
        <f t="shared" si="86"/>
        <v>11.380007297126165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70">
        <f t="shared" si="56"/>
        <v>378.76906270916135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1.1368683772161603E-13</v>
      </c>
      <c r="O72" s="14">
        <f>N72*VLOOKUP('Données projet'!$B$9,Paramètres!$A$1:$I$89,3,0)*VLOOKUP('Données projet'!$B$9,Paramètres!$A$1:$I$89,5,0)</f>
        <v>6.7984728957526396E-14</v>
      </c>
      <c r="P72" s="14">
        <f t="shared" si="87"/>
        <v>1.0682447123141398E-12</v>
      </c>
      <c r="Q72" s="22">
        <f t="shared" si="54"/>
        <v>1.978932943548152E-12</v>
      </c>
      <c r="R72" s="62">
        <f t="shared" si="55"/>
        <v>293.3333333333353</v>
      </c>
      <c r="S72" s="62">
        <f ca="1">AVERAGE(OFFSET($R$3,0,0,'Données projet'!$E$9+1,1))-AVERAGE(OFFSET($H$3,0,0,'Données projet'!$E$9+1,1))</f>
        <v>157.19386117397545</v>
      </c>
      <c r="T72" s="62">
        <f t="shared" si="88"/>
        <v>153.10223389615993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113.92143620817087</v>
      </c>
      <c r="AA72" s="23">
        <f>EXP(-LN(2)/25)*AA71+(1-EXP(-LN(2)/25))/(LN(2)/25)*Calculateur!V72*Calculateur!X72*VLOOKUP('Données projet'!$B$9,Paramètres!$A$1:$I$89,3,0)*0.475*44/12</f>
        <v>32.279082397731983</v>
      </c>
      <c r="AB72" s="23">
        <f>EXP(-LN(2)/2)*AB71+(1-EXP(-LN(2)/2))/(LN(2)/2)*V72*Y72*VLOOKUP('Données projet'!$B$9,Paramètres!$A$1:$I$89,3,0)*0.475*44/12</f>
        <v>2.1101084151041905E-4</v>
      </c>
      <c r="AC72" s="24">
        <f t="shared" si="57"/>
        <v>146.20072961674435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2">
        <f t="shared" si="86"/>
        <v>11.525615099344252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70">
        <f t="shared" si="56"/>
        <v>379.97361296469114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1.1368683772161603E-13</v>
      </c>
      <c r="O73" s="14">
        <f>N73*VLOOKUP('Données projet'!$B$9,Paramètres!$A$1:$I$89,3,0)*VLOOKUP('Données projet'!$B$9,Paramètres!$A$1:$I$89,5,0)</f>
        <v>6.7984728957526396E-14</v>
      </c>
      <c r="P73" s="14">
        <f t="shared" si="87"/>
        <v>1.0682447123141398E-12</v>
      </c>
      <c r="Q73" s="22">
        <f t="shared" si="54"/>
        <v>1.978932943548152E-12</v>
      </c>
      <c r="R73" s="62">
        <f t="shared" si="55"/>
        <v>293.3333333333353</v>
      </c>
      <c r="S73" s="62">
        <f ca="1">AVERAGE(OFFSET($R$3,0,0,'Données projet'!$E$9+1,1))-AVERAGE(OFFSET($H$3,0,0,'Données projet'!$E$9+1,1))</f>
        <v>157.19386117397545</v>
      </c>
      <c r="T73" s="62">
        <f t="shared" si="88"/>
        <v>153.10223389615993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111.68750632934363</v>
      </c>
      <c r="AA73" s="23">
        <f>EXP(-LN(2)/25)*AA72+(1-EXP(-LN(2)/25))/(LN(2)/25)*Calculateur!V73*Calculateur!X73*VLOOKUP('Données projet'!$B$9,Paramètres!$A$1:$I$89,3,0)*0.475*44/12</f>
        <v>31.396409192082835</v>
      </c>
      <c r="AB73" s="23">
        <f>EXP(-LN(2)/2)*AB72+(1-EXP(-LN(2)/2))/(LN(2)/2)*V73*Y73*VLOOKUP('Données projet'!$B$9,Paramètres!$A$1:$I$89,3,0)*0.475*44/12</f>
        <v>1.4920719693589714E-4</v>
      </c>
      <c r="AC73" s="24">
        <f t="shared" si="57"/>
        <v>143.08406472862339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2">
        <f t="shared" si="86"/>
        <v>11.670980969085333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70">
        <f t="shared" si="56"/>
        <v>381.17774185449025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1.1368683772161603E-13</v>
      </c>
      <c r="O74" s="14">
        <f>N74*VLOOKUP('Données projet'!$B$9,Paramètres!$A$1:$I$89,3,0)*VLOOKUP('Données projet'!$B$9,Paramètres!$A$1:$I$89,5,0)</f>
        <v>6.7984728957526396E-14</v>
      </c>
      <c r="P74" s="14">
        <f t="shared" si="87"/>
        <v>1.0682447123141398E-12</v>
      </c>
      <c r="Q74" s="22">
        <f t="shared" si="54"/>
        <v>1.978932943548152E-12</v>
      </c>
      <c r="R74" s="62">
        <f t="shared" si="55"/>
        <v>293.3333333333353</v>
      </c>
      <c r="S74" s="62">
        <f ca="1">AVERAGE(OFFSET($R$3,0,0,'Données projet'!$E$9+1,1))-AVERAGE(OFFSET($H$3,0,0,'Données projet'!$E$9+1,1))</f>
        <v>157.19386117397545</v>
      </c>
      <c r="T74" s="62">
        <f t="shared" si="88"/>
        <v>153.10223389615993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109.49738245287752</v>
      </c>
      <c r="AA74" s="23">
        <f>EXP(-LN(2)/25)*AA73+(1-EXP(-LN(2)/25))/(LN(2)/25)*Calculateur!V74*Calculateur!X74*VLOOKUP('Données projet'!$B$9,Paramètres!$A$1:$I$89,3,0)*0.475*44/12</f>
        <v>30.537872731659927</v>
      </c>
      <c r="AB74" s="23">
        <f>EXP(-LN(2)/2)*AB73+(1-EXP(-LN(2)/2))/(LN(2)/2)*V74*Y74*VLOOKUP('Données projet'!$B$9,Paramètres!$A$1:$I$89,3,0)*0.475*44/12</f>
        <v>1.0550542075520952E-4</v>
      </c>
      <c r="AC74" s="24">
        <f t="shared" si="57"/>
        <v>140.0353606899582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2">
        <f t="shared" si="86"/>
        <v>11.816108707618389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70">
        <f t="shared" si="56"/>
        <v>382.38145599910195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1.1368683772161603E-13</v>
      </c>
      <c r="O75" s="14">
        <f>N75*VLOOKUP('Données projet'!$B$9,Paramètres!$A$1:$I$89,3,0)*VLOOKUP('Données projet'!$B$9,Paramètres!$A$1:$I$89,5,0)</f>
        <v>6.7984728957526396E-14</v>
      </c>
      <c r="P75" s="14">
        <f t="shared" si="87"/>
        <v>1.0682447123141398E-12</v>
      </c>
      <c r="Q75" s="22">
        <f t="shared" si="54"/>
        <v>1.978932943548152E-12</v>
      </c>
      <c r="R75" s="62">
        <f t="shared" si="55"/>
        <v>293.3333333333353</v>
      </c>
      <c r="S75" s="62">
        <f ca="1">AVERAGE(OFFSET($R$3,0,0,'Données projet'!$E$9+1,1))-AVERAGE(OFFSET($H$3,0,0,'Données projet'!$E$9+1,1))</f>
        <v>157.19386117397545</v>
      </c>
      <c r="T75" s="62">
        <f t="shared" si="88"/>
        <v>153.10223389615993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107.35020556978523</v>
      </c>
      <c r="AA75" s="23">
        <f>EXP(-LN(2)/25)*AA74+(1-EXP(-LN(2)/25))/(LN(2)/25)*Calculateur!V75*Calculateur!X75*VLOOKUP('Données projet'!$B$9,Paramètres!$A$1:$I$89,3,0)*0.475*44/12</f>
        <v>29.702812995895755</v>
      </c>
      <c r="AB75" s="23">
        <f>EXP(-LN(2)/2)*AB74+(1-EXP(-LN(2)/2))/(LN(2)/2)*V75*Y75*VLOOKUP('Données projet'!$B$9,Paramètres!$A$1:$I$89,3,0)*0.475*44/12</f>
        <v>7.4603598467948569E-5</v>
      </c>
      <c r="AC75" s="24">
        <f t="shared" si="57"/>
        <v>137.05309316927946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2">
        <f t="shared" si="86"/>
        <v>11.961002004555786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70">
        <f t="shared" si="56"/>
        <v>383.58476182460123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1.1368683772161603E-13</v>
      </c>
      <c r="O76" s="14">
        <f>N76*VLOOKUP('Données projet'!$B$9,Paramètres!$A$1:$I$89,3,0)*VLOOKUP('Données projet'!$B$9,Paramètres!$A$1:$I$89,5,0)</f>
        <v>6.7984728957526396E-14</v>
      </c>
      <c r="P76" s="14">
        <f t="shared" si="87"/>
        <v>1.0682447123141398E-12</v>
      </c>
      <c r="Q76" s="22">
        <f t="shared" si="54"/>
        <v>1.978932943548152E-12</v>
      </c>
      <c r="R76" s="62">
        <f t="shared" si="55"/>
        <v>293.3333333333353</v>
      </c>
      <c r="S76" s="62">
        <f ca="1">AVERAGE(OFFSET($R$3,0,0,'Données projet'!$E$9+1,1))-AVERAGE(OFFSET($H$3,0,0,'Données projet'!$E$9+1,1))</f>
        <v>157.19386117397545</v>
      </c>
      <c r="T76" s="62">
        <f t="shared" si="88"/>
        <v>153.10223389615993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105.2451335157218</v>
      </c>
      <c r="AA76" s="23">
        <f>EXP(-LN(2)/25)*AA75+(1-EXP(-LN(2)/25))/(LN(2)/25)*Calculateur!V76*Calculateur!X76*VLOOKUP('Données projet'!$B$9,Paramètres!$A$1:$I$89,3,0)*0.475*44/12</f>
        <v>28.890588012519938</v>
      </c>
      <c r="AB76" s="23">
        <f>EXP(-LN(2)/2)*AB75+(1-EXP(-LN(2)/2))/(LN(2)/2)*V76*Y76*VLOOKUP('Données projet'!$B$9,Paramètres!$A$1:$I$89,3,0)*0.475*44/12</f>
        <v>5.2752710377604762E-5</v>
      </c>
      <c r="AC76" s="24">
        <f t="shared" si="57"/>
        <v>134.13577428095212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2">
        <f t="shared" si="86"/>
        <v>12.105664442616701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70">
        <f t="shared" si="56"/>
        <v>384.78766557089068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1.1368683772161603E-13</v>
      </c>
      <c r="O77" s="14">
        <f>N77*VLOOKUP('Données projet'!$B$9,Paramètres!$A$1:$I$89,3,0)*VLOOKUP('Données projet'!$B$9,Paramètres!$A$1:$I$89,5,0)</f>
        <v>6.7984728957526396E-14</v>
      </c>
      <c r="P77" s="14">
        <f t="shared" si="87"/>
        <v>1.0682447123141398E-12</v>
      </c>
      <c r="Q77" s="22">
        <f t="shared" si="54"/>
        <v>1.978932943548152E-12</v>
      </c>
      <c r="R77" s="62">
        <f t="shared" si="55"/>
        <v>293.3333333333353</v>
      </c>
      <c r="S77" s="62">
        <f ca="1">AVERAGE(OFFSET($R$3,0,0,'Données projet'!$E$9+1,1))-AVERAGE(OFFSET($H$3,0,0,'Données projet'!$E$9+1,1))</f>
        <v>157.19386117397545</v>
      </c>
      <c r="T77" s="62">
        <f t="shared" si="88"/>
        <v>153.10223389615993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103.18134064067139</v>
      </c>
      <c r="AA77" s="23">
        <f>EXP(-LN(2)/25)*AA76+(1-EXP(-LN(2)/25))/(LN(2)/25)*Calculateur!V77*Calculateur!X77*VLOOKUP('Données projet'!$B$9,Paramètres!$A$1:$I$89,3,0)*0.475*44/12</f>
        <v>28.100573364027586</v>
      </c>
      <c r="AB77" s="23">
        <f>EXP(-LN(2)/2)*AB76+(1-EXP(-LN(2)/2))/(LN(2)/2)*V77*Y77*VLOOKUP('Données projet'!$B$9,Paramètres!$A$1:$I$89,3,0)*0.475*44/12</f>
        <v>3.7301799233974285E-5</v>
      </c>
      <c r="AC77" s="24">
        <f t="shared" si="57"/>
        <v>131.28195130649823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2">
        <f t="shared" si="86"/>
        <v>12.250099502125838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70">
        <f t="shared" si="56"/>
        <v>385.99017329953574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1.1368683772161603E-13</v>
      </c>
      <c r="O78" s="14">
        <f>N78*VLOOKUP('Données projet'!$B$9,Paramètres!$A$1:$I$89,3,0)*VLOOKUP('Données projet'!$B$9,Paramètres!$A$1:$I$89,5,0)</f>
        <v>6.7984728957526396E-14</v>
      </c>
      <c r="P78" s="14">
        <f t="shared" si="87"/>
        <v>1.0682447123141398E-12</v>
      </c>
      <c r="Q78" s="22">
        <f t="shared" si="54"/>
        <v>1.978932943548152E-12</v>
      </c>
      <c r="R78" s="62">
        <f t="shared" si="55"/>
        <v>293.3333333333353</v>
      </c>
      <c r="S78" s="62">
        <f ca="1">AVERAGE(OFFSET($R$3,0,0,'Données projet'!$E$9+1,1))-AVERAGE(OFFSET($H$3,0,0,'Données projet'!$E$9+1,1))</f>
        <v>157.19386117397545</v>
      </c>
      <c r="T78" s="62">
        <f t="shared" si="88"/>
        <v>153.10223389615993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101.15801748511136</v>
      </c>
      <c r="AA78" s="23">
        <f>EXP(-LN(2)/25)*AA77+(1-EXP(-LN(2)/25))/(LN(2)/25)*Calculateur!V78*Calculateur!X78*VLOOKUP('Données projet'!$B$9,Paramètres!$A$1:$I$89,3,0)*0.475*44/12</f>
        <v>27.332161707643323</v>
      </c>
      <c r="AB78" s="23">
        <f>EXP(-LN(2)/2)*AB77+(1-EXP(-LN(2)/2))/(LN(2)/2)*V78*Y78*VLOOKUP('Données projet'!$B$9,Paramètres!$A$1:$I$89,3,0)*0.475*44/12</f>
        <v>2.6376355188802381E-5</v>
      </c>
      <c r="AC78" s="24">
        <f t="shared" si="57"/>
        <v>128.49020556910986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2">
        <f t="shared" si="86"/>
        <v>12.394310565265254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70">
        <f t="shared" si="56"/>
        <v>387.19229090117022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1.1368683772161603E-13</v>
      </c>
      <c r="O79" s="14">
        <f>N79*VLOOKUP('Données projet'!$B$9,Paramètres!$A$1:$I$89,3,0)*VLOOKUP('Données projet'!$B$9,Paramètres!$A$1:$I$89,5,0)</f>
        <v>6.7984728957526396E-14</v>
      </c>
      <c r="P79" s="14">
        <f t="shared" si="87"/>
        <v>1.0682447123141398E-12</v>
      </c>
      <c r="Q79" s="22">
        <f t="shared" si="54"/>
        <v>1.978932943548152E-12</v>
      </c>
      <c r="R79" s="62">
        <f t="shared" si="55"/>
        <v>293.3333333333353</v>
      </c>
      <c r="S79" s="62">
        <f ca="1">AVERAGE(OFFSET($R$3,0,0,'Données projet'!$E$9+1,1))-AVERAGE(OFFSET($H$3,0,0,'Données projet'!$E$9+1,1))</f>
        <v>157.19386117397545</v>
      </c>
      <c r="T79" s="62">
        <f t="shared" si="88"/>
        <v>153.10223389615993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99.174370462526596</v>
      </c>
      <c r="AA79" s="23">
        <f>EXP(-LN(2)/25)*AA78+(1-EXP(-LN(2)/25))/(LN(2)/25)*Calculateur!V79*Calculateur!X79*VLOOKUP('Données projet'!$B$9,Paramètres!$A$1:$I$89,3,0)*0.475*44/12</f>
        <v>26.5847623084119</v>
      </c>
      <c r="AB79" s="23">
        <f>EXP(-LN(2)/2)*AB78+(1-EXP(-LN(2)/2))/(LN(2)/2)*V79*Y79*VLOOKUP('Données projet'!$B$9,Paramètres!$A$1:$I$89,3,0)*0.475*44/12</f>
        <v>1.8650899616987142E-5</v>
      </c>
      <c r="AC79" s="24">
        <f t="shared" si="57"/>
        <v>125.75915142183811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2">
        <f t="shared" si="86"/>
        <v>12.538300920096166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70">
        <f t="shared" si="56"/>
        <v>388.39402410250074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1.1368683772161603E-13</v>
      </c>
      <c r="O80" s="14">
        <f>N80*VLOOKUP('Données projet'!$B$9,Paramètres!$A$1:$I$89,3,0)*VLOOKUP('Données projet'!$B$9,Paramètres!$A$1:$I$89,5,0)</f>
        <v>6.7984728957526396E-14</v>
      </c>
      <c r="P80" s="14">
        <f t="shared" si="87"/>
        <v>1.0682447123141398E-12</v>
      </c>
      <c r="Q80" s="22">
        <f t="shared" si="54"/>
        <v>1.978932943548152E-12</v>
      </c>
      <c r="R80" s="62">
        <f t="shared" si="55"/>
        <v>293.3333333333353</v>
      </c>
      <c r="S80" s="62">
        <f ca="1">AVERAGE(OFFSET($R$3,0,0,'Données projet'!$E$9+1,1))-AVERAGE(OFFSET($H$3,0,0,'Données projet'!$E$9+1,1))</f>
        <v>157.19386117397545</v>
      </c>
      <c r="T80" s="62">
        <f t="shared" si="88"/>
        <v>153.10223389615993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97.229621548149495</v>
      </c>
      <c r="AA80" s="23">
        <f>EXP(-LN(2)/25)*AA79+(1-EXP(-LN(2)/25))/(LN(2)/25)*Calculateur!V80*Calculateur!X80*VLOOKUP('Données projet'!$B$9,Paramètres!$A$1:$I$89,3,0)*0.475*44/12</f>
        <v>25.857800585056488</v>
      </c>
      <c r="AB80" s="23">
        <f>EXP(-LN(2)/2)*AB79+(1-EXP(-LN(2)/2))/(LN(2)/2)*V80*Y80*VLOOKUP('Données projet'!$B$9,Paramètres!$A$1:$I$89,3,0)*0.475*44/12</f>
        <v>1.318817759440119E-5</v>
      </c>
      <c r="AC80" s="24">
        <f t="shared" si="57"/>
        <v>123.08743532138358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2">
        <f t="shared" si="86"/>
        <v>12.682073764365757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70">
        <f t="shared" si="56"/>
        <v>389.59537847293694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1.1368683772161603E-13</v>
      </c>
      <c r="O81" s="14">
        <f>N81*VLOOKUP('Données projet'!$B$9,Paramètres!$A$1:$I$89,3,0)*VLOOKUP('Données projet'!$B$9,Paramètres!$A$1:$I$89,5,0)</f>
        <v>6.7984728957526396E-14</v>
      </c>
      <c r="P81" s="14">
        <f t="shared" si="87"/>
        <v>1.0682447123141398E-12</v>
      </c>
      <c r="Q81" s="22">
        <f t="shared" si="54"/>
        <v>1.978932943548152E-12</v>
      </c>
      <c r="R81" s="62">
        <f t="shared" si="55"/>
        <v>293.3333333333353</v>
      </c>
      <c r="S81" s="62">
        <f ca="1">AVERAGE(OFFSET($R$3,0,0,'Données projet'!$E$9+1,1))-AVERAGE(OFFSET($H$3,0,0,'Données projet'!$E$9+1,1))</f>
        <v>157.19386117397545</v>
      </c>
      <c r="T81" s="62">
        <f t="shared" si="88"/>
        <v>153.10223389615993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95.323007973803627</v>
      </c>
      <c r="AA81" s="23">
        <f>EXP(-LN(2)/25)*AA80+(1-EXP(-LN(2)/25))/(LN(2)/25)*Calculateur!V81*Calculateur!X81*VLOOKUP('Données projet'!$B$9,Paramètres!$A$1:$I$89,3,0)*0.475*44/12</f>
        <v>25.150717668255485</v>
      </c>
      <c r="AB81" s="23">
        <f>EXP(-LN(2)/2)*AB80+(1-EXP(-LN(2)/2))/(LN(2)/2)*V81*Y81*VLOOKUP('Données projet'!$B$9,Paramètres!$A$1:$I$89,3,0)*0.475*44/12</f>
        <v>9.3254498084935711E-6</v>
      </c>
      <c r="AC81" s="24">
        <f t="shared" si="57"/>
        <v>120.47373496750892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2">
        <f t="shared" si="86"/>
        <v>12.82563220911333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70">
        <f t="shared" si="56"/>
        <v>390.79635943087231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1.1368683772161603E-13</v>
      </c>
      <c r="O82" s="14">
        <f>N82*VLOOKUP('Données projet'!$B$9,Paramètres!$A$1:$I$89,3,0)*VLOOKUP('Données projet'!$B$9,Paramètres!$A$1:$I$89,5,0)</f>
        <v>6.7984728957526396E-14</v>
      </c>
      <c r="P82" s="14">
        <f t="shared" si="87"/>
        <v>1.0682447123141398E-12</v>
      </c>
      <c r="Q82" s="22">
        <f t="shared" si="54"/>
        <v>1.978932943548152E-12</v>
      </c>
      <c r="R82" s="62">
        <f t="shared" si="55"/>
        <v>293.3333333333353</v>
      </c>
      <c r="S82" s="62">
        <f ca="1">AVERAGE(OFFSET($R$3,0,0,'Données projet'!$E$9+1,1))-AVERAGE(OFFSET($H$3,0,0,'Données projet'!$E$9+1,1))</f>
        <v>157.19386117397545</v>
      </c>
      <c r="T82" s="62">
        <f t="shared" si="88"/>
        <v>153.10223389615993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93.453781928731232</v>
      </c>
      <c r="AA82" s="23">
        <f>EXP(-LN(2)/25)*AA81+(1-EXP(-LN(2)/25))/(LN(2)/25)*Calculateur!V82*Calculateur!X82*VLOOKUP('Données projet'!$B$9,Paramètres!$A$1:$I$89,3,0)*0.475*44/12</f>
        <v>24.46296997099828</v>
      </c>
      <c r="AB82" s="23">
        <f>EXP(-LN(2)/2)*AB81+(1-EXP(-LN(2)/2))/(LN(2)/2)*V82*Y82*VLOOKUP('Données projet'!$B$9,Paramètres!$A$1:$I$89,3,0)*0.475*44/12</f>
        <v>6.5940887972005952E-6</v>
      </c>
      <c r="AC82" s="24">
        <f t="shared" si="57"/>
        <v>117.91675849381832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2">
        <f t="shared" si="86"/>
        <v>12.968979282088567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70">
        <f t="shared" si="56"/>
        <v>391.99697224963751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1.1368683772161603E-13</v>
      </c>
      <c r="O83" s="14">
        <f>N83*VLOOKUP('Données projet'!$B$9,Paramètres!$A$1:$I$89,3,0)*VLOOKUP('Données projet'!$B$9,Paramètres!$A$1:$I$89,5,0)</f>
        <v>6.7984728957526396E-14</v>
      </c>
      <c r="P83" s="14">
        <f t="shared" si="87"/>
        <v>1.0682447123141398E-12</v>
      </c>
      <c r="Q83" s="22">
        <f t="shared" si="54"/>
        <v>1.978932943548152E-12</v>
      </c>
      <c r="R83" s="62">
        <f t="shared" si="55"/>
        <v>293.3333333333353</v>
      </c>
      <c r="S83" s="62">
        <f ca="1">AVERAGE(OFFSET($R$3,0,0,'Données projet'!$E$9+1,1))-AVERAGE(OFFSET($H$3,0,0,'Données projet'!$E$9+1,1))</f>
        <v>157.19386117397545</v>
      </c>
      <c r="T83" s="62">
        <f t="shared" si="88"/>
        <v>153.10223389615993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91.621210266287392</v>
      </c>
      <c r="AA83" s="23">
        <f>EXP(-LN(2)/25)*AA82+(1-EXP(-LN(2)/25))/(LN(2)/25)*Calculateur!V83*Calculateur!X83*VLOOKUP('Données projet'!$B$9,Paramètres!$A$1:$I$89,3,0)*0.475*44/12</f>
        <v>23.794028770689653</v>
      </c>
      <c r="AB83" s="23">
        <f>EXP(-LN(2)/2)*AB82+(1-EXP(-LN(2)/2))/(LN(2)/2)*V83*Y83*VLOOKUP('Données projet'!$B$9,Paramètres!$A$1:$I$89,3,0)*0.475*44/12</f>
        <v>4.6627249042467856E-6</v>
      </c>
      <c r="AC83" s="24">
        <f t="shared" si="57"/>
        <v>115.41524369970195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2">
        <f t="shared" si="86"/>
        <v>13.112117930994097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70">
        <f t="shared" si="56"/>
        <v>393.19722206314799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6.7984728957526396E-14</v>
      </c>
      <c r="P84" s="14">
        <f t="shared" si="87"/>
        <v>1.0682447123141398E-12</v>
      </c>
      <c r="Q84" s="22">
        <f t="shared" si="54"/>
        <v>1.978932943548152E-12</v>
      </c>
      <c r="R84" s="62">
        <f t="shared" si="55"/>
        <v>293.3333333333353</v>
      </c>
      <c r="S84" s="62">
        <f ca="1">AVERAGE(OFFSET($R$3,0,0,'Données projet'!$E$9+1,1))-AVERAGE(OFFSET($H$3,0,0,'Données projet'!$E$9+1,1))</f>
        <v>157.19386117397545</v>
      </c>
      <c r="T84" s="62">
        <f t="shared" si="88"/>
        <v>153.10223389615993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89.824574216385727</v>
      </c>
      <c r="AA84" s="23">
        <f>EXP(-LN(2)/25)*AA83+(1-EXP(-LN(2)/25))/(LN(2)/25)*Calculateur!V84*Calculateur!X84*VLOOKUP('Données projet'!$B$9,Paramètres!$A$1:$I$89,3,0)*0.475*44/12</f>
        <v>23.143379802681554</v>
      </c>
      <c r="AB84" s="23">
        <f>EXP(-LN(2)/2)*AB83+(1-EXP(-LN(2)/2))/(LN(2)/2)*V84*Y84*VLOOKUP('Données projet'!$B$9,Paramètres!$A$1:$I$89,3,0)*0.475*44/12</f>
        <v>3.2970443986002976E-6</v>
      </c>
      <c r="AC84" s="24">
        <f t="shared" si="57"/>
        <v>112.96795731611168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2">
        <f t="shared" si="86"/>
        <v>13.255051026563269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70">
        <f t="shared" si="56"/>
        <v>394.39711387126425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6.7984728957526396E-14</v>
      </c>
      <c r="P85" s="14">
        <f t="shared" si="87"/>
        <v>1.0682447123141398E-12</v>
      </c>
      <c r="Q85" s="22">
        <f t="shared" si="54"/>
        <v>1.978932943548152E-12</v>
      </c>
      <c r="R85" s="62">
        <f t="shared" si="55"/>
        <v>293.3333333333353</v>
      </c>
      <c r="S85" s="62">
        <f ca="1">AVERAGE(OFFSET($R$3,0,0,'Données projet'!$E$9+1,1))-AVERAGE(OFFSET($H$3,0,0,'Données projet'!$E$9+1,1))</f>
        <v>157.19386117397545</v>
      </c>
      <c r="T85" s="62">
        <f t="shared" si="88"/>
        <v>153.10223389615993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88.063169103582851</v>
      </c>
      <c r="AA85" s="23">
        <f>EXP(-LN(2)/25)*AA84+(1-EXP(-LN(2)/25))/(LN(2)/25)*Calculateur!V85*Calculateur!X85*VLOOKUP('Données projet'!$B$9,Paramètres!$A$1:$I$89,3,0)*0.475*44/12</f>
        <v>22.510522864919778</v>
      </c>
      <c r="AB85" s="23">
        <f>EXP(-LN(2)/2)*AB84+(1-EXP(-LN(2)/2))/(LN(2)/2)*V85*Y85*VLOOKUP('Données projet'!$B$9,Paramètres!$A$1:$I$89,3,0)*0.475*44/12</f>
        <v>2.3313624521233928E-6</v>
      </c>
      <c r="AC85" s="24">
        <f t="shared" si="57"/>
        <v>110.57369429986508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2">
        <f t="shared" si="86"/>
        <v>13.397781365483624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70">
        <f t="shared" si="56"/>
        <v>395.59665254488391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6.7984728957526396E-14</v>
      </c>
      <c r="P86" s="14">
        <f t="shared" si="87"/>
        <v>1.0682447123141398E-12</v>
      </c>
      <c r="Q86" s="22">
        <f t="shared" si="54"/>
        <v>1.978932943548152E-12</v>
      </c>
      <c r="R86" s="62">
        <f t="shared" si="55"/>
        <v>293.3333333333353</v>
      </c>
      <c r="S86" s="62">
        <f ca="1">AVERAGE(OFFSET($R$3,0,0,'Données projet'!$E$9+1,1))-AVERAGE(OFFSET($H$3,0,0,'Données projet'!$E$9+1,1))</f>
        <v>157.19386117397545</v>
      </c>
      <c r="T86" s="62">
        <f t="shared" si="88"/>
        <v>153.10223389615993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86.336304070691</v>
      </c>
      <c r="AA86" s="23">
        <f>EXP(-LN(2)/25)*AA85+(1-EXP(-LN(2)/25))/(LN(2)/25)*Calculateur!V86*Calculateur!X86*VLOOKUP('Données projet'!$B$9,Paramètres!$A$1:$I$89,3,0)*0.475*44/12</f>
        <v>21.894971433401597</v>
      </c>
      <c r="AB86" s="23">
        <f>EXP(-LN(2)/2)*AB85+(1-EXP(-LN(2)/2))/(LN(2)/2)*V86*Y86*VLOOKUP('Données projet'!$B$9,Paramètres!$A$1:$I$89,3,0)*0.475*44/12</f>
        <v>1.6485221993001488E-6</v>
      </c>
      <c r="AC86" s="24">
        <f t="shared" si="57"/>
        <v>108.23127715261479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2">
        <f t="shared" si="86"/>
        <v>13.540311673175388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70">
        <f t="shared" si="56"/>
        <v>396.79584283078037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6.7984728957526396E-14</v>
      </c>
      <c r="P87" s="14">
        <f t="shared" si="87"/>
        <v>1.0682447123141398E-12</v>
      </c>
      <c r="Q87" s="22">
        <f t="shared" si="54"/>
        <v>1.978932943548152E-12</v>
      </c>
      <c r="R87" s="62">
        <f t="shared" si="55"/>
        <v>293.3333333333353</v>
      </c>
      <c r="S87" s="62">
        <f ca="1">AVERAGE(OFFSET($R$3,0,0,'Données projet'!$E$9+1,1))-AVERAGE(OFFSET($H$3,0,0,'Données projet'!$E$9+1,1))</f>
        <v>157.19386117397545</v>
      </c>
      <c r="T87" s="62">
        <f t="shared" si="88"/>
        <v>153.10223389615993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84.643301807810488</v>
      </c>
      <c r="AA87" s="23">
        <f>EXP(-LN(2)/25)*AA86+(1-EXP(-LN(2)/25))/(LN(2)/25)*Calculateur!V87*Calculateur!X87*VLOOKUP('Données projet'!$B$9,Paramètres!$A$1:$I$89,3,0)*0.475*44/12</f>
        <v>21.296252288148725</v>
      </c>
      <c r="AB87" s="23">
        <f>EXP(-LN(2)/2)*AB86+(1-EXP(-LN(2)/2))/(LN(2)/2)*V87*Y87*VLOOKUP('Données projet'!$B$9,Paramètres!$A$1:$I$89,3,0)*0.475*44/12</f>
        <v>1.1656812260616964E-6</v>
      </c>
      <c r="AC87" s="24">
        <f t="shared" si="57"/>
        <v>105.93955526164044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2">
        <f t="shared" si="86"/>
        <v>13.68264460643392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70">
        <f t="shared" si="56"/>
        <v>397.99468935620564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6.7984728957526396E-14</v>
      </c>
      <c r="P88" s="14">
        <f t="shared" si="87"/>
        <v>1.0682447123141398E-12</v>
      </c>
      <c r="Q88" s="22">
        <f t="shared" si="54"/>
        <v>1.978932943548152E-12</v>
      </c>
      <c r="R88" s="62">
        <f t="shared" si="55"/>
        <v>293.3333333333353</v>
      </c>
      <c r="S88" s="62">
        <f ca="1">AVERAGE(OFFSET($R$3,0,0,'Données projet'!$E$9+1,1))-AVERAGE(OFFSET($H$3,0,0,'Données projet'!$E$9+1,1))</f>
        <v>157.19386117397545</v>
      </c>
      <c r="T88" s="62">
        <f t="shared" si="88"/>
        <v>153.10223389615993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82.983498286675655</v>
      </c>
      <c r="AA88" s="23">
        <f>EXP(-LN(2)/25)*AA87+(1-EXP(-LN(2)/25))/(LN(2)/25)*Calculateur!V88*Calculateur!X88*VLOOKUP('Données projet'!$B$9,Paramètres!$A$1:$I$89,3,0)*0.475*44/12</f>
        <v>20.713905149408063</v>
      </c>
      <c r="AB88" s="23">
        <f>EXP(-LN(2)/2)*AB87+(1-EXP(-LN(2)/2))/(LN(2)/2)*V88*Y88*VLOOKUP('Données projet'!$B$9,Paramètres!$A$1:$I$89,3,0)*0.475*44/12</f>
        <v>8.242610996500744E-7</v>
      </c>
      <c r="AC88" s="24">
        <f t="shared" si="57"/>
        <v>103.69740426034481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2">
        <f t="shared" si="86"/>
        <v>13.824782755944199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70">
        <f t="shared" si="56"/>
        <v>399.19319663326939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6.7984728957526396E-14</v>
      </c>
      <c r="P89" s="14">
        <f t="shared" si="87"/>
        <v>1.0682447123141398E-12</v>
      </c>
      <c r="Q89" s="22">
        <f t="shared" si="54"/>
        <v>1.978932943548152E-12</v>
      </c>
      <c r="R89" s="62">
        <f t="shared" si="55"/>
        <v>293.3333333333353</v>
      </c>
      <c r="S89" s="62">
        <f ca="1">AVERAGE(OFFSET($R$3,0,0,'Données projet'!$E$9+1,1))-AVERAGE(OFFSET($H$3,0,0,'Données projet'!$E$9+1,1))</f>
        <v>157.19386117397545</v>
      </c>
      <c r="T89" s="62">
        <f t="shared" si="88"/>
        <v>153.10223389615993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81.356242500210087</v>
      </c>
      <c r="AA89" s="23">
        <f>EXP(-LN(2)/25)*AA88+(1-EXP(-LN(2)/25))/(LN(2)/25)*Calculateur!V89*Calculateur!X89*VLOOKUP('Données projet'!$B$9,Paramètres!$A$1:$I$89,3,0)*0.475*44/12</f>
        <v>20.14748232380057</v>
      </c>
      <c r="AB89" s="23">
        <f>EXP(-LN(2)/2)*AB88+(1-EXP(-LN(2)/2))/(LN(2)/2)*V89*Y89*VLOOKUP('Données projet'!$B$9,Paramètres!$A$1:$I$89,3,0)*0.475*44/12</f>
        <v>5.828406130308482E-7</v>
      </c>
      <c r="AC89" s="24">
        <f t="shared" si="57"/>
        <v>101.50372540685127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2">
        <f t="shared" si="86"/>
        <v>13.966728648675151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70">
        <f t="shared" si="56"/>
        <v>400.39136906310915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6.7984728957526396E-14</v>
      </c>
      <c r="P90" s="14">
        <f t="shared" si="87"/>
        <v>1.0682447123141398E-12</v>
      </c>
      <c r="Q90" s="22">
        <f t="shared" si="54"/>
        <v>1.978932943548152E-12</v>
      </c>
      <c r="R90" s="62">
        <f t="shared" si="55"/>
        <v>293.3333333333353</v>
      </c>
      <c r="S90" s="62">
        <f ca="1">AVERAGE(OFFSET($R$3,0,0,'Données projet'!$E$9+1,1))-AVERAGE(OFFSET($H$3,0,0,'Données projet'!$E$9+1,1))</f>
        <v>157.19386117397545</v>
      </c>
      <c r="T90" s="62">
        <f t="shared" si="88"/>
        <v>153.10223389615993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79.760896207189091</v>
      </c>
      <c r="AA90" s="23">
        <f>EXP(-LN(2)/25)*AA89+(1-EXP(-LN(2)/25))/(LN(2)/25)*Calculateur!V90*Calculateur!X90*VLOOKUP('Données projet'!$B$9,Paramètres!$A$1:$I$89,3,0)*0.475*44/12</f>
        <v>19.596548360146198</v>
      </c>
      <c r="AB90" s="23">
        <f>EXP(-LN(2)/2)*AB89+(1-EXP(-LN(2)/2))/(LN(2)/2)*V90*Y90*VLOOKUP('Données projet'!$B$9,Paramètres!$A$1:$I$89,3,0)*0.475*44/12</f>
        <v>4.121305498250372E-7</v>
      </c>
      <c r="AC90" s="24">
        <f t="shared" si="57"/>
        <v>99.357444979465839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2">
        <f t="shared" si="86"/>
        <v>14.10848475016061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70">
        <f t="shared" si="56"/>
        <v>401.58921093986299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6.7984728957526396E-14</v>
      </c>
      <c r="P91" s="14">
        <f t="shared" si="87"/>
        <v>1.0682447123141398E-12</v>
      </c>
      <c r="Q91" s="22">
        <f t="shared" si="54"/>
        <v>1.978932943548152E-12</v>
      </c>
      <c r="R91" s="62">
        <f t="shared" si="55"/>
        <v>293.3333333333353</v>
      </c>
      <c r="S91" s="62">
        <f ca="1">AVERAGE(OFFSET($R$3,0,0,'Données projet'!$E$9+1,1))-AVERAGE(OFFSET($H$3,0,0,'Données projet'!$E$9+1,1))</f>
        <v>157.19386117397545</v>
      </c>
      <c r="T91" s="62">
        <f t="shared" si="88"/>
        <v>153.10223389615993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78.196833681909069</v>
      </c>
      <c r="AA91" s="23">
        <f>EXP(-LN(2)/25)*AA90+(1-EXP(-LN(2)/25))/(LN(2)/25)*Calculateur!V91*Calculateur!X91*VLOOKUP('Données projet'!$B$9,Paramètres!$A$1:$I$89,3,0)*0.475*44/12</f>
        <v>19.06067971470031</v>
      </c>
      <c r="AB91" s="23">
        <f>EXP(-LN(2)/2)*AB90+(1-EXP(-LN(2)/2))/(LN(2)/2)*V91*Y91*VLOOKUP('Données projet'!$B$9,Paramètres!$A$1:$I$89,3,0)*0.475*44/12</f>
        <v>2.914203065154241E-7</v>
      </c>
      <c r="AC91" s="24">
        <f t="shared" si="57"/>
        <v>97.25751368802969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2">
        <f t="shared" si="86"/>
        <v>14.250053466673728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70">
        <f t="shared" si="56"/>
        <v>402.78672645445664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6.7984728957526396E-14</v>
      </c>
      <c r="P92" s="14">
        <f t="shared" si="87"/>
        <v>1.0682447123141398E-12</v>
      </c>
      <c r="Q92" s="22">
        <f t="shared" si="54"/>
        <v>1.978932943548152E-12</v>
      </c>
      <c r="R92" s="62">
        <f t="shared" si="55"/>
        <v>293.3333333333353</v>
      </c>
      <c r="S92" s="62">
        <f ca="1">AVERAGE(OFFSET($R$3,0,0,'Données projet'!$E$9+1,1))-AVERAGE(OFFSET($H$3,0,0,'Données projet'!$E$9+1,1))</f>
        <v>157.19386117397545</v>
      </c>
      <c r="T92" s="62">
        <f t="shared" si="88"/>
        <v>153.10223389615993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76.663441468765853</v>
      </c>
      <c r="AA92" s="23">
        <f>EXP(-LN(2)/25)*AA91+(1-EXP(-LN(2)/25))/(LN(2)/25)*Calculateur!V92*Calculateur!X92*VLOOKUP('Données projet'!$B$9,Paramètres!$A$1:$I$89,3,0)*0.475*44/12</f>
        <v>18.539464425544249</v>
      </c>
      <c r="AB92" s="23">
        <f>EXP(-LN(2)/2)*AB91+(1-EXP(-LN(2)/2))/(LN(2)/2)*V92*Y92*VLOOKUP('Données projet'!$B$9,Paramètres!$A$1:$I$89,3,0)*0.475*44/12</f>
        <v>2.060652749125186E-7</v>
      </c>
      <c r="AC92" s="24">
        <f t="shared" si="57"/>
        <v>95.202906100375387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2">
        <f t="shared" si="86"/>
        <v>14.391437147300854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70">
        <f t="shared" si="56"/>
        <v>403.98391969821557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6.7984728957526396E-14</v>
      </c>
      <c r="P93" s="14">
        <f t="shared" si="87"/>
        <v>1.0682447123141398E-12</v>
      </c>
      <c r="Q93" s="22">
        <f t="shared" si="54"/>
        <v>1.978932943548152E-12</v>
      </c>
      <c r="R93" s="62">
        <f t="shared" si="55"/>
        <v>293.3333333333353</v>
      </c>
      <c r="S93" s="62">
        <f ca="1">AVERAGE(OFFSET($R$3,0,0,'Données projet'!$E$9+1,1))-AVERAGE(OFFSET($H$3,0,0,'Données projet'!$E$9+1,1))</f>
        <v>157.19386117397545</v>
      </c>
      <c r="T93" s="62">
        <f t="shared" si="88"/>
        <v>153.10223389615993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75.160118141645469</v>
      </c>
      <c r="AA93" s="23">
        <f>EXP(-LN(2)/25)*AA92+(1-EXP(-LN(2)/25))/(LN(2)/25)*Calculateur!V93*Calculateur!X93*VLOOKUP('Données projet'!$B$9,Paramètres!$A$1:$I$89,3,0)*0.475*44/12</f>
        <v>18.032501795879678</v>
      </c>
      <c r="AB93" s="23">
        <f>EXP(-LN(2)/2)*AB92+(1-EXP(-LN(2)/2))/(LN(2)/2)*V93*Y93*VLOOKUP('Données projet'!$B$9,Paramètres!$A$1:$I$89,3,0)*0.475*44/12</f>
        <v>1.4571015325771205E-7</v>
      </c>
      <c r="AC93" s="24">
        <f t="shared" si="57"/>
        <v>93.192620083235298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2">
        <f t="shared" si="86"/>
        <v>14.532638085920599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70">
        <f t="shared" si="56"/>
        <v>405.18079466631161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6.7984728957526396E-14</v>
      </c>
      <c r="P94" s="14">
        <f t="shared" si="87"/>
        <v>1.0682447123141398E-12</v>
      </c>
      <c r="Q94" s="22">
        <f t="shared" si="54"/>
        <v>1.978932943548152E-12</v>
      </c>
      <c r="R94" s="62">
        <f t="shared" si="55"/>
        <v>293.3333333333353</v>
      </c>
      <c r="S94" s="62">
        <f ca="1">AVERAGE(OFFSET($R$3,0,0,'Données projet'!$E$9+1,1))-AVERAGE(OFFSET($H$3,0,0,'Données projet'!$E$9+1,1))</f>
        <v>157.19386117397545</v>
      </c>
      <c r="T94" s="62">
        <f t="shared" si="88"/>
        <v>153.10223389615993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73.686274068033228</v>
      </c>
      <c r="AA94" s="23">
        <f>EXP(-LN(2)/25)*AA93+(1-EXP(-LN(2)/25))/(LN(2)/25)*Calculateur!V94*Calculateur!X94*VLOOKUP('Données projet'!$B$9,Paramètres!$A$1:$I$89,3,0)*0.475*44/12</f>
        <v>17.539402085983294</v>
      </c>
      <c r="AB94" s="23">
        <f>EXP(-LN(2)/2)*AB93+(1-EXP(-LN(2)/2))/(LN(2)/2)*V94*Y94*VLOOKUP('Données projet'!$B$9,Paramètres!$A$1:$I$89,3,0)*0.475*44/12</f>
        <v>1.030326374562593E-7</v>
      </c>
      <c r="AC94" s="24">
        <f t="shared" si="57"/>
        <v>91.225676257049159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2">
        <f t="shared" si="86"/>
        <v>14.673658523093403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70">
        <f t="shared" si="56"/>
        <v>406.37735526105428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6.7984728957526396E-14</v>
      </c>
      <c r="P95" s="14">
        <f t="shared" si="87"/>
        <v>1.0682447123141398E-12</v>
      </c>
      <c r="Q95" s="22">
        <f t="shared" si="54"/>
        <v>1.978932943548152E-12</v>
      </c>
      <c r="R95" s="62">
        <f t="shared" si="55"/>
        <v>293.3333333333353</v>
      </c>
      <c r="S95" s="62">
        <f ca="1">AVERAGE(OFFSET($R$3,0,0,'Données projet'!$E$9+1,1))-AVERAGE(OFFSET($H$3,0,0,'Données projet'!$E$9+1,1))</f>
        <v>157.19386117397545</v>
      </c>
      <c r="T95" s="62">
        <f t="shared" si="88"/>
        <v>153.10223389615993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72.241331177748407</v>
      </c>
      <c r="AA95" s="23">
        <f>EXP(-LN(2)/25)*AA94+(1-EXP(-LN(2)/25))/(LN(2)/25)*Calculateur!V95*Calculateur!X95*VLOOKUP('Données projet'!$B$9,Paramètres!$A$1:$I$89,3,0)*0.475*44/12</f>
        <v>17.059786213585014</v>
      </c>
      <c r="AB95" s="23">
        <f>EXP(-LN(2)/2)*AB94+(1-EXP(-LN(2)/2))/(LN(2)/2)*V95*Y95*VLOOKUP('Données projet'!$B$9,Paramètres!$A$1:$I$89,3,0)*0.475*44/12</f>
        <v>7.2855076628856024E-8</v>
      </c>
      <c r="AC95" s="24">
        <f t="shared" si="57"/>
        <v>89.301117464188493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2">
        <f t="shared" si="86"/>
        <v>14.814500647866689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70">
        <f t="shared" si="56"/>
        <v>407.57360529503438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6.7984728957526396E-14</v>
      </c>
      <c r="P96" s="14">
        <f t="shared" si="87"/>
        <v>1.0682447123141398E-12</v>
      </c>
      <c r="Q96" s="22">
        <f t="shared" si="54"/>
        <v>1.978932943548152E-12</v>
      </c>
      <c r="R96" s="62">
        <f t="shared" si="55"/>
        <v>293.3333333333353</v>
      </c>
      <c r="S96" s="62">
        <f ca="1">AVERAGE(OFFSET($R$3,0,0,'Données projet'!$E$9+1,1))-AVERAGE(OFFSET($H$3,0,0,'Données projet'!$E$9+1,1))</f>
        <v>157.19386117397545</v>
      </c>
      <c r="T96" s="62">
        <f t="shared" si="88"/>
        <v>153.10223389615993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70.824722736213928</v>
      </c>
      <c r="AA96" s="23">
        <f>EXP(-LN(2)/25)*AA95+(1-EXP(-LN(2)/25))/(LN(2)/25)*Calculateur!V96*Calculateur!X96*VLOOKUP('Données projet'!$B$9,Paramètres!$A$1:$I$89,3,0)*0.475*44/12</f>
        <v>16.593285462439365</v>
      </c>
      <c r="AB96" s="23">
        <f>EXP(-LN(2)/2)*AB95+(1-EXP(-LN(2)/2))/(LN(2)/2)*V96*Y96*VLOOKUP('Données projet'!$B$9,Paramètres!$A$1:$I$89,3,0)*0.475*44/12</f>
        <v>5.151631872812965E-8</v>
      </c>
      <c r="AC96" s="24">
        <f t="shared" si="57"/>
        <v>87.418008250169621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2">
        <f t="shared" si="86"/>
        <v>14.955166599500016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70">
        <f t="shared" si="56"/>
        <v>408.76954849412908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6.7984728957526396E-14</v>
      </c>
      <c r="P97" s="14">
        <f t="shared" si="87"/>
        <v>1.0682447123141398E-12</v>
      </c>
      <c r="Q97" s="22">
        <f t="shared" si="54"/>
        <v>1.978932943548152E-12</v>
      </c>
      <c r="R97" s="62">
        <f t="shared" si="55"/>
        <v>293.3333333333353</v>
      </c>
      <c r="S97" s="62">
        <f ca="1">AVERAGE(OFFSET($R$3,0,0,'Données projet'!$E$9+1,1))-AVERAGE(OFFSET($H$3,0,0,'Données projet'!$E$9+1,1))</f>
        <v>157.19386117397545</v>
      </c>
      <c r="T97" s="62">
        <f t="shared" si="88"/>
        <v>153.10223389615993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69.435893122172118</v>
      </c>
      <c r="AA97" s="23">
        <f>EXP(-LN(2)/25)*AA96+(1-EXP(-LN(2)/25))/(LN(2)/25)*Calculateur!V97*Calculateur!X97*VLOOKUP('Données projet'!$B$9,Paramètres!$A$1:$I$89,3,0)*0.475*44/12</f>
        <v>16.139541198866002</v>
      </c>
      <c r="AB97" s="23">
        <f>EXP(-LN(2)/2)*AB96+(1-EXP(-LN(2)/2))/(LN(2)/2)*V97*Y97*VLOOKUP('Données projet'!$B$9,Paramètres!$A$1:$I$89,3,0)*0.475*44/12</f>
        <v>3.6427538314428012E-8</v>
      </c>
      <c r="AC97" s="24">
        <f t="shared" si="57"/>
        <v>85.575434357465653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2">
        <f t="shared" si="86"/>
        <v>15.0956584691149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70">
        <f t="shared" si="56"/>
        <v>409.96518850037501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6.7984728957526396E-14</v>
      </c>
      <c r="P98" s="14">
        <f t="shared" si="87"/>
        <v>1.0682447123141398E-12</v>
      </c>
      <c r="Q98" s="22">
        <f t="shared" si="54"/>
        <v>1.978932943548152E-12</v>
      </c>
      <c r="R98" s="62">
        <f t="shared" si="55"/>
        <v>293.3333333333353</v>
      </c>
      <c r="S98" s="62">
        <f ca="1">AVERAGE(OFFSET($R$3,0,0,'Données projet'!$E$9+1,1))-AVERAGE(OFFSET($H$3,0,0,'Données projet'!$E$9+1,1))</f>
        <v>157.19386117397545</v>
      </c>
      <c r="T98" s="62">
        <f t="shared" si="88"/>
        <v>153.10223389615993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68.074297609759242</v>
      </c>
      <c r="AA98" s="23">
        <f>EXP(-LN(2)/25)*AA97+(1-EXP(-LN(2)/25))/(LN(2)/25)*Calculateur!V98*Calculateur!X98*VLOOKUP('Données projet'!$B$9,Paramètres!$A$1:$I$89,3,0)*0.475*44/12</f>
        <v>15.698204596041426</v>
      </c>
      <c r="AB98" s="23">
        <f>EXP(-LN(2)/2)*AB97+(1-EXP(-LN(2)/2))/(LN(2)/2)*V98*Y98*VLOOKUP('Données projet'!$B$9,Paramètres!$A$1:$I$89,3,0)*0.475*44/12</f>
        <v>2.5758159364064825E-8</v>
      </c>
      <c r="AC98" s="24">
        <f t="shared" si="57"/>
        <v>83.772502231558818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2">
        <f t="shared" si="86"/>
        <v>15.235978301273022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70">
        <f t="shared" si="56"/>
        <v>411.1605288747171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6.7984728957526396E-14</v>
      </c>
      <c r="P99" s="14">
        <f t="shared" si="87"/>
        <v>1.0682447123141398E-12</v>
      </c>
      <c r="Q99" s="22">
        <f t="shared" ref="Q99:Q130" si="107">(O99+P99)*0.475*44/12</f>
        <v>1.978932943548152E-12</v>
      </c>
      <c r="R99" s="62">
        <f t="shared" si="55"/>
        <v>293.3333333333353</v>
      </c>
      <c r="S99" s="62">
        <f ca="1">AVERAGE(OFFSET($R$3,0,0,'Données projet'!$E$9+1,1))-AVERAGE(OFFSET($H$3,0,0,'Données projet'!$E$9+1,1))</f>
        <v>157.19386117397545</v>
      </c>
      <c r="T99" s="62">
        <f t="shared" si="88"/>
        <v>153.10223389615993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66.739402154853522</v>
      </c>
      <c r="AA99" s="23">
        <f>EXP(-LN(2)/25)*AA98+(1-EXP(-LN(2)/25))/(LN(2)/25)*Calculateur!V99*Calculateur!X99*VLOOKUP('Données projet'!$B$9,Paramètres!$A$1:$I$89,3,0)*0.475*44/12</f>
        <v>15.268936365829973</v>
      </c>
      <c r="AB99" s="23">
        <f>EXP(-LN(2)/2)*AB98+(1-EXP(-LN(2)/2))/(LN(2)/2)*V99*Y99*VLOOKUP('Données projet'!$B$9,Paramètres!$A$1:$I$89,3,0)*0.475*44/12</f>
        <v>1.8213769157214006E-8</v>
      </c>
      <c r="AC99" s="24">
        <f t="shared" si="57"/>
        <v>82.008338538897263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2">
        <f t="shared" si="86"/>
        <v>15.376128095486868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70">
        <f t="shared" si="56"/>
        <v>412.35557309963951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6.7984728957526396E-14</v>
      </c>
      <c r="P100" s="14">
        <f t="shared" si="87"/>
        <v>1.0682447123141398E-12</v>
      </c>
      <c r="Q100" s="22">
        <f t="shared" si="107"/>
        <v>1.978932943548152E-12</v>
      </c>
      <c r="R100" s="62">
        <f t="shared" si="55"/>
        <v>293.3333333333353</v>
      </c>
      <c r="S100" s="62">
        <f ca="1">AVERAGE(OFFSET($R$3,0,0,'Données projet'!$E$9+1,1))-AVERAGE(OFFSET($H$3,0,0,'Données projet'!$E$9+1,1))</f>
        <v>157.19386117397545</v>
      </c>
      <c r="T100" s="62">
        <f t="shared" si="88"/>
        <v>153.10223389615993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65.430683185612679</v>
      </c>
      <c r="AA100" s="23">
        <f>EXP(-LN(2)/25)*AA99+(1-EXP(-LN(2)/25))/(LN(2)/25)*Calculateur!V100*Calculateur!X100*VLOOKUP('Données projet'!$B$9,Paramètres!$A$1:$I$89,3,0)*0.475*44/12</f>
        <v>14.851406497947886</v>
      </c>
      <c r="AB100" s="23">
        <f>EXP(-LN(2)/2)*AB99+(1-EXP(-LN(2)/2))/(LN(2)/2)*V100*Y100*VLOOKUP('Données projet'!$B$9,Paramètres!$A$1:$I$89,3,0)*0.475*44/12</f>
        <v>1.2879079682032413E-8</v>
      </c>
      <c r="AC100" s="24">
        <f t="shared" si="57"/>
        <v>80.282089696439655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2">
        <f t="shared" si="86"/>
        <v>15.516109807666373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70">
        <f t="shared" si="56"/>
        <v>413.55032458168552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6.7984728957526396E-14</v>
      </c>
      <c r="P101" s="14">
        <f t="shared" si="87"/>
        <v>1.0682447123141398E-12</v>
      </c>
      <c r="Q101" s="22">
        <f t="shared" si="107"/>
        <v>1.978932943548152E-12</v>
      </c>
      <c r="R101" s="62">
        <f t="shared" si="55"/>
        <v>293.3333333333353</v>
      </c>
      <c r="S101" s="62">
        <f ca="1">AVERAGE(OFFSET($R$3,0,0,'Données projet'!$E$9+1,1))-AVERAGE(OFFSET($H$3,0,0,'Données projet'!$E$9+1,1))</f>
        <v>157.19386117397545</v>
      </c>
      <c r="T101" s="62">
        <f t="shared" si="88"/>
        <v>153.10223389615993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64.147627397118896</v>
      </c>
      <c r="AA101" s="23">
        <f>EXP(-LN(2)/25)*AA100+(1-EXP(-LN(2)/25))/(LN(2)/25)*Calculateur!V101*Calculateur!X101*VLOOKUP('Données projet'!$B$9,Paramètres!$A$1:$I$89,3,0)*0.475*44/12</f>
        <v>14.445294006259976</v>
      </c>
      <c r="AB101" s="23">
        <f>EXP(-LN(2)/2)*AB100+(1-EXP(-LN(2)/2))/(LN(2)/2)*V101*Y101*VLOOKUP('Données projet'!$B$9,Paramètres!$A$1:$I$89,3,0)*0.475*44/12</f>
        <v>9.1068845786070031E-9</v>
      </c>
      <c r="AC101" s="24">
        <f t="shared" si="57"/>
        <v>78.592921412485751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2">
        <f t="shared" si="86"/>
        <v>15.655925351504653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70">
        <f t="shared" si="56"/>
        <v>414.74478665387051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6.7984728957526396E-14</v>
      </c>
      <c r="P102" s="14">
        <f t="shared" si="87"/>
        <v>1.0682447123141398E-12</v>
      </c>
      <c r="Q102" s="22">
        <f t="shared" si="107"/>
        <v>1.978932943548152E-12</v>
      </c>
      <c r="R102" s="62">
        <f t="shared" si="55"/>
        <v>293.3333333333353</v>
      </c>
      <c r="S102" s="62">
        <f ca="1">AVERAGE(OFFSET($R$3,0,0,'Données projet'!$E$9+1,1))-AVERAGE(OFFSET($H$3,0,0,'Données projet'!$E$9+1,1))</f>
        <v>157.19386117397545</v>
      </c>
      <c r="T102" s="62">
        <f t="shared" si="88"/>
        <v>153.10223389615993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62.889731550050719</v>
      </c>
      <c r="AA102" s="23">
        <f>EXP(-LN(2)/25)*AA101+(1-EXP(-LN(2)/25))/(LN(2)/25)*Calculateur!V102*Calculateur!X102*VLOOKUP('Données projet'!$B$9,Paramètres!$A$1:$I$89,3,0)*0.475*44/12</f>
        <v>14.0502866820138</v>
      </c>
      <c r="AB102" s="23">
        <f>EXP(-LN(2)/2)*AB101+(1-EXP(-LN(2)/2))/(LN(2)/2)*V102*Y102*VLOOKUP('Données projet'!$B$9,Paramètres!$A$1:$I$89,3,0)*0.475*44/12</f>
        <v>6.4395398410162063E-9</v>
      </c>
      <c r="AC102" s="24">
        <f t="shared" si="57"/>
        <v>76.940018238504052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2">
        <f t="shared" si="86"/>
        <v>15.795576599806306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70">
        <f t="shared" si="56"/>
        <v>415.93896257799588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6.7984728957526396E-14</v>
      </c>
      <c r="P103" s="14">
        <f t="shared" si="87"/>
        <v>1.0682447123141398E-12</v>
      </c>
      <c r="Q103" s="22">
        <f t="shared" si="107"/>
        <v>1.978932943548152E-12</v>
      </c>
      <c r="R103" s="62">
        <f t="shared" si="55"/>
        <v>293.3333333333353</v>
      </c>
      <c r="S103" s="62">
        <f ca="1">AVERAGE(OFFSET($R$3,0,0,'Données projet'!$E$9+1,1))-AVERAGE(OFFSET($H$3,0,0,'Données projet'!$E$9+1,1))</f>
        <v>157.19386117397545</v>
      </c>
      <c r="T103" s="62">
        <f t="shared" si="88"/>
        <v>153.10223389615993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61.656502273302841</v>
      </c>
      <c r="AA103" s="23">
        <f>EXP(-LN(2)/25)*AA102+(1-EXP(-LN(2)/25))/(LN(2)/25)*Calculateur!V103*Calculateur!X103*VLOOKUP('Données projet'!$B$9,Paramètres!$A$1:$I$89,3,0)*0.475*44/12</f>
        <v>13.666080853821668</v>
      </c>
      <c r="AB103" s="23">
        <f>EXP(-LN(2)/2)*AB102+(1-EXP(-LN(2)/2))/(LN(2)/2)*V103*Y103*VLOOKUP('Données projet'!$B$9,Paramètres!$A$1:$I$89,3,0)*0.475*44/12</f>
        <v>4.5534422893035015E-9</v>
      </c>
      <c r="AC103" s="24">
        <f t="shared" si="57"/>
        <v>75.322583131677959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2">
        <f t="shared" si="86"/>
        <v>15.935065385761003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70">
        <f t="shared" si="56"/>
        <v>417.13285554686695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6.7984728957526396E-14</v>
      </c>
      <c r="P104" s="14">
        <f t="shared" si="87"/>
        <v>1.0682447123141398E-12</v>
      </c>
      <c r="Q104" s="22">
        <f t="shared" si="107"/>
        <v>1.978932943548152E-12</v>
      </c>
      <c r="R104" s="62">
        <f t="shared" si="55"/>
        <v>293.3333333333353</v>
      </c>
      <c r="S104" s="62">
        <f ca="1">AVERAGE(OFFSET($R$3,0,0,'Données projet'!$E$9+1,1))-AVERAGE(OFFSET($H$3,0,0,'Données projet'!$E$9+1,1))</f>
        <v>157.19386117397545</v>
      </c>
      <c r="T104" s="62">
        <f t="shared" si="88"/>
        <v>153.10223389615993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60.447455870476404</v>
      </c>
      <c r="AA104" s="23">
        <f>EXP(-LN(2)/25)*AA103+(1-EXP(-LN(2)/25))/(LN(2)/25)*Calculateur!V104*Calculateur!X104*VLOOKUP('Données projet'!$B$9,Paramètres!$A$1:$I$89,3,0)*0.475*44/12</f>
        <v>13.292381154205957</v>
      </c>
      <c r="AB104" s="23">
        <f>EXP(-LN(2)/2)*AB103+(1-EXP(-LN(2)/2))/(LN(2)/2)*V104*Y104*VLOOKUP('Données projet'!$B$9,Paramètres!$A$1:$I$89,3,0)*0.475*44/12</f>
        <v>3.2197699205081031E-9</v>
      </c>
      <c r="AC104" s="24">
        <f t="shared" si="57"/>
        <v>73.739837027902126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2">
        <f t="shared" si="86"/>
        <v>16.07439350416519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70">
        <f t="shared" si="56"/>
        <v>418.32646868642092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6.7984728957526396E-14</v>
      </c>
      <c r="P105" s="14">
        <f t="shared" si="87"/>
        <v>1.0682447123141398E-12</v>
      </c>
      <c r="Q105" s="22">
        <f t="shared" si="107"/>
        <v>1.978932943548152E-12</v>
      </c>
      <c r="R105" s="62">
        <f t="shared" si="55"/>
        <v>293.3333333333353</v>
      </c>
      <c r="S105" s="62">
        <f ca="1">AVERAGE(OFFSET($R$3,0,0,'Données projet'!$E$9+1,1))-AVERAGE(OFFSET($H$3,0,0,'Données projet'!$E$9+1,1))</f>
        <v>157.19386117397545</v>
      </c>
      <c r="T105" s="62">
        <f t="shared" si="88"/>
        <v>153.10223389615993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59.262118130163898</v>
      </c>
      <c r="AA105" s="23">
        <f>EXP(-LN(2)/25)*AA104+(1-EXP(-LN(2)/25))/(LN(2)/25)*Calculateur!V105*Calculateur!X105*VLOOKUP('Données projet'!$B$9,Paramètres!$A$1:$I$89,3,0)*0.475*44/12</f>
        <v>12.928900292528251</v>
      </c>
      <c r="AB105" s="23">
        <f>EXP(-LN(2)/2)*AB104+(1-EXP(-LN(2)/2))/(LN(2)/2)*V105*Y105*VLOOKUP('Données projet'!$B$9,Paramètres!$A$1:$I$89,3,0)*0.475*44/12</f>
        <v>2.2767211446517508E-9</v>
      </c>
      <c r="AC105" s="24">
        <f t="shared" si="57"/>
        <v>72.191018424968874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2">
        <f t="shared" si="86"/>
        <v>16.213562712594495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70">
        <f t="shared" si="56"/>
        <v>419.51980505776862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6.7984728957526396E-14</v>
      </c>
      <c r="P106" s="14">
        <f t="shared" si="87"/>
        <v>1.0682447123141398E-12</v>
      </c>
      <c r="Q106" s="22">
        <f t="shared" si="107"/>
        <v>1.978932943548152E-12</v>
      </c>
      <c r="R106" s="62">
        <f t="shared" si="55"/>
        <v>293.3333333333353</v>
      </c>
      <c r="S106" s="62">
        <f ca="1">AVERAGE(OFFSET($R$3,0,0,'Données projet'!$E$9+1,1))-AVERAGE(OFFSET($H$3,0,0,'Données projet'!$E$9+1,1))</f>
        <v>157.19386117397545</v>
      </c>
      <c r="T106" s="62">
        <f t="shared" si="88"/>
        <v>153.10223389615993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58.100024139954293</v>
      </c>
      <c r="AA106" s="23">
        <f>EXP(-LN(2)/25)*AA105+(1-EXP(-LN(2)/25))/(LN(2)/25)*Calculateur!V106*Calculateur!X106*VLOOKUP('Données projet'!$B$9,Paramètres!$A$1:$I$89,3,0)*0.475*44/12</f>
        <v>12.57535883412775</v>
      </c>
      <c r="AB106" s="23">
        <f>EXP(-LN(2)/2)*AB105+(1-EXP(-LN(2)/2))/(LN(2)/2)*V106*Y106*VLOOKUP('Données projet'!$B$9,Paramètres!$A$1:$I$89,3,0)*0.475*44/12</f>
        <v>1.6098849602540516E-9</v>
      </c>
      <c r="AC106" s="24">
        <f t="shared" si="57"/>
        <v>70.675382975691932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2">
        <f t="shared" si="86"/>
        <v>16.352574732529348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70">
        <f t="shared" si="56"/>
        <v>420.71286765915517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6.7984728957526396E-14</v>
      </c>
      <c r="P107" s="14">
        <f t="shared" si="87"/>
        <v>1.0682447123141398E-12</v>
      </c>
      <c r="Q107" s="22">
        <f t="shared" si="107"/>
        <v>1.978932943548152E-12</v>
      </c>
      <c r="R107" s="62">
        <f t="shared" si="55"/>
        <v>293.3333333333353</v>
      </c>
      <c r="S107" s="62">
        <f ca="1">AVERAGE(OFFSET($R$3,0,0,'Données projet'!$E$9+1,1))-AVERAGE(OFFSET($H$3,0,0,'Données projet'!$E$9+1,1))</f>
        <v>157.19386117397545</v>
      </c>
      <c r="T107" s="62">
        <f t="shared" si="88"/>
        <v>153.10223389615993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56.960718104085352</v>
      </c>
      <c r="AA107" s="23">
        <f>EXP(-LN(2)/25)*AA106+(1-EXP(-LN(2)/25))/(LN(2)/25)*Calculateur!V107*Calculateur!X107*VLOOKUP('Données projet'!$B$9,Paramètres!$A$1:$I$89,3,0)*0.475*44/12</f>
        <v>12.231484985499147</v>
      </c>
      <c r="AB107" s="23">
        <f>EXP(-LN(2)/2)*AB106+(1-EXP(-LN(2)/2))/(LN(2)/2)*V107*Y107*VLOOKUP('Données projet'!$B$9,Paramètres!$A$1:$I$89,3,0)*0.475*44/12</f>
        <v>1.1383605723258754E-9</v>
      </c>
      <c r="AC107" s="24">
        <f t="shared" si="57"/>
        <v>69.192203090722856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2">
        <f t="shared" si="86"/>
        <v>16.491431250436072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70">
        <f t="shared" si="56"/>
        <v>421.90565942784269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6.7984728957526396E-14</v>
      </c>
      <c r="P108" s="14">
        <f t="shared" si="87"/>
        <v>1.0682447123141398E-12</v>
      </c>
      <c r="Q108" s="22">
        <f t="shared" si="107"/>
        <v>1.978932943548152E-12</v>
      </c>
      <c r="R108" s="62">
        <f t="shared" si="55"/>
        <v>293.3333333333353</v>
      </c>
      <c r="S108" s="62">
        <f ca="1">AVERAGE(OFFSET($R$3,0,0,'Données projet'!$E$9+1,1))-AVERAGE(OFFSET($H$3,0,0,'Données projet'!$E$9+1,1))</f>
        <v>157.19386117397545</v>
      </c>
      <c r="T108" s="62">
        <f t="shared" si="88"/>
        <v>153.10223389615993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55.843753164671732</v>
      </c>
      <c r="AA108" s="23">
        <f>EXP(-LN(2)/25)*AA107+(1-EXP(-LN(2)/25))/(LN(2)/25)*Calculateur!V108*Calculateur!X108*VLOOKUP('Données projet'!$B$9,Paramètres!$A$1:$I$89,3,0)*0.475*44/12</f>
        <v>11.897014385344834</v>
      </c>
      <c r="AB108" s="23">
        <f>EXP(-LN(2)/2)*AB107+(1-EXP(-LN(2)/2))/(LN(2)/2)*V108*Y108*VLOOKUP('Données projet'!$B$9,Paramètres!$A$1:$I$89,3,0)*0.475*44/12</f>
        <v>8.0494248012702578E-10</v>
      </c>
      <c r="AC108" s="24">
        <f t="shared" si="57"/>
        <v>67.740767550821516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2">
        <f t="shared" si="86"/>
        <v>16.630133918805559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70">
        <f t="shared" si="56"/>
        <v>423.09818324191957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6.7984728957526396E-14</v>
      </c>
      <c r="P109" s="14">
        <f t="shared" si="87"/>
        <v>1.0682447123141398E-12</v>
      </c>
      <c r="Q109" s="22">
        <f t="shared" si="107"/>
        <v>1.978932943548152E-12</v>
      </c>
      <c r="R109" s="62">
        <f t="shared" si="55"/>
        <v>293.3333333333353</v>
      </c>
      <c r="S109" s="62">
        <f ca="1">AVERAGE(OFFSET($R$3,0,0,'Données projet'!$E$9+1,1))-AVERAGE(OFFSET($H$3,0,0,'Données projet'!$E$9+1,1))</f>
        <v>157.19386117397545</v>
      </c>
      <c r="T109" s="62">
        <f t="shared" si="88"/>
        <v>153.10223389615993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54.748691226438673</v>
      </c>
      <c r="AA109" s="23">
        <f>EXP(-LN(2)/25)*AA108+(1-EXP(-LN(2)/25))/(LN(2)/25)*Calculateur!V109*Calculateur!X109*VLOOKUP('Données projet'!$B$9,Paramètres!$A$1:$I$89,3,0)*0.475*44/12</f>
        <v>11.571689901340784</v>
      </c>
      <c r="AB109" s="23">
        <f>EXP(-LN(2)/2)*AB108+(1-EXP(-LN(2)/2))/(LN(2)/2)*V109*Y109*VLOOKUP('Données projet'!$B$9,Paramètres!$A$1:$I$89,3,0)*0.475*44/12</f>
        <v>5.6918028616293769E-10</v>
      </c>
      <c r="AC109" s="24">
        <f t="shared" si="57"/>
        <v>66.320381128348643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2">
        <f t="shared" si="86"/>
        <v>16.768684357151628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70">
        <f t="shared" si="56"/>
        <v>424.29044192203901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6.7984728957526396E-14</v>
      </c>
      <c r="P110" s="14">
        <f t="shared" si="87"/>
        <v>1.0682447123141398E-12</v>
      </c>
      <c r="Q110" s="22">
        <f t="shared" si="107"/>
        <v>1.978932943548152E-12</v>
      </c>
      <c r="R110" s="62">
        <f t="shared" si="55"/>
        <v>293.3333333333353</v>
      </c>
      <c r="S110" s="62">
        <f ca="1">AVERAGE(OFFSET($R$3,0,0,'Données projet'!$E$9+1,1))-AVERAGE(OFFSET($H$3,0,0,'Données projet'!$E$9+1,1))</f>
        <v>157.19386117397545</v>
      </c>
      <c r="T110" s="62">
        <f t="shared" si="88"/>
        <v>153.10223389615993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53.675102784892537</v>
      </c>
      <c r="AA110" s="23">
        <f>EXP(-LN(2)/25)*AA109+(1-EXP(-LN(2)/25))/(LN(2)/25)*Calculateur!V110*Calculateur!X110*VLOOKUP('Données projet'!$B$9,Paramètres!$A$1:$I$89,3,0)*0.475*44/12</f>
        <v>11.255261432459896</v>
      </c>
      <c r="AB110" s="23">
        <f>EXP(-LN(2)/2)*AB109+(1-EXP(-LN(2)/2))/(LN(2)/2)*V110*Y110*VLOOKUP('Données projet'!$B$9,Paramètres!$A$1:$I$89,3,0)*0.475*44/12</f>
        <v>4.0247124006351289E-10</v>
      </c>
      <c r="AC110" s="24">
        <f t="shared" si="57"/>
        <v>64.930364217754899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2">
        <f t="shared" si="86"/>
        <v>16.907084152971102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70">
        <f t="shared" si="56"/>
        <v>425.48243823309122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6.7984728957526396E-14</v>
      </c>
      <c r="P111" s="14">
        <f t="shared" si="87"/>
        <v>1.0682447123141398E-12</v>
      </c>
      <c r="Q111" s="22">
        <f t="shared" si="107"/>
        <v>1.978932943548152E-12</v>
      </c>
      <c r="R111" s="62">
        <f t="shared" si="55"/>
        <v>293.3333333333353</v>
      </c>
      <c r="S111" s="62">
        <f ca="1">AVERAGE(OFFSET($R$3,0,0,'Données projet'!$E$9+1,1))-AVERAGE(OFFSET($H$3,0,0,'Données projet'!$E$9+1,1))</f>
        <v>157.19386117397545</v>
      </c>
      <c r="T111" s="62">
        <f t="shared" si="88"/>
        <v>153.10223389615993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52.622566757860824</v>
      </c>
      <c r="AA111" s="23">
        <f>EXP(-LN(2)/25)*AA110+(1-EXP(-LN(2)/25))/(LN(2)/25)*Calculateur!V111*Calculateur!X111*VLOOKUP('Données projet'!$B$9,Paramètres!$A$1:$I$89,3,0)*0.475*44/12</f>
        <v>10.947485716700806</v>
      </c>
      <c r="AB111" s="23">
        <f>EXP(-LN(2)/2)*AB110+(1-EXP(-LN(2)/2))/(LN(2)/2)*V111*Y111*VLOOKUP('Données projet'!$B$9,Paramètres!$A$1:$I$89,3,0)*0.475*44/12</f>
        <v>2.8459014308146885E-10</v>
      </c>
      <c r="AC111" s="24">
        <f t="shared" si="57"/>
        <v>63.570052474846221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2">
        <f t="shared" si="86"/>
        <v>17.045334862667175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70">
        <f t="shared" si="56"/>
        <v>426.67417488581191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6.7984728957526396E-14</v>
      </c>
      <c r="P112" s="14">
        <f t="shared" si="87"/>
        <v>1.0682447123141398E-12</v>
      </c>
      <c r="Q112" s="22">
        <f t="shared" si="107"/>
        <v>1.978932943548152E-12</v>
      </c>
      <c r="R112" s="62">
        <f t="shared" si="55"/>
        <v>293.3333333333353</v>
      </c>
      <c r="S112" s="62">
        <f ca="1">AVERAGE(OFFSET($R$3,0,0,'Données projet'!$E$9+1,1))-AVERAGE(OFFSET($H$3,0,0,'Données projet'!$E$9+1,1))</f>
        <v>157.19386117397545</v>
      </c>
      <c r="T112" s="62">
        <f t="shared" si="88"/>
        <v>153.10223389615993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51.590670320335619</v>
      </c>
      <c r="AA112" s="23">
        <f>EXP(-LN(2)/25)*AA111+(1-EXP(-LN(2)/25))/(LN(2)/25)*Calculateur!V112*Calculateur!X112*VLOOKUP('Données projet'!$B$9,Paramètres!$A$1:$I$89,3,0)*0.475*44/12</f>
        <v>10.64812614407437</v>
      </c>
      <c r="AB112" s="23">
        <f>EXP(-LN(2)/2)*AB111+(1-EXP(-LN(2)/2))/(LN(2)/2)*V112*Y112*VLOOKUP('Données projet'!$B$9,Paramètres!$A$1:$I$89,3,0)*0.475*44/12</f>
        <v>2.0123562003175645E-10</v>
      </c>
      <c r="AC112" s="24">
        <f t="shared" si="57"/>
        <v>62.23879646461122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2">
        <f t="shared" si="86"/>
        <v>17.183438012437954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70">
        <f t="shared" si="56"/>
        <v>427.8656545383293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6.7984728957526396E-14</v>
      </c>
      <c r="P113" s="14">
        <f t="shared" si="87"/>
        <v>1.0682447123141398E-12</v>
      </c>
      <c r="Q113" s="22">
        <f t="shared" si="107"/>
        <v>1.978932943548152E-12</v>
      </c>
      <c r="R113" s="62">
        <f t="shared" si="55"/>
        <v>293.3333333333353</v>
      </c>
      <c r="S113" s="62">
        <f ca="1">AVERAGE(OFFSET($R$3,0,0,'Données projet'!$E$9+1,1))-AVERAGE(OFFSET($H$3,0,0,'Données projet'!$E$9+1,1))</f>
        <v>157.19386117397545</v>
      </c>
      <c r="T113" s="62">
        <f t="shared" si="88"/>
        <v>153.10223389615993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50.579008742555608</v>
      </c>
      <c r="AA113" s="23">
        <f>EXP(-LN(2)/25)*AA112+(1-EXP(-LN(2)/25))/(LN(2)/25)*Calculateur!V113*Calculateur!X113*VLOOKUP('Données projet'!$B$9,Paramètres!$A$1:$I$89,3,0)*0.475*44/12</f>
        <v>10.356952574704039</v>
      </c>
      <c r="AB113" s="23">
        <f>EXP(-LN(2)/2)*AB112+(1-EXP(-LN(2)/2))/(LN(2)/2)*V113*Y113*VLOOKUP('Données projet'!$B$9,Paramètres!$A$1:$I$89,3,0)*0.475*44/12</f>
        <v>1.4229507154073442E-10</v>
      </c>
      <c r="AC113" s="24">
        <f t="shared" si="57"/>
        <v>60.93596131740194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2">
        <f t="shared" si="86"/>
        <v>17.32139509913188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70">
        <f t="shared" si="56"/>
        <v>429.05687979765457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6.7984728957526396E-14</v>
      </c>
      <c r="P114" s="14">
        <f t="shared" si="87"/>
        <v>1.0682447123141398E-12</v>
      </c>
      <c r="Q114" s="22">
        <f t="shared" si="107"/>
        <v>1.978932943548152E-12</v>
      </c>
      <c r="R114" s="62">
        <f t="shared" si="55"/>
        <v>293.3333333333353</v>
      </c>
      <c r="S114" s="62">
        <f ca="1">AVERAGE(OFFSET($R$3,0,0,'Données projet'!$E$9+1,1))-AVERAGE(OFFSET($H$3,0,0,'Données projet'!$E$9+1,1))</f>
        <v>157.19386117397545</v>
      </c>
      <c r="T114" s="62">
        <f t="shared" si="88"/>
        <v>153.10223389615993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49.587185231263227</v>
      </c>
      <c r="AA114" s="23">
        <f>EXP(-LN(2)/25)*AA113+(1-EXP(-LN(2)/25))/(LN(2)/25)*Calculateur!V114*Calculateur!X114*VLOOKUP('Données projet'!$B$9,Paramètres!$A$1:$I$89,3,0)*0.475*44/12</f>
        <v>10.073741161900292</v>
      </c>
      <c r="AB114" s="23">
        <f>EXP(-LN(2)/2)*AB113+(1-EXP(-LN(2)/2))/(LN(2)/2)*V114*Y114*VLOOKUP('Données projet'!$B$9,Paramètres!$A$1:$I$89,3,0)*0.475*44/12</f>
        <v>1.0061781001587822E-10</v>
      </c>
      <c r="AC114" s="24">
        <f t="shared" si="57"/>
        <v>59.660926393264141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2">
        <f t="shared" si="86"/>
        <v>17.459207591071241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70">
        <f t="shared" si="56"/>
        <v>430.24785322111563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6.7984728957526396E-14</v>
      </c>
      <c r="P115" s="14">
        <f t="shared" si="87"/>
        <v>1.0682447123141398E-12</v>
      </c>
      <c r="Q115" s="22">
        <f t="shared" si="107"/>
        <v>1.978932943548152E-12</v>
      </c>
      <c r="R115" s="62">
        <f t="shared" si="55"/>
        <v>293.3333333333353</v>
      </c>
      <c r="S115" s="62">
        <f ca="1">AVERAGE(OFFSET($R$3,0,0,'Données projet'!$E$9+1,1))-AVERAGE(OFFSET($H$3,0,0,'Données projet'!$E$9+1,1))</f>
        <v>157.19386117397545</v>
      </c>
      <c r="T115" s="62">
        <f t="shared" si="88"/>
        <v>153.10223389615993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48.614810774074684</v>
      </c>
      <c r="AA115" s="23">
        <f>EXP(-LN(2)/25)*AA114+(1-EXP(-LN(2)/25))/(LN(2)/25)*Calculateur!V115*Calculateur!X115*VLOOKUP('Données projet'!$B$9,Paramètres!$A$1:$I$89,3,0)*0.475*44/12</f>
        <v>9.7982741800731041</v>
      </c>
      <c r="AB115" s="23">
        <f>EXP(-LN(2)/2)*AB114+(1-EXP(-LN(2)/2))/(LN(2)/2)*V115*Y115*VLOOKUP('Données projet'!$B$9,Paramètres!$A$1:$I$89,3,0)*0.475*44/12</f>
        <v>7.1147535770367211E-11</v>
      </c>
      <c r="AC115" s="24">
        <f t="shared" si="57"/>
        <v>58.413084954218938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2">
        <f t="shared" si="86"/>
        <v>17.596876928845635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70">
        <f t="shared" si="56"/>
        <v>431.43857731773937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6.7984728957526396E-14</v>
      </c>
      <c r="P116" s="14">
        <f t="shared" si="87"/>
        <v>1.0682447123141398E-12</v>
      </c>
      <c r="Q116" s="22">
        <f t="shared" si="107"/>
        <v>1.978932943548152E-12</v>
      </c>
      <c r="R116" s="62">
        <f t="shared" si="55"/>
        <v>293.3333333333353</v>
      </c>
      <c r="S116" s="62">
        <f ca="1">AVERAGE(OFFSET($R$3,0,0,'Données projet'!$E$9+1,1))-AVERAGE(OFFSET($H$3,0,0,'Données projet'!$E$9+1,1))</f>
        <v>157.19386117397545</v>
      </c>
      <c r="T116" s="62">
        <f t="shared" si="88"/>
        <v>153.10223389615993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47.661503986901749</v>
      </c>
      <c r="AA116" s="23">
        <f>EXP(-LN(2)/25)*AA115+(1-EXP(-LN(2)/25))/(LN(2)/25)*Calculateur!V116*Calculateur!X116*VLOOKUP('Données projet'!$B$9,Paramètres!$A$1:$I$89,3,0)*0.475*44/12</f>
        <v>9.5303398573501603</v>
      </c>
      <c r="AB116" s="23">
        <f>EXP(-LN(2)/2)*AB115+(1-EXP(-LN(2)/2))/(LN(2)/2)*V116*Y116*VLOOKUP('Données projet'!$B$9,Paramètres!$A$1:$I$89,3,0)*0.475*44/12</f>
        <v>5.0308905007939111E-11</v>
      </c>
      <c r="AC116" s="24">
        <f t="shared" si="57"/>
        <v>57.191843844302213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2">
        <f t="shared" si="86"/>
        <v>17.734404526076418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70">
        <f t="shared" si="56"/>
        <v>432.62905454958297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6.7984728957526396E-14</v>
      </c>
      <c r="P117" s="14">
        <f t="shared" si="87"/>
        <v>1.0682447123141398E-12</v>
      </c>
      <c r="Q117" s="22">
        <f t="shared" si="107"/>
        <v>1.978932943548152E-12</v>
      </c>
      <c r="R117" s="62">
        <f t="shared" si="55"/>
        <v>293.3333333333353</v>
      </c>
      <c r="S117" s="62">
        <f ca="1">AVERAGE(OFFSET($R$3,0,0,'Données projet'!$E$9+1,1))-AVERAGE(OFFSET($H$3,0,0,'Données projet'!$E$9+1,1))</f>
        <v>157.19386117397545</v>
      </c>
      <c r="T117" s="62">
        <f t="shared" si="88"/>
        <v>153.10223389615993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46.726890964365552</v>
      </c>
      <c r="AA117" s="23">
        <f>EXP(-LN(2)/25)*AA116+(1-EXP(-LN(2)/25))/(LN(2)/25)*Calculateur!V117*Calculateur!X117*VLOOKUP('Données projet'!$B$9,Paramètres!$A$1:$I$89,3,0)*0.475*44/12</f>
        <v>9.2697322127721282</v>
      </c>
      <c r="AB117" s="23">
        <f>EXP(-LN(2)/2)*AB116+(1-EXP(-LN(2)/2))/(LN(2)/2)*V117*Y117*VLOOKUP('Données projet'!$B$9,Paramètres!$A$1:$I$89,3,0)*0.475*44/12</f>
        <v>3.5573767885183606E-11</v>
      </c>
      <c r="AC117" s="24">
        <f t="shared" si="57"/>
        <v>55.996623177173255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2">
        <f t="shared" si="86"/>
        <v>17.871791770153557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70">
        <f t="shared" si="56"/>
        <v>433.81928733301731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6.7984728957526396E-14</v>
      </c>
      <c r="P118" s="14">
        <f t="shared" si="87"/>
        <v>1.0682447123141398E-12</v>
      </c>
      <c r="Q118" s="22">
        <f t="shared" si="107"/>
        <v>1.978932943548152E-12</v>
      </c>
      <c r="R118" s="62">
        <f t="shared" si="55"/>
        <v>293.3333333333353</v>
      </c>
      <c r="S118" s="62">
        <f ca="1">AVERAGE(OFFSET($R$3,0,0,'Données projet'!$E$9+1,1))-AVERAGE(OFFSET($H$3,0,0,'Données projet'!$E$9+1,1))</f>
        <v>157.19386117397545</v>
      </c>
      <c r="T118" s="62">
        <f t="shared" si="88"/>
        <v>153.10223389615993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45.810605133143632</v>
      </c>
      <c r="AA118" s="23">
        <f>EXP(-LN(2)/25)*AA117+(1-EXP(-LN(2)/25))/(LN(2)/25)*Calculateur!V118*Calculateur!X118*VLOOKUP('Données projet'!$B$9,Paramètres!$A$1:$I$89,3,0)*0.475*44/12</f>
        <v>9.0162508979398428</v>
      </c>
      <c r="AB118" s="23">
        <f>EXP(-LN(2)/2)*AB117+(1-EXP(-LN(2)/2))/(LN(2)/2)*V118*Y118*VLOOKUP('Données projet'!$B$9,Paramètres!$A$1:$I$89,3,0)*0.475*44/12</f>
        <v>2.5154452503969556E-11</v>
      </c>
      <c r="AC118" s="24">
        <f t="shared" si="57"/>
        <v>54.826856031108626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2">
        <f t="shared" si="86"/>
        <v>18.009040022946209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70">
        <f t="shared" si="56"/>
        <v>435.00927803996456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6.7984728957526396E-14</v>
      </c>
      <c r="P119" s="14">
        <f t="shared" si="87"/>
        <v>1.0682447123141398E-12</v>
      </c>
      <c r="Q119" s="22">
        <f t="shared" si="107"/>
        <v>1.978932943548152E-12</v>
      </c>
      <c r="R119" s="62">
        <f t="shared" si="55"/>
        <v>293.3333333333353</v>
      </c>
      <c r="S119" s="62">
        <f ca="1">AVERAGE(OFFSET($R$3,0,0,'Données projet'!$E$9+1,1))-AVERAGE(OFFSET($H$3,0,0,'Données projet'!$E$9+1,1))</f>
        <v>157.19386117397545</v>
      </c>
      <c r="T119" s="62">
        <f t="shared" si="88"/>
        <v>153.10223389615993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44.9122871081928</v>
      </c>
      <c r="AA119" s="23">
        <f>EXP(-LN(2)/25)*AA118+(1-EXP(-LN(2)/25))/(LN(2)/25)*Calculateur!V119*Calculateur!X119*VLOOKUP('Données projet'!$B$9,Paramètres!$A$1:$I$89,3,0)*0.475*44/12</f>
        <v>8.7697010429916507</v>
      </c>
      <c r="AB119" s="23">
        <f>EXP(-LN(2)/2)*AB118+(1-EXP(-LN(2)/2))/(LN(2)/2)*V119*Y119*VLOOKUP('Données projet'!$B$9,Paramètres!$A$1:$I$89,3,0)*0.475*44/12</f>
        <v>1.7786883942591803E-11</v>
      </c>
      <c r="AC119" s="24">
        <f t="shared" si="57"/>
        <v>53.681988151202233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2">
        <f t="shared" si="86"/>
        <v>18.146150621487966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70">
        <f t="shared" si="56"/>
        <v>436.19902899909141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6.7984728957526396E-14</v>
      </c>
      <c r="P120" s="14">
        <f t="shared" si="87"/>
        <v>1.0682447123141398E-12</v>
      </c>
      <c r="Q120" s="22">
        <f t="shared" si="107"/>
        <v>1.978932943548152E-12</v>
      </c>
      <c r="R120" s="62">
        <f t="shared" si="55"/>
        <v>293.3333333333353</v>
      </c>
      <c r="S120" s="62">
        <f ca="1">AVERAGE(OFFSET($R$3,0,0,'Données projet'!$E$9+1,1))-AVERAGE(OFFSET($H$3,0,0,'Données projet'!$E$9+1,1))</f>
        <v>157.19386117397545</v>
      </c>
      <c r="T120" s="62">
        <f t="shared" si="88"/>
        <v>153.10223389615993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44.031584551791362</v>
      </c>
      <c r="AA120" s="23">
        <f>EXP(-LN(2)/25)*AA119+(1-EXP(-LN(2)/25))/(LN(2)/25)*Calculateur!V120*Calculateur!X120*VLOOKUP('Données projet'!$B$9,Paramètres!$A$1:$I$89,3,0)*0.475*44/12</f>
        <v>8.5298931067925103</v>
      </c>
      <c r="AB120" s="23">
        <f>EXP(-LN(2)/2)*AB119+(1-EXP(-LN(2)/2))/(LN(2)/2)*V120*Y120*VLOOKUP('Données projet'!$B$9,Paramètres!$A$1:$I$89,3,0)*0.475*44/12</f>
        <v>1.2577226251984778E-11</v>
      </c>
      <c r="AC120" s="24">
        <f t="shared" si="57"/>
        <v>52.561477658596445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2">
        <f t="shared" si="86"/>
        <v>18.283124878638194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70">
        <f t="shared" si="56"/>
        <v>437.38854249696135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6.7984728957526396E-14</v>
      </c>
      <c r="P121" s="14">
        <f t="shared" si="87"/>
        <v>1.0682447123141398E-12</v>
      </c>
      <c r="Q121" s="22">
        <f t="shared" si="107"/>
        <v>1.978932943548152E-12</v>
      </c>
      <c r="R121" s="62">
        <f t="shared" si="55"/>
        <v>293.3333333333353</v>
      </c>
      <c r="S121" s="62">
        <f ca="1">AVERAGE(OFFSET($R$3,0,0,'Données projet'!$E$9+1,1))-AVERAGE(OFFSET($H$3,0,0,'Données projet'!$E$9+1,1))</f>
        <v>157.19386117397545</v>
      </c>
      <c r="T121" s="62">
        <f t="shared" si="88"/>
        <v>153.10223389615993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43.168152035345436</v>
      </c>
      <c r="AA121" s="23">
        <f>EXP(-LN(2)/25)*AA120+(1-EXP(-LN(2)/25))/(LN(2)/25)*Calculateur!V121*Calculateur!X121*VLOOKUP('Données projet'!$B$9,Paramètres!$A$1:$I$89,3,0)*0.475*44/12</f>
        <v>8.296642731219686</v>
      </c>
      <c r="AB121" s="23">
        <f>EXP(-LN(2)/2)*AB120+(1-EXP(-LN(2)/2))/(LN(2)/2)*V121*Y121*VLOOKUP('Données projet'!$B$9,Paramètres!$A$1:$I$89,3,0)*0.475*44/12</f>
        <v>8.8934419712959014E-12</v>
      </c>
      <c r="AC121" s="24">
        <f t="shared" si="57"/>
        <v>51.464794766574016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2">
        <f t="shared" si="86"/>
        <v>18.41996408372005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70">
        <f t="shared" si="56"/>
        <v>438.57782077914567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6.7984728957526396E-14</v>
      </c>
      <c r="P122" s="14">
        <f t="shared" si="87"/>
        <v>1.0682447123141398E-12</v>
      </c>
      <c r="Q122" s="22">
        <f t="shared" si="107"/>
        <v>1.978932943548152E-12</v>
      </c>
      <c r="R122" s="62">
        <f t="shared" si="55"/>
        <v>293.3333333333353</v>
      </c>
      <c r="S122" s="62">
        <f ca="1">AVERAGE(OFFSET($R$3,0,0,'Données projet'!$E$9+1,1))-AVERAGE(OFFSET($H$3,0,0,'Données projet'!$E$9+1,1))</f>
        <v>157.19386117397545</v>
      </c>
      <c r="T122" s="62">
        <f t="shared" si="88"/>
        <v>153.10223389615993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42.321650903905187</v>
      </c>
      <c r="AA122" s="23">
        <f>EXP(-LN(2)/25)*AA121+(1-EXP(-LN(2)/25))/(LN(2)/25)*Calculateur!V122*Calculateur!X122*VLOOKUP('Données projet'!$B$9,Paramètres!$A$1:$I$89,3,0)*0.475*44/12</f>
        <v>8.0697705994330047</v>
      </c>
      <c r="AB122" s="23">
        <f>EXP(-LN(2)/2)*AB121+(1-EXP(-LN(2)/2))/(LN(2)/2)*V122*Y122*VLOOKUP('Données projet'!$B$9,Paramètres!$A$1:$I$89,3,0)*0.475*44/12</f>
        <v>6.2886131259923889E-12</v>
      </c>
      <c r="AC122" s="24">
        <f t="shared" si="57"/>
        <v>50.391421503344482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2">
        <f t="shared" si="86"/>
        <v>18.556669503136707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70">
        <f t="shared" si="56"/>
        <v>439.76686605129635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6.7984728957526396E-14</v>
      </c>
      <c r="P123" s="14">
        <f t="shared" si="87"/>
        <v>1.0682447123141398E-12</v>
      </c>
      <c r="Q123" s="22">
        <f t="shared" si="107"/>
        <v>1.978932943548152E-12</v>
      </c>
      <c r="R123" s="62">
        <f t="shared" si="55"/>
        <v>293.3333333333353</v>
      </c>
      <c r="S123" s="62">
        <f ca="1">AVERAGE(OFFSET($R$3,0,0,'Données projet'!$E$9+1,1))-AVERAGE(OFFSET($H$3,0,0,'Données projet'!$E$9+1,1))</f>
        <v>157.19386117397545</v>
      </c>
      <c r="T123" s="62">
        <f t="shared" si="88"/>
        <v>153.10223389615993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41.491749143337771</v>
      </c>
      <c r="AA123" s="23">
        <f>EXP(-LN(2)/25)*AA122+(1-EXP(-LN(2)/25))/(LN(2)/25)*Calculateur!V123*Calculateur!X123*VLOOKUP('Données projet'!$B$9,Paramètres!$A$1:$I$89,3,0)*0.475*44/12</f>
        <v>7.8491022980207168</v>
      </c>
      <c r="AB123" s="23">
        <f>EXP(-LN(2)/2)*AB122+(1-EXP(-LN(2)/2))/(LN(2)/2)*V123*Y123*VLOOKUP('Données projet'!$B$9,Paramètres!$A$1:$I$89,3,0)*0.475*44/12</f>
        <v>4.4467209856479507E-12</v>
      </c>
      <c r="AC123" s="24">
        <f t="shared" si="57"/>
        <v>49.340851441362936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2">
        <f t="shared" si="86"/>
        <v>18.69324238096624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70">
        <f t="shared" si="56"/>
        <v>440.95568048018276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6.7984728957526396E-14</v>
      </c>
      <c r="P124" s="14">
        <f t="shared" si="87"/>
        <v>1.0682447123141398E-12</v>
      </c>
      <c r="Q124" s="22">
        <f t="shared" si="107"/>
        <v>1.978932943548152E-12</v>
      </c>
      <c r="R124" s="62">
        <f t="shared" si="55"/>
        <v>293.3333333333353</v>
      </c>
      <c r="S124" s="62">
        <f ca="1">AVERAGE(OFFSET($R$3,0,0,'Données projet'!$E$9+1,1))-AVERAGE(OFFSET($H$3,0,0,'Données projet'!$E$9+1,1))</f>
        <v>157.19386117397545</v>
      </c>
      <c r="T124" s="62">
        <f t="shared" si="88"/>
        <v>153.10223389615993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40.678121250104986</v>
      </c>
      <c r="AA124" s="23">
        <f>EXP(-LN(2)/25)*AA123+(1-EXP(-LN(2)/25))/(LN(2)/25)*Calculateur!V124*Calculateur!X124*VLOOKUP('Données projet'!$B$9,Paramètres!$A$1:$I$89,3,0)*0.475*44/12</f>
        <v>7.6344681829149899</v>
      </c>
      <c r="AB124" s="23">
        <f>EXP(-LN(2)/2)*AB123+(1-EXP(-LN(2)/2))/(LN(2)/2)*V124*Y124*VLOOKUP('Données projet'!$B$9,Paramètres!$A$1:$I$89,3,0)*0.475*44/12</f>
        <v>3.1443065629961945E-12</v>
      </c>
      <c r="AC124" s="24">
        <f t="shared" si="57"/>
        <v>48.312589433023128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2">
        <f t="shared" si="86"/>
        <v>18.829683939536395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70">
        <f t="shared" si="56"/>
        <v>442.14426619469248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6.7984728957526396E-14</v>
      </c>
      <c r="P125" s="14">
        <f t="shared" si="87"/>
        <v>1.0682447123141398E-12</v>
      </c>
      <c r="Q125" s="22">
        <f t="shared" si="107"/>
        <v>1.978932943548152E-12</v>
      </c>
      <c r="R125" s="62">
        <f t="shared" si="55"/>
        <v>293.3333333333353</v>
      </c>
      <c r="S125" s="62">
        <f ca="1">AVERAGE(OFFSET($R$3,0,0,'Données projet'!$E$9+1,1))-AVERAGE(OFFSET($H$3,0,0,'Données projet'!$E$9+1,1))</f>
        <v>157.19386117397545</v>
      </c>
      <c r="T125" s="62">
        <f t="shared" si="88"/>
        <v>153.10223389615993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39.880448103594489</v>
      </c>
      <c r="AA125" s="23">
        <f>EXP(-LN(2)/25)*AA124+(1-EXP(-LN(2)/25))/(LN(2)/25)*Calculateur!V125*Calculateur!X125*VLOOKUP('Données projet'!$B$9,Paramètres!$A$1:$I$89,3,0)*0.475*44/12</f>
        <v>7.4257032489739467</v>
      </c>
      <c r="AB125" s="23">
        <f>EXP(-LN(2)/2)*AB124+(1-EXP(-LN(2)/2))/(LN(2)/2)*V125*Y125*VLOOKUP('Données projet'!$B$9,Paramètres!$A$1:$I$89,3,0)*0.475*44/12</f>
        <v>2.2233604928239754E-12</v>
      </c>
      <c r="AC125" s="24">
        <f t="shared" si="57"/>
        <v>47.306151352570659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2">
        <f t="shared" si="86"/>
        <v>18.965995379979955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70">
        <f t="shared" si="56"/>
        <v>443.33262528679836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6.7984728957526396E-14</v>
      </c>
      <c r="P126" s="14">
        <f t="shared" si="87"/>
        <v>1.0682447123141398E-12</v>
      </c>
      <c r="Q126" s="22">
        <f t="shared" si="107"/>
        <v>1.978932943548152E-12</v>
      </c>
      <c r="R126" s="62">
        <f t="shared" si="55"/>
        <v>293.3333333333353</v>
      </c>
      <c r="S126" s="62">
        <f ca="1">AVERAGE(OFFSET($R$3,0,0,'Données projet'!$E$9+1,1))-AVERAGE(OFFSET($H$3,0,0,'Données projet'!$E$9+1,1))</f>
        <v>157.19386117397545</v>
      </c>
      <c r="T126" s="62">
        <f t="shared" si="88"/>
        <v>153.10223389615993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39.098416840954485</v>
      </c>
      <c r="AA126" s="23">
        <f>EXP(-LN(2)/25)*AA125+(1-EXP(-LN(2)/25))/(LN(2)/25)*Calculateur!V126*Calculateur!X126*VLOOKUP('Données projet'!$B$9,Paramètres!$A$1:$I$89,3,0)*0.475*44/12</f>
        <v>7.2226470031299916</v>
      </c>
      <c r="AB126" s="23">
        <f>EXP(-LN(2)/2)*AB125+(1-EXP(-LN(2)/2))/(LN(2)/2)*V126*Y126*VLOOKUP('Données projet'!$B$9,Paramètres!$A$1:$I$89,3,0)*0.475*44/12</f>
        <v>1.5721532814980972E-12</v>
      </c>
      <c r="AC126" s="24">
        <f t="shared" si="57"/>
        <v>46.321063844086048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2">
        <f t="shared" si="86"/>
        <v>19.102177882771514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70">
        <f t="shared" si="56"/>
        <v>444.52075981249368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6.7984728957526396E-14</v>
      </c>
      <c r="P127" s="14">
        <f t="shared" si="87"/>
        <v>1.0682447123141398E-12</v>
      </c>
      <c r="Q127" s="22">
        <f t="shared" si="107"/>
        <v>1.978932943548152E-12</v>
      </c>
      <c r="R127" s="62">
        <f t="shared" si="55"/>
        <v>293.3333333333353</v>
      </c>
      <c r="S127" s="62">
        <f ca="1">AVERAGE(OFFSET($R$3,0,0,'Données projet'!$E$9+1,1))-AVERAGE(OFFSET($H$3,0,0,'Données projet'!$E$9+1,1))</f>
        <v>157.19386117397545</v>
      </c>
      <c r="T127" s="62">
        <f t="shared" si="88"/>
        <v>153.10223389615993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38.331720734382877</v>
      </c>
      <c r="AA127" s="23">
        <f>EXP(-LN(2)/25)*AA126+(1-EXP(-LN(2)/25))/(LN(2)/25)*Calculateur!V127*Calculateur!X127*VLOOKUP('Données projet'!$B$9,Paramètres!$A$1:$I$89,3,0)*0.475*44/12</f>
        <v>7.0251433410069035</v>
      </c>
      <c r="AB127" s="23">
        <f>EXP(-LN(2)/2)*AB126+(1-EXP(-LN(2)/2))/(LN(2)/2)*V127*Y127*VLOOKUP('Données projet'!$B$9,Paramètres!$A$1:$I$89,3,0)*0.475*44/12</f>
        <v>1.1116802464119877E-12</v>
      </c>
      <c r="AC127" s="24">
        <f t="shared" si="57"/>
        <v>45.356864075390888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2">
        <f t="shared" si="86"/>
        <v>19.238232608246435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70">
        <f t="shared" si="56"/>
        <v>445.70867179269578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6.7984728957526396E-14</v>
      </c>
      <c r="P128" s="14">
        <f t="shared" si="87"/>
        <v>1.0682447123141398E-12</v>
      </c>
      <c r="Q128" s="22">
        <f t="shared" si="107"/>
        <v>1.978932943548152E-12</v>
      </c>
      <c r="R128" s="62">
        <f t="shared" si="55"/>
        <v>293.3333333333353</v>
      </c>
      <c r="S128" s="62">
        <f ca="1">AVERAGE(OFFSET($R$3,0,0,'Données projet'!$E$9+1,1))-AVERAGE(OFFSET($H$3,0,0,'Données projet'!$E$9+1,1))</f>
        <v>157.19386117397545</v>
      </c>
      <c r="T128" s="62">
        <f t="shared" si="88"/>
        <v>153.10223389615993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37.580059070822692</v>
      </c>
      <c r="AA128" s="23">
        <f>EXP(-LN(2)/25)*AA127+(1-EXP(-LN(2)/25))/(LN(2)/25)*Calculateur!V128*Calculateur!X128*VLOOKUP('Données projet'!$B$9,Paramètres!$A$1:$I$89,3,0)*0.475*44/12</f>
        <v>6.8330404269108378</v>
      </c>
      <c r="AB128" s="23">
        <f>EXP(-LN(2)/2)*AB127+(1-EXP(-LN(2)/2))/(LN(2)/2)*V128*Y128*VLOOKUP('Données projet'!$B$9,Paramètres!$A$1:$I$89,3,0)*0.475*44/12</f>
        <v>7.8607664074904862E-13</v>
      </c>
      <c r="AC128" s="24">
        <f t="shared" si="57"/>
        <v>44.413099497734315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2">
        <f t="shared" si="86"/>
        <v>19.374160697102734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70">
        <f t="shared" si="56"/>
        <v>446.89636321412058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6.7984728957526396E-14</v>
      </c>
      <c r="P129" s="14">
        <f t="shared" si="87"/>
        <v>1.0682447123141398E-12</v>
      </c>
      <c r="Q129" s="22">
        <f t="shared" si="107"/>
        <v>1.978932943548152E-12</v>
      </c>
      <c r="R129" s="62">
        <f t="shared" si="55"/>
        <v>293.3333333333353</v>
      </c>
      <c r="S129" s="62">
        <f ca="1">AVERAGE(OFFSET($R$3,0,0,'Données projet'!$E$9+1,1))-AVERAGE(OFFSET($H$3,0,0,'Données projet'!$E$9+1,1))</f>
        <v>157.19386117397545</v>
      </c>
      <c r="T129" s="62">
        <f t="shared" si="88"/>
        <v>153.10223389615993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36.843137034016578</v>
      </c>
      <c r="AA129" s="23">
        <f>EXP(-LN(2)/25)*AA128+(1-EXP(-LN(2)/25))/(LN(2)/25)*Calculateur!V129*Calculateur!X129*VLOOKUP('Données projet'!$B$9,Paramètres!$A$1:$I$89,3,0)*0.475*44/12</f>
        <v>6.6461905771029821</v>
      </c>
      <c r="AB129" s="23">
        <f>EXP(-LN(2)/2)*AB128+(1-EXP(-LN(2)/2))/(LN(2)/2)*V129*Y129*VLOOKUP('Données projet'!$B$9,Paramètres!$A$1:$I$89,3,0)*0.475*44/12</f>
        <v>5.5584012320599384E-13</v>
      </c>
      <c r="AC129" s="24">
        <f t="shared" si="57"/>
        <v>43.489327611120117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2">
        <f t="shared" si="86"/>
        <v>19.509963270886551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70">
        <f t="shared" si="56"/>
        <v>448.08383603012737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6.7984728957526396E-14</v>
      </c>
      <c r="P130" s="14">
        <f t="shared" si="87"/>
        <v>1.0682447123141398E-12</v>
      </c>
      <c r="Q130" s="22">
        <f t="shared" si="107"/>
        <v>1.978932943548152E-12</v>
      </c>
      <c r="R130" s="62">
        <f t="shared" si="55"/>
        <v>293.3333333333353</v>
      </c>
      <c r="S130" s="62">
        <f ca="1">AVERAGE(OFFSET($R$3,0,0,'Données projet'!$E$9+1,1))-AVERAGE(OFFSET($H$3,0,0,'Données projet'!$E$9+1,1))</f>
        <v>157.19386117397545</v>
      </c>
      <c r="T130" s="62">
        <f t="shared" si="88"/>
        <v>153.10223389615993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36.120665588874168</v>
      </c>
      <c r="AA130" s="23">
        <f>EXP(-LN(2)/25)*AA129+(1-EXP(-LN(2)/25))/(LN(2)/25)*Calculateur!V130*Calculateur!X130*VLOOKUP('Données projet'!$B$9,Paramètres!$A$1:$I$89,3,0)*0.475*44/12</f>
        <v>6.4644501462641291</v>
      </c>
      <c r="AB130" s="23">
        <f>EXP(-LN(2)/2)*AB129+(1-EXP(-LN(2)/2))/(LN(2)/2)*V130*Y130*VLOOKUP('Données projet'!$B$9,Paramètres!$A$1:$I$89,3,0)*0.475*44/12</f>
        <v>3.9303832037452431E-13</v>
      </c>
      <c r="AC130" s="24">
        <f t="shared" si="57"/>
        <v>42.585115735138686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2">
        <f t="shared" si="86"/>
        <v>19.645641432461961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70">
        <f t="shared" si="56"/>
        <v>449.27109216153792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6.7984728957526396E-14</v>
      </c>
      <c r="P131" s="14">
        <f t="shared" si="87"/>
        <v>1.0682447123141398E-12</v>
      </c>
      <c r="Q131" s="22">
        <f t="shared" ref="Q131:Q153" si="108">(O131+P131)*0.475*44/12</f>
        <v>1.978932943548152E-12</v>
      </c>
      <c r="R131" s="62">
        <f t="shared" ref="R131:R194" si="109">Q131+(I131+J131)*44/12</f>
        <v>293.3333333333353</v>
      </c>
      <c r="S131" s="62">
        <f ca="1">AVERAGE(OFFSET($R$3,0,0,'Données projet'!$E$9+1,1))-AVERAGE(OFFSET($H$3,0,0,'Données projet'!$E$9+1,1))</f>
        <v>157.19386117397545</v>
      </c>
      <c r="T131" s="62">
        <f t="shared" si="88"/>
        <v>153.10223389615993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35.412361368106929</v>
      </c>
      <c r="AA131" s="23">
        <f>EXP(-LN(2)/25)*AA130+(1-EXP(-LN(2)/25))/(LN(2)/25)*Calculateur!V131*Calculateur!X131*VLOOKUP('Données projet'!$B$9,Paramètres!$A$1:$I$89,3,0)*0.475*44/12</f>
        <v>6.2876794170638783</v>
      </c>
      <c r="AB131" s="23">
        <f>EXP(-LN(2)/2)*AB130+(1-EXP(-LN(2)/2))/(LN(2)/2)*V131*Y131*VLOOKUP('Données projet'!$B$9,Paramètres!$A$1:$I$89,3,0)*0.475*44/12</f>
        <v>2.7792006160299692E-13</v>
      </c>
      <c r="AC131" s="24">
        <f t="shared" si="57"/>
        <v>41.700040785171083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2">
        <f t="shared" si="86"/>
        <v>19.78119626646561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70">
        <f t="shared" ref="H132:H195" si="110">(B132+E132+F132)*44/12+(C132+D132)*0.475*44/12</f>
        <v>450.45813349742764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6.7984728957526396E-14</v>
      </c>
      <c r="P132" s="14">
        <f t="shared" si="87"/>
        <v>1.0682447123141398E-12</v>
      </c>
      <c r="Q132" s="22">
        <f t="shared" si="108"/>
        <v>1.978932943548152E-12</v>
      </c>
      <c r="R132" s="62">
        <f t="shared" si="109"/>
        <v>293.3333333333353</v>
      </c>
      <c r="S132" s="62">
        <f ca="1">AVERAGE(OFFSET($R$3,0,0,'Données projet'!$E$9+1,1))-AVERAGE(OFFSET($H$3,0,0,'Données projet'!$E$9+1,1))</f>
        <v>157.19386117397545</v>
      </c>
      <c r="T132" s="62">
        <f t="shared" si="88"/>
        <v>153.10223389615993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34.717946561086023</v>
      </c>
      <c r="AA132" s="23">
        <f>EXP(-LN(2)/25)*AA131+(1-EXP(-LN(2)/25))/(LN(2)/25)*Calculateur!V132*Calculateur!X132*VLOOKUP('Données projet'!$B$9,Paramètres!$A$1:$I$89,3,0)*0.475*44/12</f>
        <v>6.1157424927495772</v>
      </c>
      <c r="AB132" s="23">
        <f>EXP(-LN(2)/2)*AB131+(1-EXP(-LN(2)/2))/(LN(2)/2)*V132*Y132*VLOOKUP('Données projet'!$B$9,Paramètres!$A$1:$I$89,3,0)*0.475*44/12</f>
        <v>1.9651916018726215E-13</v>
      </c>
      <c r="AC132" s="24">
        <f t="shared" ref="AC132:AC153" si="111">SUM(Z132:AB132)</f>
        <v>40.833689053835798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2">
        <f t="shared" ref="D133:D196" si="140">IFERROR(EXP(-1.0587+0.8836*LN(C133)+0.284),0)</f>
        <v>19.916628839746853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70">
        <f t="shared" si="110"/>
        <v>451.64496189589244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6.7984728957526396E-14</v>
      </c>
      <c r="P133" s="14">
        <f t="shared" ref="P133:P196" si="141">EXP(-1.0587+0.8836*LN(O133)+0.284)</f>
        <v>1.0682447123141398E-12</v>
      </c>
      <c r="Q133" s="22">
        <f t="shared" si="108"/>
        <v>1.978932943548152E-12</v>
      </c>
      <c r="R133" s="62">
        <f t="shared" si="109"/>
        <v>293.3333333333353</v>
      </c>
      <c r="S133" s="62">
        <f ca="1">AVERAGE(OFFSET($R$3,0,0,'Données projet'!$E$9+1,1))-AVERAGE(OFFSET($H$3,0,0,'Données projet'!$E$9+1,1))</f>
        <v>157.19386117397545</v>
      </c>
      <c r="T133" s="62">
        <f t="shared" ref="T133:T196" si="142">$T$3</f>
        <v>153.10223389615993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34.037148804879585</v>
      </c>
      <c r="AA133" s="23">
        <f>EXP(-LN(2)/25)*AA132+(1-EXP(-LN(2)/25))/(LN(2)/25)*Calculateur!V133*Calculateur!X133*VLOOKUP('Données projet'!$B$9,Paramètres!$A$1:$I$89,3,0)*0.475*44/12</f>
        <v>5.9485071926724196</v>
      </c>
      <c r="AB133" s="23">
        <f>EXP(-LN(2)/2)*AB132+(1-EXP(-LN(2)/2))/(LN(2)/2)*V133*Y133*VLOOKUP('Données projet'!$B$9,Paramètres!$A$1:$I$89,3,0)*0.475*44/12</f>
        <v>1.3896003080149846E-13</v>
      </c>
      <c r="AC133" s="24">
        <f t="shared" si="111"/>
        <v>39.985655997552144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2">
        <f t="shared" si="140"/>
        <v>20.051940201794032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70">
        <f t="shared" si="110"/>
        <v>452.83157918479128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6.7984728957526396E-14</v>
      </c>
      <c r="P134" s="14">
        <f t="shared" si="141"/>
        <v>1.0682447123141398E-12</v>
      </c>
      <c r="Q134" s="22">
        <f t="shared" si="108"/>
        <v>1.978932943548152E-12</v>
      </c>
      <c r="R134" s="62">
        <f t="shared" si="109"/>
        <v>293.3333333333353</v>
      </c>
      <c r="S134" s="62">
        <f ca="1">AVERAGE(OFFSET($R$3,0,0,'Données projet'!$E$9+1,1))-AVERAGE(OFFSET($H$3,0,0,'Données projet'!$E$9+1,1))</f>
        <v>157.19386117397545</v>
      </c>
      <c r="T134" s="62">
        <f t="shared" si="142"/>
        <v>153.10223389615993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33.369701077426726</v>
      </c>
      <c r="AA134" s="23">
        <f>EXP(-LN(2)/25)*AA133+(1-EXP(-LN(2)/25))/(LN(2)/25)*Calculateur!V134*Calculateur!X134*VLOOKUP('Données projet'!$B$9,Paramètres!$A$1:$I$89,3,0)*0.475*44/12</f>
        <v>5.7858449506703948</v>
      </c>
      <c r="AB134" s="23">
        <f>EXP(-LN(2)/2)*AB133+(1-EXP(-LN(2)/2))/(LN(2)/2)*V134*Y134*VLOOKUP('Données projet'!$B$9,Paramètres!$A$1:$I$89,3,0)*0.475*44/12</f>
        <v>9.8259580093631077E-14</v>
      </c>
      <c r="AC134" s="24">
        <f t="shared" si="111"/>
        <v>39.15554602809722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2">
        <f t="shared" si="140"/>
        <v>20.187131385147271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70">
        <f t="shared" si="110"/>
        <v>454.01798716246486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6.7984728957526396E-14</v>
      </c>
      <c r="P135" s="14">
        <f t="shared" si="141"/>
        <v>1.0682447123141398E-12</v>
      </c>
      <c r="Q135" s="22">
        <f t="shared" si="108"/>
        <v>1.978932943548152E-12</v>
      </c>
      <c r="R135" s="62">
        <f t="shared" si="109"/>
        <v>293.3333333333353</v>
      </c>
      <c r="S135" s="62">
        <f ca="1">AVERAGE(OFFSET($R$3,0,0,'Données projet'!$E$9+1,1))-AVERAGE(OFFSET($H$3,0,0,'Données projet'!$E$9+1,1))</f>
        <v>157.19386117397545</v>
      </c>
      <c r="T135" s="62">
        <f t="shared" si="142"/>
        <v>153.10223389615993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32.715341592806304</v>
      </c>
      <c r="AA135" s="23">
        <f>EXP(-LN(2)/25)*AA134+(1-EXP(-LN(2)/25))/(LN(2)/25)*Calculateur!V135*Calculateur!X135*VLOOKUP('Données projet'!$B$9,Paramètres!$A$1:$I$89,3,0)*0.475*44/12</f>
        <v>5.6276307162299508</v>
      </c>
      <c r="AB135" s="23">
        <f>EXP(-LN(2)/2)*AB134+(1-EXP(-LN(2)/2))/(LN(2)/2)*V135*Y135*VLOOKUP('Données projet'!$B$9,Paramètres!$A$1:$I$89,3,0)*0.475*44/12</f>
        <v>6.948001540074923E-14</v>
      </c>
      <c r="AC135" s="24">
        <f t="shared" si="111"/>
        <v>38.342972309036327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2">
        <f t="shared" si="140"/>
        <v>20.322203405798462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70">
        <f t="shared" si="110"/>
        <v>455.20418759843233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6.7984728957526396E-14</v>
      </c>
      <c r="P136" s="14">
        <f t="shared" si="141"/>
        <v>1.0682447123141398E-12</v>
      </c>
      <c r="Q136" s="22">
        <f t="shared" si="108"/>
        <v>1.978932943548152E-12</v>
      </c>
      <c r="R136" s="62">
        <f t="shared" si="109"/>
        <v>293.3333333333353</v>
      </c>
      <c r="S136" s="62">
        <f ca="1">AVERAGE(OFFSET($R$3,0,0,'Données projet'!$E$9+1,1))-AVERAGE(OFFSET($H$3,0,0,'Données projet'!$E$9+1,1))</f>
        <v>157.19386117397545</v>
      </c>
      <c r="T136" s="62">
        <f t="shared" si="142"/>
        <v>153.10223389615993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32.073813698559412</v>
      </c>
      <c r="AA136" s="23">
        <f>EXP(-LN(2)/25)*AA135+(1-EXP(-LN(2)/25))/(LN(2)/25)*Calculateur!V136*Calculateur!X136*VLOOKUP('Données projet'!$B$9,Paramètres!$A$1:$I$89,3,0)*0.475*44/12</f>
        <v>5.4737428583504055</v>
      </c>
      <c r="AB136" s="23">
        <f>EXP(-LN(2)/2)*AB135+(1-EXP(-LN(2)/2))/(LN(2)/2)*V136*Y136*VLOOKUP('Données projet'!$B$9,Paramètres!$A$1:$I$89,3,0)*0.475*44/12</f>
        <v>4.9129790046815538E-14</v>
      </c>
      <c r="AC136" s="24">
        <f t="shared" si="111"/>
        <v>37.547556556909868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2">
        <f t="shared" si="140"/>
        <v>20.457157263578868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70">
        <f t="shared" si="110"/>
        <v>456.39018223406657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6.7984728957526396E-14</v>
      </c>
      <c r="P137" s="14">
        <f t="shared" si="141"/>
        <v>1.0682447123141398E-12</v>
      </c>
      <c r="Q137" s="22">
        <f t="shared" si="108"/>
        <v>1.978932943548152E-12</v>
      </c>
      <c r="R137" s="62">
        <f t="shared" si="109"/>
        <v>293.3333333333353</v>
      </c>
      <c r="S137" s="62">
        <f ca="1">AVERAGE(OFFSET($R$3,0,0,'Données projet'!$E$9+1,1))-AVERAGE(OFFSET($H$3,0,0,'Données projet'!$E$9+1,1))</f>
        <v>157.19386117397545</v>
      </c>
      <c r="T137" s="62">
        <f t="shared" si="142"/>
        <v>153.10223389615993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31.444865775025324</v>
      </c>
      <c r="AA137" s="23">
        <f>EXP(-LN(2)/25)*AA136+(1-EXP(-LN(2)/25))/(LN(2)/25)*Calculateur!V137*Calculateur!X137*VLOOKUP('Données projet'!$B$9,Paramètres!$A$1:$I$89,3,0)*0.475*44/12</f>
        <v>5.3240630720371875</v>
      </c>
      <c r="AB137" s="23">
        <f>EXP(-LN(2)/2)*AB136+(1-EXP(-LN(2)/2))/(LN(2)/2)*V137*Y137*VLOOKUP('Données projet'!$B$9,Paramètres!$A$1:$I$89,3,0)*0.475*44/12</f>
        <v>3.4740007700374615E-14</v>
      </c>
      <c r="AC137" s="24">
        <f t="shared" si="111"/>
        <v>36.768928847062547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2">
        <f t="shared" si="140"/>
        <v>20.591993942534774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70">
        <f t="shared" si="110"/>
        <v>457.57597278324812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6.7984728957526396E-14</v>
      </c>
      <c r="P138" s="14">
        <f t="shared" si="141"/>
        <v>1.0682447123141398E-12</v>
      </c>
      <c r="Q138" s="22">
        <f t="shared" si="108"/>
        <v>1.978932943548152E-12</v>
      </c>
      <c r="R138" s="62">
        <f t="shared" si="109"/>
        <v>293.3333333333353</v>
      </c>
      <c r="S138" s="62">
        <f ca="1">AVERAGE(OFFSET($R$3,0,0,'Données projet'!$E$9+1,1))-AVERAGE(OFFSET($H$3,0,0,'Données projet'!$E$9+1,1))</f>
        <v>157.19386117397545</v>
      </c>
      <c r="T138" s="62">
        <f t="shared" si="142"/>
        <v>153.10223389615993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30.828251136651385</v>
      </c>
      <c r="AA138" s="23">
        <f>EXP(-LN(2)/25)*AA137+(1-EXP(-LN(2)/25))/(LN(2)/25)*Calculateur!V138*Calculateur!X138*VLOOKUP('Données projet'!$B$9,Paramètres!$A$1:$I$89,3,0)*0.475*44/12</f>
        <v>5.178476287352022</v>
      </c>
      <c r="AB138" s="23">
        <f>EXP(-LN(2)/2)*AB137+(1-EXP(-LN(2)/2))/(LN(2)/2)*V138*Y138*VLOOKUP('Données projet'!$B$9,Paramètres!$A$1:$I$89,3,0)*0.475*44/12</f>
        <v>2.4564895023407769E-14</v>
      </c>
      <c r="AC138" s="24">
        <f t="shared" si="111"/>
        <v>36.006727424003429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2">
        <f t="shared" si="140"/>
        <v>20.726714411291841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70">
        <f t="shared" si="110"/>
        <v>458.76156093300006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6.7984728957526396E-14</v>
      </c>
      <c r="P139" s="14">
        <f t="shared" si="141"/>
        <v>1.0682447123141398E-12</v>
      </c>
      <c r="Q139" s="22">
        <f t="shared" si="108"/>
        <v>1.978932943548152E-12</v>
      </c>
      <c r="R139" s="62">
        <f t="shared" si="109"/>
        <v>293.3333333333353</v>
      </c>
      <c r="S139" s="62">
        <f ca="1">AVERAGE(OFFSET($R$3,0,0,'Données projet'!$E$9+1,1))-AVERAGE(OFFSET($H$3,0,0,'Données projet'!$E$9+1,1))</f>
        <v>157.19386117397545</v>
      </c>
      <c r="T139" s="62">
        <f t="shared" si="142"/>
        <v>153.10223389615993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30.223727935238166</v>
      </c>
      <c r="AA139" s="23">
        <f>EXP(-LN(2)/25)*AA138+(1-EXP(-LN(2)/25))/(LN(2)/25)*Calculateur!V139*Calculateur!X139*VLOOKUP('Données projet'!$B$9,Paramètres!$A$1:$I$89,3,0)*0.475*44/12</f>
        <v>5.0368705809501488</v>
      </c>
      <c r="AB139" s="23">
        <f>EXP(-LN(2)/2)*AB138+(1-EXP(-LN(2)/2))/(LN(2)/2)*V139*Y139*VLOOKUP('Données projet'!$B$9,Paramètres!$A$1:$I$89,3,0)*0.475*44/12</f>
        <v>1.7370003850187307E-14</v>
      </c>
      <c r="AC139" s="24">
        <f t="shared" si="111"/>
        <v>35.260598516188331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2">
        <f t="shared" si="140"/>
        <v>20.861319623408168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70">
        <f t="shared" si="110"/>
        <v>459.94694834410268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6.7984728957526396E-14</v>
      </c>
      <c r="P140" s="14">
        <f t="shared" si="141"/>
        <v>1.0682447123141398E-12</v>
      </c>
      <c r="Q140" s="22">
        <f t="shared" si="108"/>
        <v>1.978932943548152E-12</v>
      </c>
      <c r="R140" s="62">
        <f t="shared" si="109"/>
        <v>293.3333333333353</v>
      </c>
      <c r="S140" s="62">
        <f ca="1">AVERAGE(OFFSET($R$3,0,0,'Données projet'!$E$9+1,1))-AVERAGE(OFFSET($H$3,0,0,'Données projet'!$E$9+1,1))</f>
        <v>157.19386117397545</v>
      </c>
      <c r="T140" s="62">
        <f t="shared" si="142"/>
        <v>153.10223389615993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29.631059065081914</v>
      </c>
      <c r="AA140" s="23">
        <f>EXP(-LN(2)/25)*AA139+(1-EXP(-LN(2)/25))/(LN(2)/25)*Calculateur!V140*Calculateur!X140*VLOOKUP('Données projet'!$B$9,Paramètres!$A$1:$I$89,3,0)*0.475*44/12</f>
        <v>4.8991370900365547</v>
      </c>
      <c r="AB140" s="23">
        <f>EXP(-LN(2)/2)*AB139+(1-EXP(-LN(2)/2))/(LN(2)/2)*V140*Y140*VLOOKUP('Données projet'!$B$9,Paramètres!$A$1:$I$89,3,0)*0.475*44/12</f>
        <v>1.2282447511703885E-14</v>
      </c>
      <c r="AC140" s="24">
        <f t="shared" si="111"/>
        <v>34.530196155118482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2">
        <f t="shared" si="140"/>
        <v>20.995810517717057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70">
        <f t="shared" si="110"/>
        <v>461.13213665169064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6.7984728957526396E-14</v>
      </c>
      <c r="P141" s="14">
        <f t="shared" si="141"/>
        <v>1.0682447123141398E-12</v>
      </c>
      <c r="Q141" s="22">
        <f t="shared" si="108"/>
        <v>1.978932943548152E-12</v>
      </c>
      <c r="R141" s="62">
        <f t="shared" si="109"/>
        <v>293.3333333333353</v>
      </c>
      <c r="S141" s="62">
        <f ca="1">AVERAGE(OFFSET($R$3,0,0,'Données projet'!$E$9+1,1))-AVERAGE(OFFSET($H$3,0,0,'Données projet'!$E$9+1,1))</f>
        <v>157.19386117397545</v>
      </c>
      <c r="T141" s="62">
        <f t="shared" si="142"/>
        <v>153.10223389615993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29.050012069977111</v>
      </c>
      <c r="AA141" s="23">
        <f>EXP(-LN(2)/25)*AA140+(1-EXP(-LN(2)/25))/(LN(2)/25)*Calculateur!V141*Calculateur!X141*VLOOKUP('Données projet'!$B$9,Paramètres!$A$1:$I$89,3,0)*0.475*44/12</f>
        <v>4.7651699286750828</v>
      </c>
      <c r="AB141" s="23">
        <f>EXP(-LN(2)/2)*AB140+(1-EXP(-LN(2)/2))/(LN(2)/2)*V141*Y141*VLOOKUP('Données projet'!$B$9,Paramètres!$A$1:$I$89,3,0)*0.475*44/12</f>
        <v>8.6850019250936537E-15</v>
      </c>
      <c r="AC141" s="24">
        <f t="shared" si="111"/>
        <v>33.8151819986522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2">
        <f t="shared" si="140"/>
        <v>21.130188018659304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70">
        <f t="shared" si="110"/>
        <v>462.31712746583173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6.7984728957526396E-14</v>
      </c>
      <c r="P142" s="14">
        <f t="shared" si="141"/>
        <v>1.0682447123141398E-12</v>
      </c>
      <c r="Q142" s="22">
        <f t="shared" si="108"/>
        <v>1.978932943548152E-12</v>
      </c>
      <c r="R142" s="62">
        <f t="shared" si="109"/>
        <v>293.3333333333353</v>
      </c>
      <c r="S142" s="62">
        <f ca="1">AVERAGE(OFFSET($R$3,0,0,'Données projet'!$E$9+1,1))-AVERAGE(OFFSET($H$3,0,0,'Données projet'!$E$9+1,1))</f>
        <v>157.19386117397545</v>
      </c>
      <c r="T142" s="62">
        <f t="shared" si="142"/>
        <v>153.10223389615993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28.48035905204264</v>
      </c>
      <c r="AA142" s="23">
        <f>EXP(-LN(2)/25)*AA141+(1-EXP(-LN(2)/25))/(LN(2)/25)*Calculateur!V142*Calculateur!X142*VLOOKUP('Données projet'!$B$9,Paramètres!$A$1:$I$89,3,0)*0.475*44/12</f>
        <v>4.6348661063860668</v>
      </c>
      <c r="AB142" s="23">
        <f>EXP(-LN(2)/2)*AB141+(1-EXP(-LN(2)/2))/(LN(2)/2)*V142*Y142*VLOOKUP('Données projet'!$B$9,Paramètres!$A$1:$I$89,3,0)*0.475*44/12</f>
        <v>6.1412237558519423E-15</v>
      </c>
      <c r="AC142" s="24">
        <f t="shared" si="111"/>
        <v>33.115225158428714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2">
        <f t="shared" si="140"/>
        <v>21.264453036605797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70">
        <f t="shared" si="110"/>
        <v>463.50192237208853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6.7984728957526396E-14</v>
      </c>
      <c r="P143" s="14">
        <f t="shared" si="141"/>
        <v>1.0682447123141398E-12</v>
      </c>
      <c r="Q143" s="22">
        <f t="shared" si="108"/>
        <v>1.978932943548152E-12</v>
      </c>
      <c r="R143" s="62">
        <f t="shared" si="109"/>
        <v>293.3333333333353</v>
      </c>
      <c r="S143" s="62">
        <f ca="1">AVERAGE(OFFSET($R$3,0,0,'Données projet'!$E$9+1,1))-AVERAGE(OFFSET($H$3,0,0,'Données projet'!$E$9+1,1))</f>
        <v>157.19386117397545</v>
      </c>
      <c r="T143" s="62">
        <f t="shared" si="142"/>
        <v>153.10223389615993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27.921876582335834</v>
      </c>
      <c r="AA143" s="23">
        <f>EXP(-LN(2)/25)*AA142+(1-EXP(-LN(2)/25))/(LN(2)/25)*Calculateur!V143*Calculateur!X143*VLOOKUP('Données projet'!$B$9,Paramètres!$A$1:$I$89,3,0)*0.475*44/12</f>
        <v>4.5081254489699241</v>
      </c>
      <c r="AB143" s="23">
        <f>EXP(-LN(2)/2)*AB142+(1-EXP(-LN(2)/2))/(LN(2)/2)*V143*Y143*VLOOKUP('Données projet'!$B$9,Paramètres!$A$1:$I$89,3,0)*0.475*44/12</f>
        <v>4.3425009625468269E-15</v>
      </c>
      <c r="AC143" s="24">
        <f t="shared" si="111"/>
        <v>32.430002031305769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2">
        <f t="shared" si="140"/>
        <v>21.39860646817062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70">
        <f t="shared" si="110"/>
        <v>464.68652293206395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6.7984728957526396E-14</v>
      </c>
      <c r="P144" s="14">
        <f t="shared" si="141"/>
        <v>1.0682447123141398E-12</v>
      </c>
      <c r="Q144" s="22">
        <f t="shared" si="108"/>
        <v>1.978932943548152E-12</v>
      </c>
      <c r="R144" s="62">
        <f t="shared" si="109"/>
        <v>293.3333333333353</v>
      </c>
      <c r="S144" s="62">
        <f ca="1">AVERAGE(OFFSET($R$3,0,0,'Données projet'!$E$9+1,1))-AVERAGE(OFFSET($H$3,0,0,'Données projet'!$E$9+1,1))</f>
        <v>157.19386117397545</v>
      </c>
      <c r="T144" s="62">
        <f t="shared" si="142"/>
        <v>153.10223389615993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27.374345613219305</v>
      </c>
      <c r="AA144" s="23">
        <f>EXP(-LN(2)/25)*AA143+(1-EXP(-LN(2)/25))/(LN(2)/25)*Calculateur!V144*Calculateur!X144*VLOOKUP('Données projet'!$B$9,Paramètres!$A$1:$I$89,3,0)*0.475*44/12</f>
        <v>4.384850521495828</v>
      </c>
      <c r="AB144" s="23">
        <f>EXP(-LN(2)/2)*AB143+(1-EXP(-LN(2)/2))/(LN(2)/2)*V144*Y144*VLOOKUP('Données projet'!$B$9,Paramètres!$A$1:$I$89,3,0)*0.475*44/12</f>
        <v>3.0706118779259712E-15</v>
      </c>
      <c r="AC144" s="24">
        <f t="shared" si="111"/>
        <v>31.759196134715136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2">
        <f t="shared" si="140"/>
        <v>21.532649196514924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70">
        <f t="shared" si="110"/>
        <v>465.87093068393028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6.7984728957526396E-14</v>
      </c>
      <c r="P145" s="14">
        <f t="shared" si="141"/>
        <v>1.0682447123141398E-12</v>
      </c>
      <c r="Q145" s="22">
        <f t="shared" si="108"/>
        <v>1.978932943548152E-12</v>
      </c>
      <c r="R145" s="62">
        <f t="shared" si="109"/>
        <v>293.3333333333353</v>
      </c>
      <c r="S145" s="62">
        <f ca="1">AVERAGE(OFFSET($R$3,0,0,'Données projet'!$E$9+1,1))-AVERAGE(OFFSET($H$3,0,0,'Données projet'!$E$9+1,1))</f>
        <v>157.19386117397545</v>
      </c>
      <c r="T145" s="62">
        <f t="shared" si="142"/>
        <v>153.10223389615993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26.837551392446237</v>
      </c>
      <c r="AA145" s="23">
        <f>EXP(-LN(2)/25)*AA144+(1-EXP(-LN(2)/25))/(LN(2)/25)*Calculateur!V145*Calculateur!X145*VLOOKUP('Données projet'!$B$9,Paramètres!$A$1:$I$89,3,0)*0.475*44/12</f>
        <v>4.2649465533962569</v>
      </c>
      <c r="AB145" s="23">
        <f>EXP(-LN(2)/2)*AB144+(1-EXP(-LN(2)/2))/(LN(2)/2)*V145*Y145*VLOOKUP('Données projet'!$B$9,Paramètres!$A$1:$I$89,3,0)*0.475*44/12</f>
        <v>2.1712504812734134E-15</v>
      </c>
      <c r="AC145" s="24">
        <f t="shared" si="111"/>
        <v>31.102497945842497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2">
        <f t="shared" si="140"/>
        <v>21.666582091642102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70">
        <f t="shared" si="110"/>
        <v>467.0551471429435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6.7984728957526396E-14</v>
      </c>
      <c r="P146" s="14">
        <f t="shared" si="141"/>
        <v>1.0682447123141398E-12</v>
      </c>
      <c r="Q146" s="22">
        <f t="shared" si="108"/>
        <v>1.978932943548152E-12</v>
      </c>
      <c r="R146" s="62">
        <f t="shared" si="109"/>
        <v>293.3333333333353</v>
      </c>
      <c r="S146" s="62">
        <f ca="1">AVERAGE(OFFSET($R$3,0,0,'Données projet'!$E$9+1,1))-AVERAGE(OFFSET($H$3,0,0,'Données projet'!$E$9+1,1))</f>
        <v>157.19386117397545</v>
      </c>
      <c r="T146" s="62">
        <f t="shared" si="142"/>
        <v>153.10223389615993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26.311283378930383</v>
      </c>
      <c r="AA146" s="23">
        <f>EXP(-LN(2)/25)*AA145+(1-EXP(-LN(2)/25))/(LN(2)/25)*Calculateur!V146*Calculateur!X146*VLOOKUP('Données projet'!$B$9,Paramètres!$A$1:$I$89,3,0)*0.475*44/12</f>
        <v>4.1483213656098448</v>
      </c>
      <c r="AB146" s="23">
        <f>EXP(-LN(2)/2)*AB145+(1-EXP(-LN(2)/2))/(LN(2)/2)*V146*Y146*VLOOKUP('Données projet'!$B$9,Paramètres!$A$1:$I$89,3,0)*0.475*44/12</f>
        <v>1.5353059389629856E-15</v>
      </c>
      <c r="AC146" s="24">
        <f t="shared" si="111"/>
        <v>30.459604744540229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2">
        <f t="shared" si="140"/>
        <v>21.800406010684483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70">
        <f t="shared" si="110"/>
        <v>468.23917380194229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6.7984728957526396E-14</v>
      </c>
      <c r="P147" s="14">
        <f t="shared" si="141"/>
        <v>1.0682447123141398E-12</v>
      </c>
      <c r="Q147" s="22">
        <f t="shared" si="108"/>
        <v>1.978932943548152E-12</v>
      </c>
      <c r="R147" s="62">
        <f t="shared" si="109"/>
        <v>293.3333333333353</v>
      </c>
      <c r="S147" s="62">
        <f ca="1">AVERAGE(OFFSET($R$3,0,0,'Données projet'!$E$9+1,1))-AVERAGE(OFFSET($H$3,0,0,'Données projet'!$E$9+1,1))</f>
        <v>157.19386117397545</v>
      </c>
      <c r="T147" s="62">
        <f t="shared" si="142"/>
        <v>153.10223389615993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25.795335160167781</v>
      </c>
      <c r="AA147" s="23">
        <f>EXP(-LN(2)/25)*AA146+(1-EXP(-LN(2)/25))/(LN(2)/25)*Calculateur!V147*Calculateur!X147*VLOOKUP('Données projet'!$B$9,Paramètres!$A$1:$I$89,3,0)*0.475*44/12</f>
        <v>4.0348852997165041</v>
      </c>
      <c r="AB147" s="23">
        <f>EXP(-LN(2)/2)*AB146+(1-EXP(-LN(2)/2))/(LN(2)/2)*V147*Y147*VLOOKUP('Données projet'!$B$9,Paramètres!$A$1:$I$89,3,0)*0.475*44/12</f>
        <v>1.0856252406367067E-15</v>
      </c>
      <c r="AC147" s="24">
        <f t="shared" si="111"/>
        <v>29.830220459884284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2">
        <f t="shared" si="140"/>
        <v>21.934121798181632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70">
        <f t="shared" si="110"/>
        <v>469.42301213183316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6.7984728957526396E-14</v>
      </c>
      <c r="P148" s="14">
        <f t="shared" si="141"/>
        <v>1.0682447123141398E-12</v>
      </c>
      <c r="Q148" s="22">
        <f t="shared" si="108"/>
        <v>1.978932943548152E-12</v>
      </c>
      <c r="R148" s="62">
        <f t="shared" si="109"/>
        <v>293.3333333333353</v>
      </c>
      <c r="S148" s="62">
        <f ca="1">AVERAGE(OFFSET($R$3,0,0,'Données projet'!$E$9+1,1))-AVERAGE(OFFSET($H$3,0,0,'Données projet'!$E$9+1,1))</f>
        <v>157.19386117397545</v>
      </c>
      <c r="T148" s="62">
        <f t="shared" si="142"/>
        <v>153.10223389615993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25.289504371277776</v>
      </c>
      <c r="AA148" s="23">
        <f>EXP(-LN(2)/25)*AA147+(1-EXP(-LN(2)/25))/(LN(2)/25)*Calculateur!V148*Calculateur!X148*VLOOKUP('Données projet'!$B$9,Paramètres!$A$1:$I$89,3,0)*0.475*44/12</f>
        <v>3.9245511490103602</v>
      </c>
      <c r="AB148" s="23">
        <f>EXP(-LN(2)/2)*AB147+(1-EXP(-LN(2)/2))/(LN(2)/2)*V148*Y148*VLOOKUP('Données projet'!$B$9,Paramètres!$A$1:$I$89,3,0)*0.475*44/12</f>
        <v>7.6765296948149279E-16</v>
      </c>
      <c r="AC148" s="24">
        <f t="shared" si="111"/>
        <v>29.214055520288134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2">
        <f t="shared" si="140"/>
        <v>22.067730286351065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70">
        <f t="shared" si="110"/>
        <v>470.60666358206163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6.7984728957526396E-14</v>
      </c>
      <c r="P149" s="14">
        <f t="shared" si="141"/>
        <v>1.0682447123141398E-12</v>
      </c>
      <c r="Q149" s="22">
        <f t="shared" si="108"/>
        <v>1.978932943548152E-12</v>
      </c>
      <c r="R149" s="62">
        <f t="shared" si="109"/>
        <v>293.3333333333353</v>
      </c>
      <c r="S149" s="62">
        <f ca="1">AVERAGE(OFFSET($R$3,0,0,'Données projet'!$E$9+1,1))-AVERAGE(OFFSET($H$3,0,0,'Données projet'!$E$9+1,1))</f>
        <v>157.19386117397545</v>
      </c>
      <c r="T149" s="62">
        <f t="shared" si="142"/>
        <v>153.10223389615993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24.793592615631585</v>
      </c>
      <c r="AA149" s="23">
        <f>EXP(-LN(2)/25)*AA148+(1-EXP(-LN(2)/25))/(LN(2)/25)*Calculateur!V149*Calculateur!X149*VLOOKUP('Données projet'!$B$9,Paramètres!$A$1:$I$89,3,0)*0.475*44/12</f>
        <v>3.8172340914574967</v>
      </c>
      <c r="AB149" s="23">
        <f>EXP(-LN(2)/2)*AB148+(1-EXP(-LN(2)/2))/(LN(2)/2)*V149*Y149*VLOOKUP('Données projet'!$B$9,Paramètres!$A$1:$I$89,3,0)*0.475*44/12</f>
        <v>5.4281262031835336E-16</v>
      </c>
      <c r="AC149" s="24">
        <f t="shared" si="111"/>
        <v>28.610826707089082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2">
        <f t="shared" si="140"/>
        <v>22.201232295351069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70">
        <f t="shared" si="110"/>
        <v>471.79012958106995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6.7984728957526396E-14</v>
      </c>
      <c r="P150" s="14">
        <f t="shared" si="141"/>
        <v>1.0682447123141398E-12</v>
      </c>
      <c r="Q150" s="22">
        <f t="shared" si="108"/>
        <v>1.978932943548152E-12</v>
      </c>
      <c r="R150" s="62">
        <f t="shared" si="109"/>
        <v>293.3333333333353</v>
      </c>
      <c r="S150" s="62">
        <f ca="1">AVERAGE(OFFSET($R$3,0,0,'Données projet'!$E$9+1,1))-AVERAGE(OFFSET($H$3,0,0,'Données projet'!$E$9+1,1))</f>
        <v>157.19386117397545</v>
      </c>
      <c r="T150" s="62">
        <f t="shared" si="142"/>
        <v>153.10223389615993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24.307405387037313</v>
      </c>
      <c r="AA150" s="23">
        <f>EXP(-LN(2)/25)*AA149+(1-EXP(-LN(2)/25))/(LN(2)/25)*Calculateur!V150*Calculateur!X150*VLOOKUP('Données projet'!$B$9,Paramètres!$A$1:$I$89,3,0)*0.475*44/12</f>
        <v>3.7128516244869751</v>
      </c>
      <c r="AB150" s="23">
        <f>EXP(-LN(2)/2)*AB149+(1-EXP(-LN(2)/2))/(LN(2)/2)*V150*Y150*VLOOKUP('Données projet'!$B$9,Paramètres!$A$1:$I$89,3,0)*0.475*44/12</f>
        <v>3.8382648474074639E-16</v>
      </c>
      <c r="AC150" s="24">
        <f t="shared" si="111"/>
        <v>28.02025701152429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2">
        <f t="shared" si="140"/>
        <v>22.334628633536237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70">
        <f t="shared" si="110"/>
        <v>472.9734115367425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6.7984728957526396E-14</v>
      </c>
      <c r="P151" s="14">
        <f t="shared" si="141"/>
        <v>1.0682447123141398E-12</v>
      </c>
      <c r="Q151" s="22">
        <f t="shared" si="108"/>
        <v>1.978932943548152E-12</v>
      </c>
      <c r="R151" s="62">
        <f t="shared" si="109"/>
        <v>293.3333333333353</v>
      </c>
      <c r="S151" s="62">
        <f ca="1">AVERAGE(OFFSET($R$3,0,0,'Données projet'!$E$9+1,1))-AVERAGE(OFFSET($H$3,0,0,'Données projet'!$E$9+1,1))</f>
        <v>157.19386117397545</v>
      </c>
      <c r="T151" s="62">
        <f t="shared" si="142"/>
        <v>153.10223389615993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23.830751993450846</v>
      </c>
      <c r="AA151" s="23">
        <f>EXP(-LN(2)/25)*AA150+(1-EXP(-LN(2)/25))/(LN(2)/25)*Calculateur!V151*Calculateur!X151*VLOOKUP('Données projet'!$B$9,Paramètres!$A$1:$I$89,3,0)*0.475*44/12</f>
        <v>3.6113235015649976</v>
      </c>
      <c r="AB151" s="23">
        <f>EXP(-LN(2)/2)*AB150+(1-EXP(-LN(2)/2))/(LN(2)/2)*V151*Y151*VLOOKUP('Données projet'!$B$9,Paramètres!$A$1:$I$89,3,0)*0.475*44/12</f>
        <v>2.7140631015917668E-16</v>
      </c>
      <c r="AC151" s="24">
        <f t="shared" si="111"/>
        <v>27.442075495015843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2">
        <f t="shared" si="140"/>
        <v>22.467920097706067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70">
        <f t="shared" si="110"/>
        <v>474.15651083683827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6.7984728957526396E-14</v>
      </c>
      <c r="P152" s="14">
        <f t="shared" si="141"/>
        <v>1.0682447123141398E-12</v>
      </c>
      <c r="Q152" s="22">
        <f t="shared" si="108"/>
        <v>1.978932943548152E-12</v>
      </c>
      <c r="R152" s="62">
        <f t="shared" si="109"/>
        <v>293.3333333333353</v>
      </c>
      <c r="S152" s="62">
        <f ca="1">AVERAGE(OFFSET($R$3,0,0,'Données projet'!$E$9+1,1))-AVERAGE(OFFSET($H$3,0,0,'Données projet'!$E$9+1,1))</f>
        <v>157.19386117397545</v>
      </c>
      <c r="T152" s="62">
        <f t="shared" si="142"/>
        <v>153.10223389615993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23.363445482182748</v>
      </c>
      <c r="AA152" s="23">
        <f>EXP(-LN(2)/25)*AA151+(1-EXP(-LN(2)/25))/(LN(2)/25)*Calculateur!V152*Calculateur!X152*VLOOKUP('Données projet'!$B$9,Paramètres!$A$1:$I$89,3,0)*0.475*44/12</f>
        <v>3.5125716705034535</v>
      </c>
      <c r="AB152" s="23">
        <f>EXP(-LN(2)/2)*AB151+(1-EXP(-LN(2)/2))/(LN(2)/2)*V152*Y152*VLOOKUP('Données projet'!$B$9,Paramètres!$A$1:$I$89,3,0)*0.475*44/12</f>
        <v>1.919132423703732E-16</v>
      </c>
      <c r="AC152" s="24">
        <f t="shared" si="111"/>
        <v>26.876017152686202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2">
        <f t="shared" si="140"/>
        <v>22.601107473346371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70">
        <f t="shared" si="110"/>
        <v>475.33942884941183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6.7984728957526396E-14</v>
      </c>
      <c r="P153" s="14">
        <f t="shared" si="141"/>
        <v>1.0682447123141398E-12</v>
      </c>
      <c r="Q153" s="22">
        <f t="shared" si="108"/>
        <v>1.978932943548152E-12</v>
      </c>
      <c r="R153" s="62">
        <f t="shared" si="109"/>
        <v>293.3333333333353</v>
      </c>
      <c r="S153" s="62">
        <f ca="1">AVERAGE(OFFSET($R$3,0,0,'Données projet'!$E$9+1,1))-AVERAGE(OFFSET($H$3,0,0,'Données projet'!$E$9+1,1))</f>
        <v>157.19386117397545</v>
      </c>
      <c r="T153" s="62">
        <f t="shared" si="142"/>
        <v>153.10223389615993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22.905302566571788</v>
      </c>
      <c r="AA153" s="23">
        <f>EXP(-LN(2)/25)*AA152+(1-EXP(-LN(2)/25))/(LN(2)/25)*Calculateur!V153*Calculateur!X153*VLOOKUP('Données projet'!$B$9,Paramètres!$A$1:$I$89,3,0)*0.475*44/12</f>
        <v>3.4165202134554207</v>
      </c>
      <c r="AB153" s="23">
        <f>EXP(-LN(2)/2)*AB152+(1-EXP(-LN(2)/2))/(LN(2)/2)*V153*Y153*VLOOKUP('Données projet'!$B$9,Paramètres!$A$1:$I$89,3,0)*0.475*44/12</f>
        <v>1.3570315507958834E-16</v>
      </c>
      <c r="AC153" s="24">
        <f t="shared" si="111"/>
        <v>26.321822780027208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2">
        <f t="shared" si="140"/>
        <v>22.734191534864422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70">
        <f t="shared" si="110"/>
        <v>476.52216692322241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6.7984728957526396E-14</v>
      </c>
      <c r="P154" s="14">
        <f t="shared" si="141"/>
        <v>1.0682447123141398E-12</v>
      </c>
      <c r="Q154" s="22">
        <f t="shared" ref="Q154:Q203" si="162">(O154+P154)*0.475*44/12</f>
        <v>1.978932943548152E-12</v>
      </c>
      <c r="R154" s="62">
        <f t="shared" si="109"/>
        <v>293.3333333333353</v>
      </c>
      <c r="S154" s="62">
        <f ca="1">AVERAGE(OFFSET($R$3,0,0,'Données projet'!$E$9+1,1))-AVERAGE(OFFSET($H$3,0,0,'Données projet'!$E$9+1,1))</f>
        <v>157.19386117397545</v>
      </c>
      <c r="T154" s="62">
        <f t="shared" si="142"/>
        <v>153.10223389615993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22.456143554096371</v>
      </c>
      <c r="AA154" s="23">
        <f>EXP(-LN(2)/25)*AA153+(1-EXP(-LN(2)/25))/(LN(2)/25)*Calculateur!V154*Calculateur!X154*VLOOKUP('Données projet'!$B$9,Paramètres!$A$1:$I$89,3,0)*0.475*44/12</f>
        <v>3.3230952885514928</v>
      </c>
      <c r="AB154" s="23">
        <f>EXP(-LN(2)/2)*AB153+(1-EXP(-LN(2)/2))/(LN(2)/2)*V154*Y154*VLOOKUP('Données projet'!$B$9,Paramètres!$A$1:$I$89,3,0)*0.475*44/12</f>
        <v>9.5956621185186599E-17</v>
      </c>
      <c r="AC154" s="24">
        <f t="shared" ref="AC154:AC203" si="163">SUM(Z154:AB154)</f>
        <v>25.779238842647864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2">
        <f t="shared" si="140"/>
        <v>22.867173045817363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70">
        <f t="shared" si="110"/>
        <v>477.70472638813214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6.7984728957526396E-14</v>
      </c>
      <c r="P155" s="14">
        <f t="shared" si="141"/>
        <v>1.0682447123141398E-12</v>
      </c>
      <c r="Q155" s="22">
        <f t="shared" si="162"/>
        <v>1.978932943548152E-12</v>
      </c>
      <c r="R155" s="62">
        <f t="shared" si="109"/>
        <v>293.3333333333353</v>
      </c>
      <c r="S155" s="62">
        <f ca="1">AVERAGE(OFFSET($R$3,0,0,'Données projet'!$E$9+1,1))-AVERAGE(OFFSET($H$3,0,0,'Données projet'!$E$9+1,1))</f>
        <v>157.19386117397545</v>
      </c>
      <c r="T155" s="62">
        <f t="shared" si="142"/>
        <v>153.10223389615993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22.015792275895652</v>
      </c>
      <c r="AA155" s="23">
        <f>EXP(-LN(2)/25)*AA154+(1-EXP(-LN(2)/25))/(LN(2)/25)*Calculateur!V155*Calculateur!X155*VLOOKUP('Données projet'!$B$9,Paramètres!$A$1:$I$89,3,0)*0.475*44/12</f>
        <v>3.2322250731320659</v>
      </c>
      <c r="AB155" s="23">
        <f>EXP(-LN(2)/2)*AB154+(1-EXP(-LN(2)/2))/(LN(2)/2)*V155*Y155*VLOOKUP('Données projet'!$B$9,Paramètres!$A$1:$I$89,3,0)*0.475*44/12</f>
        <v>6.785157753979417E-17</v>
      </c>
      <c r="AC155" s="24">
        <f t="shared" si="163"/>
        <v>25.24801734902772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2">
        <f t="shared" si="140"/>
        <v>23.000052759134679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70">
        <f t="shared" si="110"/>
        <v>478.88710855549317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6.7984728957526396E-14</v>
      </c>
      <c r="P156" s="14">
        <f t="shared" si="141"/>
        <v>1.0682447123141398E-12</v>
      </c>
      <c r="Q156" s="22">
        <f t="shared" si="162"/>
        <v>1.978932943548152E-12</v>
      </c>
      <c r="R156" s="62">
        <f t="shared" si="109"/>
        <v>293.3333333333353</v>
      </c>
      <c r="S156" s="62">
        <f ca="1">AVERAGE(OFFSET($R$3,0,0,'Données projet'!$E$9+1,1))-AVERAGE(OFFSET($H$3,0,0,'Données projet'!$E$9+1,1))</f>
        <v>157.19386117397545</v>
      </c>
      <c r="T156" s="62">
        <f t="shared" si="142"/>
        <v>153.10223389615993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21.584076017672693</v>
      </c>
      <c r="AA156" s="23">
        <f>EXP(-LN(2)/25)*AA155+(1-EXP(-LN(2)/25))/(LN(2)/25)*Calculateur!V156*Calculateur!X156*VLOOKUP('Données projet'!$B$9,Paramètres!$A$1:$I$89,3,0)*0.475*44/12</f>
        <v>3.1438397085319401</v>
      </c>
      <c r="AB156" s="23">
        <f>EXP(-LN(2)/2)*AB155+(1-EXP(-LN(2)/2))/(LN(2)/2)*V156*Y156*VLOOKUP('Données projet'!$B$9,Paramètres!$A$1:$I$89,3,0)*0.475*44/12</f>
        <v>4.7978310592593299E-17</v>
      </c>
      <c r="AC156" s="24">
        <f t="shared" si="163"/>
        <v>24.727915726204632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2">
        <f t="shared" si="140"/>
        <v>23.132831417334586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70">
        <f t="shared" si="110"/>
        <v>480.06931471852465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6.7984728957526396E-14</v>
      </c>
      <c r="P157" s="14">
        <f t="shared" si="141"/>
        <v>1.0682447123141398E-12</v>
      </c>
      <c r="Q157" s="22">
        <f t="shared" si="162"/>
        <v>1.978932943548152E-12</v>
      </c>
      <c r="R157" s="62">
        <f t="shared" si="109"/>
        <v>293.3333333333353</v>
      </c>
      <c r="S157" s="62">
        <f ca="1">AVERAGE(OFFSET($R$3,0,0,'Données projet'!$E$9+1,1))-AVERAGE(OFFSET($H$3,0,0,'Données projet'!$E$9+1,1))</f>
        <v>157.19386117397545</v>
      </c>
      <c r="T157" s="62">
        <f t="shared" si="142"/>
        <v>153.10223389615993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21.160825451952569</v>
      </c>
      <c r="AA157" s="23">
        <f>EXP(-LN(2)/25)*AA156+(1-EXP(-LN(2)/25))/(LN(2)/25)*Calculateur!V157*Calculateur!X157*VLOOKUP('Données projet'!$B$9,Paramètres!$A$1:$I$89,3,0)*0.475*44/12</f>
        <v>3.057871246374789</v>
      </c>
      <c r="AB157" s="23">
        <f>EXP(-LN(2)/2)*AB156+(1-EXP(-LN(2)/2))/(LN(2)/2)*V157*Y157*VLOOKUP('Données projet'!$B$9,Paramètres!$A$1:$I$89,3,0)*0.475*44/12</f>
        <v>3.3925788769897085E-17</v>
      </c>
      <c r="AC157" s="24">
        <f t="shared" si="163"/>
        <v>24.218696698327356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2">
        <f t="shared" si="140"/>
        <v>23.265509752734562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70">
        <f t="shared" si="110"/>
        <v>481.25134615267967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6.7984728957526396E-14</v>
      </c>
      <c r="P158" s="14">
        <f t="shared" si="141"/>
        <v>1.0682447123141398E-12</v>
      </c>
      <c r="Q158" s="22">
        <f t="shared" si="162"/>
        <v>1.978932943548152E-12</v>
      </c>
      <c r="R158" s="62">
        <f t="shared" si="109"/>
        <v>293.3333333333353</v>
      </c>
      <c r="S158" s="62">
        <f ca="1">AVERAGE(OFFSET($R$3,0,0,'Données projet'!$E$9+1,1))-AVERAGE(OFFSET($H$3,0,0,'Données projet'!$E$9+1,1))</f>
        <v>157.19386117397545</v>
      </c>
      <c r="T158" s="62">
        <f t="shared" si="142"/>
        <v>153.10223389615993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20.74587457166886</v>
      </c>
      <c r="AA158" s="23">
        <f>EXP(-LN(2)/25)*AA157+(1-EXP(-LN(2)/25))/(LN(2)/25)*Calculateur!V158*Calculateur!X158*VLOOKUP('Données projet'!$B$9,Paramètres!$A$1:$I$89,3,0)*0.475*44/12</f>
        <v>2.9742535963362102</v>
      </c>
      <c r="AB158" s="23">
        <f>EXP(-LN(2)/2)*AB157+(1-EXP(-LN(2)/2))/(LN(2)/2)*V158*Y158*VLOOKUP('Données projet'!$B$9,Paramètres!$A$1:$I$89,3,0)*0.475*44/12</f>
        <v>2.398915529629665E-17</v>
      </c>
      <c r="AC158" s="24">
        <f t="shared" si="163"/>
        <v>23.720128168005072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2">
        <f t="shared" si="140"/>
        <v>23.398088487656484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70">
        <f t="shared" si="110"/>
        <v>482.433204116002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6.7984728957526396E-14</v>
      </c>
      <c r="P159" s="14">
        <f t="shared" si="141"/>
        <v>1.0682447123141398E-12</v>
      </c>
      <c r="Q159" s="22">
        <f t="shared" si="162"/>
        <v>1.978932943548152E-12</v>
      </c>
      <c r="R159" s="62">
        <f t="shared" si="109"/>
        <v>293.3333333333353</v>
      </c>
      <c r="S159" s="62">
        <f ca="1">AVERAGE(OFFSET($R$3,0,0,'Données projet'!$E$9+1,1))-AVERAGE(OFFSET($H$3,0,0,'Données projet'!$E$9+1,1))</f>
        <v>157.19386117397545</v>
      </c>
      <c r="T159" s="62">
        <f t="shared" si="142"/>
        <v>153.10223389615993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20.339060625052472</v>
      </c>
      <c r="AA159" s="23">
        <f>EXP(-LN(2)/25)*AA158+(1-EXP(-LN(2)/25))/(LN(2)/25)*Calculateur!V159*Calculateur!X159*VLOOKUP('Données projet'!$B$9,Paramètres!$A$1:$I$89,3,0)*0.475*44/12</f>
        <v>2.8929224753351979</v>
      </c>
      <c r="AB159" s="23">
        <f>EXP(-LN(2)/2)*AB158+(1-EXP(-LN(2)/2))/(LN(2)/2)*V159*Y159*VLOOKUP('Données projet'!$B$9,Paramètres!$A$1:$I$89,3,0)*0.475*44/12</f>
        <v>1.6962894384948542E-17</v>
      </c>
      <c r="AC159" s="24">
        <f t="shared" si="163"/>
        <v>23.231983100387669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2">
        <f t="shared" si="140"/>
        <v>23.530568334626178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70">
        <f t="shared" si="110"/>
        <v>483.61488984947425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6.7984728957526396E-14</v>
      </c>
      <c r="P160" s="14">
        <f t="shared" si="141"/>
        <v>1.0682447123141398E-12</v>
      </c>
      <c r="Q160" s="22">
        <f t="shared" si="162"/>
        <v>1.978932943548152E-12</v>
      </c>
      <c r="R160" s="62">
        <f t="shared" si="109"/>
        <v>293.3333333333353</v>
      </c>
      <c r="S160" s="62">
        <f ca="1">AVERAGE(OFFSET($R$3,0,0,'Données projet'!$E$9+1,1))-AVERAGE(OFFSET($H$3,0,0,'Données projet'!$E$9+1,1))</f>
        <v>157.19386117397545</v>
      </c>
      <c r="T160" s="62">
        <f t="shared" si="142"/>
        <v>153.10223389615993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19.940224051797223</v>
      </c>
      <c r="AA160" s="23">
        <f>EXP(-LN(2)/25)*AA159+(1-EXP(-LN(2)/25))/(LN(2)/25)*Calculateur!V160*Calculateur!X160*VLOOKUP('Données projet'!$B$9,Paramètres!$A$1:$I$89,3,0)*0.475*44/12</f>
        <v>2.8138153581149759</v>
      </c>
      <c r="AB160" s="23">
        <f>EXP(-LN(2)/2)*AB159+(1-EXP(-LN(2)/2))/(LN(2)/2)*V160*Y160*VLOOKUP('Données projet'!$B$9,Paramètres!$A$1:$I$89,3,0)*0.475*44/12</f>
        <v>1.1994577648148325E-17</v>
      </c>
      <c r="AC160" s="24">
        <f t="shared" si="163"/>
        <v>22.754039409912199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2">
        <f t="shared" si="140"/>
        <v>23.662949996567761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70">
        <f t="shared" si="110"/>
        <v>484.79640457735582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6.7984728957526396E-14</v>
      </c>
      <c r="P161" s="14">
        <f t="shared" si="141"/>
        <v>1.0682447123141398E-12</v>
      </c>
      <c r="Q161" s="22">
        <f t="shared" si="162"/>
        <v>1.978932943548152E-12</v>
      </c>
      <c r="R161" s="62">
        <f t="shared" si="109"/>
        <v>293.3333333333353</v>
      </c>
      <c r="S161" s="62">
        <f ca="1">AVERAGE(OFFSET($R$3,0,0,'Données projet'!$E$9+1,1))-AVERAGE(OFFSET($H$3,0,0,'Données projet'!$E$9+1,1))</f>
        <v>157.19386117397545</v>
      </c>
      <c r="T161" s="62">
        <f t="shared" si="142"/>
        <v>153.10223389615993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19.549208420477221</v>
      </c>
      <c r="AA161" s="23">
        <f>EXP(-LN(2)/25)*AA160+(1-EXP(-LN(2)/25))/(LN(2)/25)*Calculateur!V161*Calculateur!X161*VLOOKUP('Données projet'!$B$9,Paramètres!$A$1:$I$89,3,0)*0.475*44/12</f>
        <v>2.7368714291752032</v>
      </c>
      <c r="AB161" s="23">
        <f>EXP(-LN(2)/2)*AB160+(1-EXP(-LN(2)/2))/(LN(2)/2)*V161*Y161*VLOOKUP('Données projet'!$B$9,Paramètres!$A$1:$I$89,3,0)*0.475*44/12</f>
        <v>8.4814471924742712E-18</v>
      </c>
      <c r="AC161" s="24">
        <f t="shared" si="163"/>
        <v>22.286079849652424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2">
        <f t="shared" si="140"/>
        <v>23.795234166993069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70">
        <f t="shared" si="110"/>
        <v>485.97774950751329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6.7984728957526396E-14</v>
      </c>
      <c r="P162" s="14">
        <f t="shared" si="141"/>
        <v>1.0682447123141398E-12</v>
      </c>
      <c r="Q162" s="22">
        <f t="shared" si="162"/>
        <v>1.978932943548152E-12</v>
      </c>
      <c r="R162" s="62">
        <f t="shared" si="109"/>
        <v>293.3333333333353</v>
      </c>
      <c r="S162" s="62">
        <f ca="1">AVERAGE(OFFSET($R$3,0,0,'Données projet'!$E$9+1,1))-AVERAGE(OFFSET($H$3,0,0,'Données projet'!$E$9+1,1))</f>
        <v>157.19386117397545</v>
      </c>
      <c r="T162" s="62">
        <f t="shared" si="142"/>
        <v>153.10223389615993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19.165860367191417</v>
      </c>
      <c r="AA162" s="23">
        <f>EXP(-LN(2)/25)*AA161+(1-EXP(-LN(2)/25))/(LN(2)/25)*Calculateur!V162*Calculateur!X162*VLOOKUP('Données projet'!$B$9,Paramètres!$A$1:$I$89,3,0)*0.475*44/12</f>
        <v>2.6620315360185942</v>
      </c>
      <c r="AB162" s="23">
        <f>EXP(-LN(2)/2)*AB161+(1-EXP(-LN(2)/2))/(LN(2)/2)*V162*Y162*VLOOKUP('Données projet'!$B$9,Paramètres!$A$1:$I$89,3,0)*0.475*44/12</f>
        <v>5.9972888240741624E-18</v>
      </c>
      <c r="AC162" s="24">
        <f t="shared" si="163"/>
        <v>21.827891903210013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2">
        <f t="shared" si="140"/>
        <v>23.927421530185995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70">
        <f t="shared" si="110"/>
        <v>487.15892583174093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6.7984728957526396E-14</v>
      </c>
      <c r="P163" s="14">
        <f t="shared" si="141"/>
        <v>1.0682447123141398E-12</v>
      </c>
      <c r="Q163" s="22">
        <f t="shared" si="162"/>
        <v>1.978932943548152E-12</v>
      </c>
      <c r="R163" s="62">
        <f t="shared" si="109"/>
        <v>293.3333333333353</v>
      </c>
      <c r="S163" s="62">
        <f ca="1">AVERAGE(OFFSET($R$3,0,0,'Données projet'!$E$9+1,1))-AVERAGE(OFFSET($H$3,0,0,'Données projet'!$E$9+1,1))</f>
        <v>157.19386117397545</v>
      </c>
      <c r="T163" s="62">
        <f t="shared" si="142"/>
        <v>153.10223389615993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18.790029535411325</v>
      </c>
      <c r="AA163" s="23">
        <f>EXP(-LN(2)/25)*AA162+(1-EXP(-LN(2)/25))/(LN(2)/25)*Calculateur!V163*Calculateur!X163*VLOOKUP('Données projet'!$B$9,Paramètres!$A$1:$I$89,3,0)*0.475*44/12</f>
        <v>2.5892381436760115</v>
      </c>
      <c r="AB163" s="23">
        <f>EXP(-LN(2)/2)*AB162+(1-EXP(-LN(2)/2))/(LN(2)/2)*V163*Y163*VLOOKUP('Données projet'!$B$9,Paramètres!$A$1:$I$89,3,0)*0.475*44/12</f>
        <v>4.2407235962371356E-18</v>
      </c>
      <c r="AC163" s="24">
        <f t="shared" si="163"/>
        <v>21.379267679087334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2">
        <f t="shared" si="140"/>
        <v>24.059512761382141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70">
        <f t="shared" si="110"/>
        <v>488.33993472607426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6.7984728957526396E-14</v>
      </c>
      <c r="P164" s="14">
        <f t="shared" si="141"/>
        <v>1.0682447123141398E-12</v>
      </c>
      <c r="Q164" s="22">
        <f t="shared" si="162"/>
        <v>1.978932943548152E-12</v>
      </c>
      <c r="R164" s="62">
        <f t="shared" si="109"/>
        <v>293.3333333333353</v>
      </c>
      <c r="S164" s="62">
        <f ca="1">AVERAGE(OFFSET($R$3,0,0,'Données projet'!$E$9+1,1))-AVERAGE(OFFSET($H$3,0,0,'Données projet'!$E$9+1,1))</f>
        <v>157.19386117397545</v>
      </c>
      <c r="T164" s="62">
        <f t="shared" si="142"/>
        <v>153.10223389615993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18.421568517008268</v>
      </c>
      <c r="AA164" s="23">
        <f>EXP(-LN(2)/25)*AA163+(1-EXP(-LN(2)/25))/(LN(2)/25)*Calculateur!V164*Calculateur!X164*VLOOKUP('Données projet'!$B$9,Paramètres!$A$1:$I$89,3,0)*0.475*44/12</f>
        <v>2.5184352904750749</v>
      </c>
      <c r="AB164" s="23">
        <f>EXP(-LN(2)/2)*AB163+(1-EXP(-LN(2)/2))/(LN(2)/2)*V164*Y164*VLOOKUP('Données projet'!$B$9,Paramètres!$A$1:$I$89,3,0)*0.475*44/12</f>
        <v>2.9986444120370812E-18</v>
      </c>
      <c r="AC164" s="24">
        <f t="shared" si="163"/>
        <v>20.940003807483343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2">
        <f t="shared" si="140"/>
        <v>24.191508526944009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70">
        <f t="shared" si="110"/>
        <v>489.52077735109452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6.7984728957526396E-14</v>
      </c>
      <c r="P165" s="14">
        <f t="shared" si="141"/>
        <v>1.0682447123141398E-12</v>
      </c>
      <c r="Q165" s="22">
        <f t="shared" si="162"/>
        <v>1.978932943548152E-12</v>
      </c>
      <c r="R165" s="62">
        <f t="shared" si="109"/>
        <v>293.3333333333353</v>
      </c>
      <c r="S165" s="62">
        <f ca="1">AVERAGE(OFFSET($R$3,0,0,'Données projet'!$E$9+1,1))-AVERAGE(OFFSET($H$3,0,0,'Données projet'!$E$9+1,1))</f>
        <v>157.19386117397545</v>
      </c>
      <c r="T165" s="62">
        <f t="shared" si="142"/>
        <v>153.10223389615993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18.060332794437063</v>
      </c>
      <c r="AA165" s="23">
        <f>EXP(-LN(2)/25)*AA164+(1-EXP(-LN(2)/25))/(LN(2)/25)*Calculateur!V165*Calculateur!X165*VLOOKUP('Données projet'!$B$9,Paramètres!$A$1:$I$89,3,0)*0.475*44/12</f>
        <v>2.4495685450182778</v>
      </c>
      <c r="AB165" s="23">
        <f>EXP(-LN(2)/2)*AB164+(1-EXP(-LN(2)/2))/(LN(2)/2)*V165*Y165*VLOOKUP('Données projet'!$B$9,Paramètres!$A$1:$I$89,3,0)*0.475*44/12</f>
        <v>2.1203617981185678E-18</v>
      </c>
      <c r="AC165" s="24">
        <f t="shared" si="163"/>
        <v>20.50990133945534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2">
        <f t="shared" si="140"/>
        <v>24.323409484531542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70">
        <f t="shared" si="110"/>
        <v>490.70145485222611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6.7984728957526396E-14</v>
      </c>
      <c r="P166" s="14">
        <f t="shared" si="141"/>
        <v>1.0682447123141398E-12</v>
      </c>
      <c r="Q166" s="22">
        <f t="shared" si="162"/>
        <v>1.978932943548152E-12</v>
      </c>
      <c r="R166" s="62">
        <f t="shared" si="109"/>
        <v>293.3333333333353</v>
      </c>
      <c r="S166" s="62">
        <f ca="1">AVERAGE(OFFSET($R$3,0,0,'Données projet'!$E$9+1,1))-AVERAGE(OFFSET($H$3,0,0,'Données projet'!$E$9+1,1))</f>
        <v>157.19386117397545</v>
      </c>
      <c r="T166" s="62">
        <f t="shared" si="142"/>
        <v>153.10223389615993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17.706180684053447</v>
      </c>
      <c r="AA166" s="23">
        <f>EXP(-LN(2)/25)*AA165+(1-EXP(-LN(2)/25))/(LN(2)/25)*Calculateur!V166*Calculateur!X166*VLOOKUP('Données projet'!$B$9,Paramètres!$A$1:$I$89,3,0)*0.475*44/12</f>
        <v>2.3825849643375419</v>
      </c>
      <c r="AB166" s="23">
        <f>EXP(-LN(2)/2)*AB165+(1-EXP(-LN(2)/2))/(LN(2)/2)*V166*Y166*VLOOKUP('Données projet'!$B$9,Paramètres!$A$1:$I$89,3,0)*0.475*44/12</f>
        <v>1.4993222060185406E-18</v>
      </c>
      <c r="AC166" s="24">
        <f t="shared" si="163"/>
        <v>20.088765648390989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2">
        <f t="shared" si="140"/>
        <v>24.455216283268463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70">
        <f t="shared" si="110"/>
        <v>491.88196836002629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6.7984728957526396E-14</v>
      </c>
      <c r="P167" s="14">
        <f t="shared" si="141"/>
        <v>1.0682447123141398E-12</v>
      </c>
      <c r="Q167" s="22">
        <f t="shared" si="162"/>
        <v>1.978932943548152E-12</v>
      </c>
      <c r="R167" s="62">
        <f t="shared" si="109"/>
        <v>293.3333333333353</v>
      </c>
      <c r="S167" s="62">
        <f ca="1">AVERAGE(OFFSET($R$3,0,0,'Données projet'!$E$9+1,1))-AVERAGE(OFFSET($H$3,0,0,'Données projet'!$E$9+1,1))</f>
        <v>157.19386117397545</v>
      </c>
      <c r="T167" s="62">
        <f t="shared" si="142"/>
        <v>153.10223389615993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17.358973280542994</v>
      </c>
      <c r="AA167" s="23">
        <f>EXP(-LN(2)/25)*AA166+(1-EXP(-LN(2)/25))/(LN(2)/25)*Calculateur!V167*Calculateur!X167*VLOOKUP('Données projet'!$B$9,Paramètres!$A$1:$I$89,3,0)*0.475*44/12</f>
        <v>2.3174330531930338</v>
      </c>
      <c r="AB167" s="23">
        <f>EXP(-LN(2)/2)*AB166+(1-EXP(-LN(2)/2))/(LN(2)/2)*V167*Y167*VLOOKUP('Données projet'!$B$9,Paramètres!$A$1:$I$89,3,0)*0.475*44/12</f>
        <v>1.0601808990592839E-18</v>
      </c>
      <c r="AC167" s="24">
        <f t="shared" si="163"/>
        <v>19.676406333736029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2">
        <f t="shared" si="140"/>
        <v>24.586929563904505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70">
        <f t="shared" si="110"/>
        <v>493.06231899046742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6.7984728957526396E-14</v>
      </c>
      <c r="P168" s="14">
        <f t="shared" si="141"/>
        <v>1.0682447123141398E-12</v>
      </c>
      <c r="Q168" s="22">
        <f t="shared" si="162"/>
        <v>1.978932943548152E-12</v>
      </c>
      <c r="R168" s="62">
        <f t="shared" si="109"/>
        <v>293.3333333333353</v>
      </c>
      <c r="S168" s="62">
        <f ca="1">AVERAGE(OFFSET($R$3,0,0,'Données projet'!$E$9+1,1))-AVERAGE(OFFSET($H$3,0,0,'Données projet'!$E$9+1,1))</f>
        <v>157.19386117397545</v>
      </c>
      <c r="T168" s="62">
        <f t="shared" si="142"/>
        <v>153.10223389615993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17.018574402439775</v>
      </c>
      <c r="AA168" s="23">
        <f>EXP(-LN(2)/25)*AA167+(1-EXP(-LN(2)/25))/(LN(2)/25)*Calculateur!V168*Calculateur!X168*VLOOKUP('Données projet'!$B$9,Paramètres!$A$1:$I$89,3,0)*0.475*44/12</f>
        <v>2.2540627244849625</v>
      </c>
      <c r="AB168" s="23">
        <f>EXP(-LN(2)/2)*AB167+(1-EXP(-LN(2)/2))/(LN(2)/2)*V168*Y168*VLOOKUP('Données projet'!$B$9,Paramètres!$A$1:$I$89,3,0)*0.475*44/12</f>
        <v>7.496611030092703E-19</v>
      </c>
      <c r="AC168" s="24">
        <f t="shared" si="163"/>
        <v>19.272637126924739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2">
        <f t="shared" si="140"/>
        <v>24.718549958973419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70">
        <f t="shared" si="110"/>
        <v>494.24250784521246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6.7984728957526396E-14</v>
      </c>
      <c r="P169" s="14">
        <f t="shared" si="141"/>
        <v>1.0682447123141398E-12</v>
      </c>
      <c r="Q169" s="22">
        <f t="shared" si="162"/>
        <v>1.978932943548152E-12</v>
      </c>
      <c r="R169" s="62">
        <f t="shared" si="109"/>
        <v>293.3333333333353</v>
      </c>
      <c r="S169" s="62">
        <f ca="1">AVERAGE(OFFSET($R$3,0,0,'Données projet'!$E$9+1,1))-AVERAGE(OFFSET($H$3,0,0,'Données projet'!$E$9+1,1))</f>
        <v>157.19386117397545</v>
      </c>
      <c r="T169" s="62">
        <f t="shared" si="142"/>
        <v>153.10223389615993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16.684850538713345</v>
      </c>
      <c r="AA169" s="23">
        <f>EXP(-LN(2)/25)*AA168+(1-EXP(-LN(2)/25))/(LN(2)/25)*Calculateur!V169*Calculateur!X169*VLOOKUP('Données projet'!$B$9,Paramètres!$A$1:$I$89,3,0)*0.475*44/12</f>
        <v>2.1924252607479144</v>
      </c>
      <c r="AB169" s="23">
        <f>EXP(-LN(2)/2)*AB168+(1-EXP(-LN(2)/2))/(LN(2)/2)*V169*Y169*VLOOKUP('Données projet'!$B$9,Paramètres!$A$1:$I$89,3,0)*0.475*44/12</f>
        <v>5.3009044952964195E-19</v>
      </c>
      <c r="AC169" s="24">
        <f t="shared" si="163"/>
        <v>18.877275799461259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2">
        <f t="shared" si="140"/>
        <v>24.850078092947228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70">
        <f t="shared" si="110"/>
        <v>495.42253601188349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6.7984728957526396E-14</v>
      </c>
      <c r="P170" s="14">
        <f t="shared" si="141"/>
        <v>1.0682447123141398E-12</v>
      </c>
      <c r="Q170" s="22">
        <f t="shared" si="162"/>
        <v>1.978932943548152E-12</v>
      </c>
      <c r="R170" s="62">
        <f t="shared" si="109"/>
        <v>293.3333333333353</v>
      </c>
      <c r="S170" s="62">
        <f ca="1">AVERAGE(OFFSET($R$3,0,0,'Données projet'!$E$9+1,1))-AVERAGE(OFFSET($H$3,0,0,'Données projet'!$E$9+1,1))</f>
        <v>157.19386117397545</v>
      </c>
      <c r="T170" s="62">
        <f t="shared" si="142"/>
        <v>153.10223389615993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16.357670796403134</v>
      </c>
      <c r="AA170" s="23">
        <f>EXP(-LN(2)/25)*AA169+(1-EXP(-LN(2)/25))/(LN(2)/25)*Calculateur!V170*Calculateur!X170*VLOOKUP('Données projet'!$B$9,Paramètres!$A$1:$I$89,3,0)*0.475*44/12</f>
        <v>2.1324732766981289</v>
      </c>
      <c r="AB170" s="23">
        <f>EXP(-LN(2)/2)*AB169+(1-EXP(-LN(2)/2))/(LN(2)/2)*V170*Y170*VLOOKUP('Données projet'!$B$9,Paramètres!$A$1:$I$89,3,0)*0.475*44/12</f>
        <v>3.7483055150463515E-19</v>
      </c>
      <c r="AC170" s="24">
        <f t="shared" si="163"/>
        <v>18.490144073101263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2">
        <f t="shared" si="140"/>
        <v>24.981514582386627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70">
        <f t="shared" si="110"/>
        <v>496.60240456432382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6.7984728957526396E-14</v>
      </c>
      <c r="P171" s="14">
        <f t="shared" si="141"/>
        <v>1.0682447123141398E-12</v>
      </c>
      <c r="Q171" s="22">
        <f t="shared" si="162"/>
        <v>1.978932943548152E-12</v>
      </c>
      <c r="R171" s="62">
        <f t="shared" si="109"/>
        <v>293.3333333333353</v>
      </c>
      <c r="S171" s="62">
        <f ca="1">AVERAGE(OFFSET($R$3,0,0,'Données projet'!$E$9+1,1))-AVERAGE(OFFSET($H$3,0,0,'Données projet'!$E$9+1,1))</f>
        <v>157.19386117397545</v>
      </c>
      <c r="T171" s="62">
        <f t="shared" si="142"/>
        <v>153.10223389615993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16.036906849279688</v>
      </c>
      <c r="AA171" s="23">
        <f>EXP(-LN(2)/25)*AA170+(1-EXP(-LN(2)/25))/(LN(2)/25)*Calculateur!V171*Calculateur!X171*VLOOKUP('Données projet'!$B$9,Paramètres!$A$1:$I$89,3,0)*0.475*44/12</f>
        <v>2.0741606828049228</v>
      </c>
      <c r="AB171" s="23">
        <f>EXP(-LN(2)/2)*AB170+(1-EXP(-LN(2)/2))/(LN(2)/2)*V171*Y171*VLOOKUP('Données projet'!$B$9,Paramètres!$A$1:$I$89,3,0)*0.475*44/12</f>
        <v>2.6504522476482098E-19</v>
      </c>
      <c r="AC171" s="24">
        <f t="shared" si="163"/>
        <v>18.111067532084611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2">
        <f t="shared" si="140"/>
        <v>25.112860036087632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70">
        <f t="shared" si="110"/>
        <v>497.78211456285305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6.7984728957526396E-14</v>
      </c>
      <c r="P172" s="14">
        <f t="shared" si="141"/>
        <v>1.0682447123141398E-12</v>
      </c>
      <c r="Q172" s="22">
        <f t="shared" si="162"/>
        <v>1.978932943548152E-12</v>
      </c>
      <c r="R172" s="62">
        <f t="shared" si="109"/>
        <v>293.3333333333353</v>
      </c>
      <c r="S172" s="62">
        <f ca="1">AVERAGE(OFFSET($R$3,0,0,'Données projet'!$E$9+1,1))-AVERAGE(OFFSET($H$3,0,0,'Données projet'!$E$9+1,1))</f>
        <v>157.19386117397545</v>
      </c>
      <c r="T172" s="62">
        <f t="shared" si="142"/>
        <v>153.10223389615993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15.722432887512644</v>
      </c>
      <c r="AA172" s="23">
        <f>EXP(-LN(2)/25)*AA171+(1-EXP(-LN(2)/25))/(LN(2)/25)*Calculateur!V172*Calculateur!X172*VLOOKUP('Données projet'!$B$9,Paramètres!$A$1:$I$89,3,0)*0.475*44/12</f>
        <v>2.0174426498582525</v>
      </c>
      <c r="AB172" s="23">
        <f>EXP(-LN(2)/2)*AB171+(1-EXP(-LN(2)/2))/(LN(2)/2)*V172*Y172*VLOOKUP('Données projet'!$B$9,Paramètres!$A$1:$I$89,3,0)*0.475*44/12</f>
        <v>1.8741527575231758E-19</v>
      </c>
      <c r="AC172" s="24">
        <f t="shared" si="163"/>
        <v>17.739875537370896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2">
        <f t="shared" si="140"/>
        <v>25.244115055224771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70">
        <f t="shared" si="110"/>
        <v>498.96166705451697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6.7984728957526396E-14</v>
      </c>
      <c r="P173" s="14">
        <f t="shared" si="141"/>
        <v>1.0682447123141398E-12</v>
      </c>
      <c r="Q173" s="22">
        <f t="shared" si="162"/>
        <v>1.978932943548152E-12</v>
      </c>
      <c r="R173" s="62">
        <f t="shared" si="109"/>
        <v>293.3333333333353</v>
      </c>
      <c r="S173" s="62">
        <f ca="1">AVERAGE(OFFSET($R$3,0,0,'Données projet'!$E$9+1,1))-AVERAGE(OFFSET($H$3,0,0,'Données projet'!$E$9+1,1))</f>
        <v>157.19386117397545</v>
      </c>
      <c r="T173" s="62">
        <f t="shared" si="142"/>
        <v>153.10223389615993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15.414125568325675</v>
      </c>
      <c r="AA173" s="23">
        <f>EXP(-LN(2)/25)*AA172+(1-EXP(-LN(2)/25))/(LN(2)/25)*Calculateur!V173*Calculateur!X173*VLOOKUP('Données projet'!$B$9,Paramètres!$A$1:$I$89,3,0)*0.475*44/12</f>
        <v>1.9622755745051805</v>
      </c>
      <c r="AB173" s="23">
        <f>EXP(-LN(2)/2)*AB172+(1-EXP(-LN(2)/2))/(LN(2)/2)*V173*Y173*VLOOKUP('Données projet'!$B$9,Paramètres!$A$1:$I$89,3,0)*0.475*44/12</f>
        <v>1.3252261238241049E-19</v>
      </c>
      <c r="AC173" s="24">
        <f t="shared" si="163"/>
        <v>17.376401142830854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2">
        <f t="shared" si="140"/>
        <v>25.375280233490745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70">
        <f t="shared" si="110"/>
        <v>500.1410630733302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6.7984728957526396E-14</v>
      </c>
      <c r="P174" s="14">
        <f t="shared" si="141"/>
        <v>1.0682447123141398E-12</v>
      </c>
      <c r="Q174" s="22">
        <f t="shared" si="162"/>
        <v>1.978932943548152E-12</v>
      </c>
      <c r="R174" s="62">
        <f t="shared" si="109"/>
        <v>293.3333333333353</v>
      </c>
      <c r="S174" s="62">
        <f ca="1">AVERAGE(OFFSET($R$3,0,0,'Données projet'!$E$9+1,1))-AVERAGE(OFFSET($H$3,0,0,'Données projet'!$E$9+1,1))</f>
        <v>157.19386117397545</v>
      </c>
      <c r="T174" s="62">
        <f t="shared" si="142"/>
        <v>153.10223389615993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15.111863967619065</v>
      </c>
      <c r="AA174" s="23">
        <f>EXP(-LN(2)/25)*AA173+(1-EXP(-LN(2)/25))/(LN(2)/25)*Calculateur!V174*Calculateur!X174*VLOOKUP('Données projet'!$B$9,Paramètres!$A$1:$I$89,3,0)*0.475*44/12</f>
        <v>1.9086170457287488</v>
      </c>
      <c r="AB174" s="23">
        <f>EXP(-LN(2)/2)*AB173+(1-EXP(-LN(2)/2))/(LN(2)/2)*V174*Y174*VLOOKUP('Données projet'!$B$9,Paramètres!$A$1:$I$89,3,0)*0.475*44/12</f>
        <v>9.3707637876158788E-20</v>
      </c>
      <c r="AC174" s="24">
        <f t="shared" si="163"/>
        <v>17.020481013347815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2">
        <f t="shared" si="140"/>
        <v>25.506356157232712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70">
        <f t="shared" si="110"/>
        <v>501.32030364051411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6.7984728957526396E-14</v>
      </c>
      <c r="P175" s="14">
        <f t="shared" si="141"/>
        <v>1.0682447123141398E-12</v>
      </c>
      <c r="Q175" s="22">
        <f t="shared" si="162"/>
        <v>1.978932943548152E-12</v>
      </c>
      <c r="R175" s="62">
        <f t="shared" si="109"/>
        <v>293.3333333333353</v>
      </c>
      <c r="S175" s="62">
        <f ca="1">AVERAGE(OFFSET($R$3,0,0,'Données projet'!$E$9+1,1))-AVERAGE(OFFSET($H$3,0,0,'Données projet'!$E$9+1,1))</f>
        <v>157.19386117397545</v>
      </c>
      <c r="T175" s="62">
        <f t="shared" si="142"/>
        <v>153.10223389615993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14.815529532540941</v>
      </c>
      <c r="AA175" s="23">
        <f>EXP(-LN(2)/25)*AA174+(1-EXP(-LN(2)/25))/(LN(2)/25)*Calculateur!V175*Calculateur!X175*VLOOKUP('Données projet'!$B$9,Paramètres!$A$1:$I$89,3,0)*0.475*44/12</f>
        <v>1.856425812243488</v>
      </c>
      <c r="AB175" s="23">
        <f>EXP(-LN(2)/2)*AB174+(1-EXP(-LN(2)/2))/(LN(2)/2)*V175*Y175*VLOOKUP('Données projet'!$B$9,Paramètres!$A$1:$I$89,3,0)*0.475*44/12</f>
        <v>6.6261306191205244E-20</v>
      </c>
      <c r="AC175" s="24">
        <f t="shared" si="163"/>
        <v>16.671955344784429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2">
        <f t="shared" si="140"/>
        <v>25.637343405585391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70">
        <f t="shared" si="110"/>
        <v>502.49938976472833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6.7984728957526396E-14</v>
      </c>
      <c r="P176" s="14">
        <f t="shared" si="141"/>
        <v>1.0682447123141398E-12</v>
      </c>
      <c r="Q176" s="22">
        <f t="shared" si="162"/>
        <v>1.978932943548152E-12</v>
      </c>
      <c r="R176" s="62">
        <f t="shared" si="109"/>
        <v>293.3333333333353</v>
      </c>
      <c r="S176" s="62">
        <f ca="1">AVERAGE(OFFSET($R$3,0,0,'Données projet'!$E$9+1,1))-AVERAGE(OFFSET($H$3,0,0,'Données projet'!$E$9+1,1))</f>
        <v>157.19386117397545</v>
      </c>
      <c r="T176" s="62">
        <f t="shared" si="142"/>
        <v>153.10223389615993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14.525006034988539</v>
      </c>
      <c r="AA176" s="23">
        <f>EXP(-LN(2)/25)*AA175+(1-EXP(-LN(2)/25))/(LN(2)/25)*Calculateur!V176*Calculateur!X176*VLOOKUP('Données projet'!$B$9,Paramètres!$A$1:$I$89,3,0)*0.475*44/12</f>
        <v>1.8056617507824992</v>
      </c>
      <c r="AB176" s="23">
        <f>EXP(-LN(2)/2)*AB175+(1-EXP(-LN(2)/2))/(LN(2)/2)*V176*Y176*VLOOKUP('Données projet'!$B$9,Paramètres!$A$1:$I$89,3,0)*0.475*44/12</f>
        <v>4.6853818938079394E-20</v>
      </c>
      <c r="AC176" s="24">
        <f t="shared" si="163"/>
        <v>16.330667785771038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2">
        <f t="shared" si="140"/>
        <v>25.768242550600831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70">
        <f t="shared" si="110"/>
        <v>503.67832244229692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6.7984728957526396E-14</v>
      </c>
      <c r="P177" s="14">
        <f t="shared" si="141"/>
        <v>1.0682447123141398E-12</v>
      </c>
      <c r="Q177" s="22">
        <f t="shared" si="162"/>
        <v>1.978932943548152E-12</v>
      </c>
      <c r="R177" s="62">
        <f t="shared" si="109"/>
        <v>293.3333333333353</v>
      </c>
      <c r="S177" s="62">
        <f ca="1">AVERAGE(OFFSET($R$3,0,0,'Données projet'!$E$9+1,1))-AVERAGE(OFFSET($H$3,0,0,'Données projet'!$E$9+1,1))</f>
        <v>157.19386117397545</v>
      </c>
      <c r="T177" s="62">
        <f t="shared" si="142"/>
        <v>153.10223389615993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14.240179526021304</v>
      </c>
      <c r="AA177" s="23">
        <f>EXP(-LN(2)/25)*AA176+(1-EXP(-LN(2)/25))/(LN(2)/25)*Calculateur!V177*Calculateur!X177*VLOOKUP('Données projet'!$B$9,Paramètres!$A$1:$I$89,3,0)*0.475*44/12</f>
        <v>1.7562858352517272</v>
      </c>
      <c r="AB177" s="23">
        <f>EXP(-LN(2)/2)*AB176+(1-EXP(-LN(2)/2))/(LN(2)/2)*V177*Y177*VLOOKUP('Données projet'!$B$9,Paramètres!$A$1:$I$89,3,0)*0.475*44/12</f>
        <v>3.3130653095602622E-20</v>
      </c>
      <c r="AC177" s="24">
        <f t="shared" si="163"/>
        <v>15.996465361273032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2">
        <f t="shared" si="140"/>
        <v>25.89905415737541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70">
        <f t="shared" si="110"/>
        <v>504.85710265742932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6.7984728957526396E-14</v>
      </c>
      <c r="P178" s="14">
        <f t="shared" si="141"/>
        <v>1.0682447123141398E-12</v>
      </c>
      <c r="Q178" s="22">
        <f t="shared" si="162"/>
        <v>1.978932943548152E-12</v>
      </c>
      <c r="R178" s="62">
        <f t="shared" si="109"/>
        <v>293.3333333333353</v>
      </c>
      <c r="S178" s="62">
        <f ca="1">AVERAGE(OFFSET($R$3,0,0,'Données projet'!$E$9+1,1))-AVERAGE(OFFSET($H$3,0,0,'Données projet'!$E$9+1,1))</f>
        <v>157.19386117397545</v>
      </c>
      <c r="T178" s="62">
        <f t="shared" si="142"/>
        <v>153.10223389615993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13.960938291167901</v>
      </c>
      <c r="AA178" s="23">
        <f>EXP(-LN(2)/25)*AA177+(1-EXP(-LN(2)/25))/(LN(2)/25)*Calculateur!V178*Calculateur!X178*VLOOKUP('Données projet'!$B$9,Paramètres!$A$1:$I$89,3,0)*0.475*44/12</f>
        <v>1.7082601067277108</v>
      </c>
      <c r="AB178" s="23">
        <f>EXP(-LN(2)/2)*AB177+(1-EXP(-LN(2)/2))/(LN(2)/2)*V178*Y178*VLOOKUP('Données projet'!$B$9,Paramètres!$A$1:$I$89,3,0)*0.475*44/12</f>
        <v>2.3426909469039697E-20</v>
      </c>
      <c r="AC178" s="24">
        <f t="shared" si="163"/>
        <v>15.669198397895611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2">
        <f t="shared" si="140"/>
        <v>26.029778784173445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70">
        <f t="shared" si="110"/>
        <v>506.03573138243593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6.7984728957526396E-14</v>
      </c>
      <c r="P179" s="14">
        <f t="shared" si="141"/>
        <v>1.0682447123141398E-12</v>
      </c>
      <c r="Q179" s="22">
        <f t="shared" si="162"/>
        <v>1.978932943548152E-12</v>
      </c>
      <c r="R179" s="62">
        <f t="shared" si="109"/>
        <v>293.3333333333353</v>
      </c>
      <c r="S179" s="62">
        <f ca="1">AVERAGE(OFFSET($R$3,0,0,'Données projet'!$E$9+1,1))-AVERAGE(OFFSET($H$3,0,0,'Données projet'!$E$9+1,1))</f>
        <v>157.19386117397545</v>
      </c>
      <c r="T179" s="62">
        <f t="shared" si="142"/>
        <v>153.10223389615993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13.687172806609636</v>
      </c>
      <c r="AA179" s="23">
        <f>EXP(-LN(2)/25)*AA178+(1-EXP(-LN(2)/25))/(LN(2)/25)*Calculateur!V179*Calculateur!X179*VLOOKUP('Données projet'!$B$9,Paramètres!$A$1:$I$89,3,0)*0.475*44/12</f>
        <v>1.6615476442757469</v>
      </c>
      <c r="AB179" s="23">
        <f>EXP(-LN(2)/2)*AB178+(1-EXP(-LN(2)/2))/(LN(2)/2)*V179*Y179*VLOOKUP('Données projet'!$B$9,Paramètres!$A$1:$I$89,3,0)*0.475*44/12</f>
        <v>1.6565326547801311E-20</v>
      </c>
      <c r="AC179" s="24">
        <f t="shared" si="163"/>
        <v>15.348720450885383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2">
        <f t="shared" si="140"/>
        <v>26.160416982548288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70">
        <f t="shared" si="110"/>
        <v>507.21420957793879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6.7984728957526396E-14</v>
      </c>
      <c r="P180" s="14">
        <f t="shared" si="141"/>
        <v>1.0682447123141398E-12</v>
      </c>
      <c r="Q180" s="22">
        <f t="shared" si="162"/>
        <v>1.978932943548152E-12</v>
      </c>
      <c r="R180" s="62">
        <f t="shared" si="109"/>
        <v>293.3333333333353</v>
      </c>
      <c r="S180" s="62">
        <f ca="1">AVERAGE(OFFSET($R$3,0,0,'Données projet'!$E$9+1,1))-AVERAGE(OFFSET($H$3,0,0,'Données projet'!$E$9+1,1))</f>
        <v>157.19386117397545</v>
      </c>
      <c r="T180" s="62">
        <f t="shared" si="142"/>
        <v>153.10223389615993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13.418775696223102</v>
      </c>
      <c r="AA180" s="23">
        <f>EXP(-LN(2)/25)*AA179+(1-EXP(-LN(2)/25))/(LN(2)/25)*Calculateur!V180*Calculateur!X180*VLOOKUP('Données projet'!$B$9,Paramètres!$A$1:$I$89,3,0)*0.475*44/12</f>
        <v>1.6161125365660334</v>
      </c>
      <c r="AB180" s="23">
        <f>EXP(-LN(2)/2)*AB179+(1-EXP(-LN(2)/2))/(LN(2)/2)*V180*Y180*VLOOKUP('Données projet'!$B$9,Paramètres!$A$1:$I$89,3,0)*0.475*44/12</f>
        <v>1.1713454734519848E-20</v>
      </c>
      <c r="AC180" s="24">
        <f t="shared" si="163"/>
        <v>15.034888232789136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2">
        <f t="shared" si="140"/>
        <v>26.290969297460425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70">
        <f t="shared" si="110"/>
        <v>508.39253819307743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6.7984728957526396E-14</v>
      </c>
      <c r="P181" s="14">
        <f t="shared" si="141"/>
        <v>1.0682447123141398E-12</v>
      </c>
      <c r="Q181" s="22">
        <f t="shared" si="162"/>
        <v>1.978932943548152E-12</v>
      </c>
      <c r="R181" s="62">
        <f t="shared" si="109"/>
        <v>293.3333333333353</v>
      </c>
      <c r="S181" s="62">
        <f ca="1">AVERAGE(OFFSET($R$3,0,0,'Données projet'!$E$9+1,1))-AVERAGE(OFFSET($H$3,0,0,'Données projet'!$E$9+1,1))</f>
        <v>157.19386117397545</v>
      </c>
      <c r="T181" s="62">
        <f t="shared" si="142"/>
        <v>153.10223389615993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13.155641689465176</v>
      </c>
      <c r="AA181" s="23">
        <f>EXP(-LN(2)/25)*AA180+(1-EXP(-LN(2)/25))/(LN(2)/25)*Calculateur!V181*Calculateur!X181*VLOOKUP('Données projet'!$B$9,Paramètres!$A$1:$I$89,3,0)*0.475*44/12</f>
        <v>1.5719198542659705</v>
      </c>
      <c r="AB181" s="23">
        <f>EXP(-LN(2)/2)*AB180+(1-EXP(-LN(2)/2))/(LN(2)/2)*V181*Y181*VLOOKUP('Données projet'!$B$9,Paramètres!$A$1:$I$89,3,0)*0.475*44/12</f>
        <v>8.2826632739006555E-21</v>
      </c>
      <c r="AC181" s="24">
        <f t="shared" si="163"/>
        <v>14.727561543731147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2">
        <f t="shared" si="140"/>
        <v>26.421436267392767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70">
        <f t="shared" si="110"/>
        <v>509.57071816570965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6.7984728957526396E-14</v>
      </c>
      <c r="P182" s="14">
        <f t="shared" si="141"/>
        <v>1.0682447123141398E-12</v>
      </c>
      <c r="Q182" s="22">
        <f t="shared" si="162"/>
        <v>1.978932943548152E-12</v>
      </c>
      <c r="R182" s="62">
        <f t="shared" si="109"/>
        <v>293.3333333333353</v>
      </c>
      <c r="S182" s="62">
        <f ca="1">AVERAGE(OFFSET($R$3,0,0,'Données projet'!$E$9+1,1))-AVERAGE(OFFSET($H$3,0,0,'Données projet'!$E$9+1,1))</f>
        <v>157.19386117397545</v>
      </c>
      <c r="T182" s="62">
        <f t="shared" si="142"/>
        <v>153.10223389615993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12.897667580083874</v>
      </c>
      <c r="AA182" s="23">
        <f>EXP(-LN(2)/25)*AA181+(1-EXP(-LN(2)/25))/(LN(2)/25)*Calculateur!V182*Calculateur!X182*VLOOKUP('Données projet'!$B$9,Paramètres!$A$1:$I$89,3,0)*0.475*44/12</f>
        <v>1.528935623187395</v>
      </c>
      <c r="AB182" s="23">
        <f>EXP(-LN(2)/2)*AB181+(1-EXP(-LN(2)/2))/(LN(2)/2)*V182*Y182*VLOOKUP('Données projet'!$B$9,Paramètres!$A$1:$I$89,3,0)*0.475*44/12</f>
        <v>5.8567273672599242E-21</v>
      </c>
      <c r="AC182" s="24">
        <f t="shared" si="163"/>
        <v>14.42660320327127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2">
        <f t="shared" si="140"/>
        <v>26.551818424463544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70">
        <f t="shared" si="110"/>
        <v>510.74875042260788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6.7984728957526396E-14</v>
      </c>
      <c r="P183" s="14">
        <f t="shared" si="141"/>
        <v>1.0682447123141398E-12</v>
      </c>
      <c r="Q183" s="22">
        <f t="shared" si="162"/>
        <v>1.978932943548152E-12</v>
      </c>
      <c r="R183" s="62">
        <f t="shared" si="109"/>
        <v>293.3333333333353</v>
      </c>
      <c r="S183" s="62">
        <f ca="1">AVERAGE(OFFSET($R$3,0,0,'Données projet'!$E$9+1,1))-AVERAGE(OFFSET($H$3,0,0,'Données projet'!$E$9+1,1))</f>
        <v>157.19386117397545</v>
      </c>
      <c r="T183" s="62">
        <f t="shared" si="142"/>
        <v>153.10223389615993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12.644752185638872</v>
      </c>
      <c r="AA183" s="23">
        <f>EXP(-LN(2)/25)*AA182+(1-EXP(-LN(2)/25))/(LN(2)/25)*Calculateur!V183*Calculateur!X183*VLOOKUP('Données projet'!$B$9,Paramètres!$A$1:$I$89,3,0)*0.475*44/12</f>
        <v>1.4871267981681056</v>
      </c>
      <c r="AB183" s="23">
        <f>EXP(-LN(2)/2)*AB182+(1-EXP(-LN(2)/2))/(LN(2)/2)*V183*Y183*VLOOKUP('Données projet'!$B$9,Paramètres!$A$1:$I$89,3,0)*0.475*44/12</f>
        <v>4.1413316369503277E-21</v>
      </c>
      <c r="AC183" s="24">
        <f t="shared" si="163"/>
        <v>14.131878983806978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2">
        <f t="shared" si="140"/>
        <v>26.682116294536339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70">
        <f t="shared" si="110"/>
        <v>511.92663587965137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6.7984728957526396E-14</v>
      </c>
      <c r="P184" s="14">
        <f t="shared" si="141"/>
        <v>1.0682447123141398E-12</v>
      </c>
      <c r="Q184" s="22">
        <f t="shared" si="162"/>
        <v>1.978932943548152E-12</v>
      </c>
      <c r="R184" s="62">
        <f t="shared" si="109"/>
        <v>293.3333333333353</v>
      </c>
      <c r="S184" s="62">
        <f ca="1">AVERAGE(OFFSET($R$3,0,0,'Données projet'!$E$9+1,1))-AVERAGE(OFFSET($H$3,0,0,'Données projet'!$E$9+1,1))</f>
        <v>157.19386117397545</v>
      </c>
      <c r="T184" s="62">
        <f t="shared" si="142"/>
        <v>153.10223389615993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12.396796307815777</v>
      </c>
      <c r="AA184" s="23">
        <f>EXP(-LN(2)/25)*AA183+(1-EXP(-LN(2)/25))/(LN(2)/25)*Calculateur!V184*Calculateur!X184*VLOOKUP('Données projet'!$B$9,Paramètres!$A$1:$I$89,3,0)*0.475*44/12</f>
        <v>1.4464612376675994</v>
      </c>
      <c r="AB184" s="23">
        <f>EXP(-LN(2)/2)*AB183+(1-EXP(-LN(2)/2))/(LN(2)/2)*V184*Y184*VLOOKUP('Données projet'!$B$9,Paramètres!$A$1:$I$89,3,0)*0.475*44/12</f>
        <v>2.9283636836299621E-21</v>
      </c>
      <c r="AC184" s="24">
        <f t="shared" si="163"/>
        <v>13.843257545483375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2">
        <f t="shared" si="140"/>
        <v>26.812330397327784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70">
        <f t="shared" si="110"/>
        <v>513.10437544201318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6.7984728957526396E-14</v>
      </c>
      <c r="P185" s="14">
        <f t="shared" si="141"/>
        <v>1.0682447123141398E-12</v>
      </c>
      <c r="Q185" s="22">
        <f t="shared" si="162"/>
        <v>1.978932943548152E-12</v>
      </c>
      <c r="R185" s="62">
        <f t="shared" si="109"/>
        <v>293.3333333333353</v>
      </c>
      <c r="S185" s="62">
        <f ca="1">AVERAGE(OFFSET($R$3,0,0,'Données projet'!$E$9+1,1))-AVERAGE(OFFSET($H$3,0,0,'Données projet'!$E$9+1,1))</f>
        <v>157.19386117397545</v>
      </c>
      <c r="T185" s="62">
        <f t="shared" si="142"/>
        <v>153.10223389615993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12.153702693518641</v>
      </c>
      <c r="AA185" s="23">
        <f>EXP(-LN(2)/25)*AA184+(1-EXP(-LN(2)/25))/(LN(2)/25)*Calculateur!V185*Calculateur!X185*VLOOKUP('Données projet'!$B$9,Paramètres!$A$1:$I$89,3,0)*0.475*44/12</f>
        <v>1.4069076790574884</v>
      </c>
      <c r="AB185" s="23">
        <f>EXP(-LN(2)/2)*AB184+(1-EXP(-LN(2)/2))/(LN(2)/2)*V185*Y185*VLOOKUP('Données projet'!$B$9,Paramètres!$A$1:$I$89,3,0)*0.475*44/12</f>
        <v>2.0706658184751639E-21</v>
      </c>
      <c r="AC185" s="24">
        <f t="shared" si="163"/>
        <v>13.560610372576129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2">
        <f t="shared" si="140"/>
        <v>26.942461246512842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70">
        <f t="shared" si="110"/>
        <v>514.28197000434375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6.7984728957526396E-14</v>
      </c>
      <c r="P186" s="14">
        <f t="shared" si="141"/>
        <v>1.0682447123141398E-12</v>
      </c>
      <c r="Q186" s="22">
        <f t="shared" si="162"/>
        <v>1.978932943548152E-12</v>
      </c>
      <c r="R186" s="62">
        <f t="shared" si="109"/>
        <v>293.3333333333353</v>
      </c>
      <c r="S186" s="62">
        <f ca="1">AVERAGE(OFFSET($R$3,0,0,'Données projet'!$E$9+1,1))-AVERAGE(OFFSET($H$3,0,0,'Données projet'!$E$9+1,1))</f>
        <v>157.19386117397545</v>
      </c>
      <c r="T186" s="62">
        <f t="shared" si="142"/>
        <v>153.10223389615993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11.915375996725407</v>
      </c>
      <c r="AA186" s="23">
        <f>EXP(-LN(2)/25)*AA185+(1-EXP(-LN(2)/25))/(LN(2)/25)*Calculateur!V186*Calculateur!X186*VLOOKUP('Données projet'!$B$9,Paramètres!$A$1:$I$89,3,0)*0.475*44/12</f>
        <v>1.368435714587602</v>
      </c>
      <c r="AB186" s="23">
        <f>EXP(-LN(2)/2)*AB185+(1-EXP(-LN(2)/2))/(LN(2)/2)*V186*Y186*VLOOKUP('Données projet'!$B$9,Paramètres!$A$1:$I$89,3,0)*0.475*44/12</f>
        <v>1.4641818418149811E-21</v>
      </c>
      <c r="AC186" s="24">
        <f t="shared" si="163"/>
        <v>13.283811711313009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2">
        <f t="shared" si="140"/>
        <v>27.072509349827552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70">
        <f t="shared" si="110"/>
        <v>515.45942045095035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6.7984728957526396E-14</v>
      </c>
      <c r="P187" s="14">
        <f t="shared" si="141"/>
        <v>1.0682447123141398E-12</v>
      </c>
      <c r="Q187" s="22">
        <f t="shared" si="162"/>
        <v>1.978932943548152E-12</v>
      </c>
      <c r="R187" s="62">
        <f t="shared" si="109"/>
        <v>293.3333333333353</v>
      </c>
      <c r="S187" s="62">
        <f ca="1">AVERAGE(OFFSET($R$3,0,0,'Données projet'!$E$9+1,1))-AVERAGE(OFFSET($H$3,0,0,'Données projet'!$E$9+1,1))</f>
        <v>157.19386117397545</v>
      </c>
      <c r="T187" s="62">
        <f t="shared" si="142"/>
        <v>153.10223389615993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11.681722741091358</v>
      </c>
      <c r="AA187" s="23">
        <f>EXP(-LN(2)/25)*AA186+(1-EXP(-LN(2)/25))/(LN(2)/25)*Calculateur!V187*Calculateur!X187*VLOOKUP('Données projet'!$B$9,Paramètres!$A$1:$I$89,3,0)*0.475*44/12</f>
        <v>1.3310157680092976</v>
      </c>
      <c r="AB187" s="23">
        <f>EXP(-LN(2)/2)*AB186+(1-EXP(-LN(2)/2))/(LN(2)/2)*V187*Y187*VLOOKUP('Données projet'!$B$9,Paramètres!$A$1:$I$89,3,0)*0.475*44/12</f>
        <v>1.0353329092375819E-21</v>
      </c>
      <c r="AC187" s="24">
        <f t="shared" si="163"/>
        <v>13.012738509100656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2">
        <f t="shared" si="140"/>
        <v>27.202475209169677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70">
        <f t="shared" si="110"/>
        <v>516.63672765597119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6.7984728957526396E-14</v>
      </c>
      <c r="P188" s="14">
        <f t="shared" si="141"/>
        <v>1.0682447123141398E-12</v>
      </c>
      <c r="Q188" s="22">
        <f t="shared" si="162"/>
        <v>1.978932943548152E-12</v>
      </c>
      <c r="R188" s="62">
        <f t="shared" si="109"/>
        <v>293.3333333333353</v>
      </c>
      <c r="S188" s="62">
        <f ca="1">AVERAGE(OFFSET($R$3,0,0,'Données projet'!$E$9+1,1))-AVERAGE(OFFSET($H$3,0,0,'Données projet'!$E$9+1,1))</f>
        <v>157.19386117397545</v>
      </c>
      <c r="T188" s="62">
        <f t="shared" si="142"/>
        <v>153.10223389615993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11.452651283285878</v>
      </c>
      <c r="AA188" s="23">
        <f>EXP(-LN(2)/25)*AA187+(1-EXP(-LN(2)/25))/(LN(2)/25)*Calculateur!V188*Calculateur!X188*VLOOKUP('Données projet'!$B$9,Paramètres!$A$1:$I$89,3,0)*0.475*44/12</f>
        <v>1.2946190718380062</v>
      </c>
      <c r="AB188" s="23">
        <f>EXP(-LN(2)/2)*AB187+(1-EXP(-LN(2)/2))/(LN(2)/2)*V188*Y188*VLOOKUP('Données projet'!$B$9,Paramètres!$A$1:$I$89,3,0)*0.475*44/12</f>
        <v>7.3209092090749053E-22</v>
      </c>
      <c r="AC188" s="24">
        <f t="shared" si="163"/>
        <v>12.747270355123884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2">
        <f t="shared" si="140"/>
        <v>27.332359320697009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70">
        <f t="shared" si="110"/>
        <v>517.81389248354799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6.7984728957526396E-14</v>
      </c>
      <c r="P189" s="14">
        <f t="shared" si="141"/>
        <v>1.0682447123141398E-12</v>
      </c>
      <c r="Q189" s="22">
        <f t="shared" si="162"/>
        <v>1.978932943548152E-12</v>
      </c>
      <c r="R189" s="62">
        <f t="shared" si="109"/>
        <v>293.3333333333353</v>
      </c>
      <c r="S189" s="62">
        <f ca="1">AVERAGE(OFFSET($R$3,0,0,'Données projet'!$E$9+1,1))-AVERAGE(OFFSET($H$3,0,0,'Données projet'!$E$9+1,1))</f>
        <v>157.19386117397545</v>
      </c>
      <c r="T189" s="62">
        <f t="shared" si="142"/>
        <v>153.10223389615993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11.228071777048171</v>
      </c>
      <c r="AA189" s="23">
        <f>EXP(-LN(2)/25)*AA188+(1-EXP(-LN(2)/25))/(LN(2)/25)*Calculateur!V189*Calculateur!X189*VLOOKUP('Données projet'!$B$9,Paramètres!$A$1:$I$89,3,0)*0.475*44/12</f>
        <v>1.2592176452375379</v>
      </c>
      <c r="AB189" s="23">
        <f>EXP(-LN(2)/2)*AB188+(1-EXP(-LN(2)/2))/(LN(2)/2)*V189*Y189*VLOOKUP('Données projet'!$B$9,Paramètres!$A$1:$I$89,3,0)*0.475*44/12</f>
        <v>5.1766645461879097E-22</v>
      </c>
      <c r="AC189" s="24">
        <f t="shared" si="163"/>
        <v>12.487289422285709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2">
        <f t="shared" si="140"/>
        <v>27.462162174923463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70">
        <f t="shared" si="110"/>
        <v>518.99091578799244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6.7984728957526396E-14</v>
      </c>
      <c r="P190" s="14">
        <f t="shared" si="141"/>
        <v>1.0682447123141398E-12</v>
      </c>
      <c r="Q190" s="22">
        <f t="shared" si="162"/>
        <v>1.978932943548152E-12</v>
      </c>
      <c r="R190" s="62">
        <f t="shared" si="109"/>
        <v>293.3333333333353</v>
      </c>
      <c r="S190" s="62">
        <f ca="1">AVERAGE(OFFSET($R$3,0,0,'Données projet'!$E$9+1,1))-AVERAGE(OFFSET($H$3,0,0,'Données projet'!$E$9+1,1))</f>
        <v>157.19386117397545</v>
      </c>
      <c r="T190" s="62">
        <f t="shared" si="142"/>
        <v>153.10223389615993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11.007896137947812</v>
      </c>
      <c r="AA190" s="23">
        <f>EXP(-LN(2)/25)*AA189+(1-EXP(-LN(2)/25))/(LN(2)/25)*Calculateur!V190*Calculateur!X190*VLOOKUP('Données projet'!$B$9,Paramètres!$A$1:$I$89,3,0)*0.475*44/12</f>
        <v>1.2247842725091393</v>
      </c>
      <c r="AB190" s="23">
        <f>EXP(-LN(2)/2)*AB189+(1-EXP(-LN(2)/2))/(LN(2)/2)*V190*Y190*VLOOKUP('Données projet'!$B$9,Paramètres!$A$1:$I$89,3,0)*0.475*44/12</f>
        <v>3.6604546045374526E-22</v>
      </c>
      <c r="AC190" s="24">
        <f t="shared" si="163"/>
        <v>12.23268041045695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2">
        <f t="shared" si="140"/>
        <v>27.591884256813145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70">
        <f t="shared" si="110"/>
        <v>520.16779841395021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6.7984728957526396E-14</v>
      </c>
      <c r="P191" s="14">
        <f t="shared" si="141"/>
        <v>1.0682447123141398E-12</v>
      </c>
      <c r="Q191" s="22">
        <f t="shared" si="162"/>
        <v>1.978932943548152E-12</v>
      </c>
      <c r="R191" s="62">
        <f t="shared" si="109"/>
        <v>293.3333333333353</v>
      </c>
      <c r="S191" s="62">
        <f ca="1">AVERAGE(OFFSET($R$3,0,0,'Données projet'!$E$9+1,1))-AVERAGE(OFFSET($H$3,0,0,'Données projet'!$E$9+1,1))</f>
        <v>157.19386117397545</v>
      </c>
      <c r="T191" s="62">
        <f t="shared" si="142"/>
        <v>153.10223389615993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10.792038008836332</v>
      </c>
      <c r="AA191" s="23">
        <f>EXP(-LN(2)/25)*AA190+(1-EXP(-LN(2)/25))/(LN(2)/25)*Calculateur!V191*Calculateur!X191*VLOOKUP('Données projet'!$B$9,Paramètres!$A$1:$I$89,3,0)*0.475*44/12</f>
        <v>1.1912924821687714</v>
      </c>
      <c r="AB191" s="23">
        <f>EXP(-LN(2)/2)*AB190+(1-EXP(-LN(2)/2))/(LN(2)/2)*V191*Y191*VLOOKUP('Données projet'!$B$9,Paramètres!$A$1:$I$89,3,0)*0.475*44/12</f>
        <v>2.5883322730939548E-22</v>
      </c>
      <c r="AC191" s="24">
        <f t="shared" si="163"/>
        <v>11.983330491005104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2">
        <f t="shared" si="140"/>
        <v>27.721526045872363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70">
        <f t="shared" si="110"/>
        <v>521.34454119656175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6.7984728957526396E-14</v>
      </c>
      <c r="P192" s="14">
        <f t="shared" si="141"/>
        <v>1.0682447123141398E-12</v>
      </c>
      <c r="Q192" s="22">
        <f t="shared" si="162"/>
        <v>1.978932943548152E-12</v>
      </c>
      <c r="R192" s="62">
        <f t="shared" si="109"/>
        <v>293.3333333333353</v>
      </c>
      <c r="S192" s="62">
        <f ca="1">AVERAGE(OFFSET($R$3,0,0,'Données projet'!$E$9+1,1))-AVERAGE(OFFSET($H$3,0,0,'Données projet'!$E$9+1,1))</f>
        <v>157.19386117397545</v>
      </c>
      <c r="T192" s="62">
        <f t="shared" si="142"/>
        <v>153.10223389615993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10.58041272597627</v>
      </c>
      <c r="AA192" s="23">
        <f>EXP(-LN(2)/25)*AA191+(1-EXP(-LN(2)/25))/(LN(2)/25)*Calculateur!V192*Calculateur!X192*VLOOKUP('Données projet'!$B$9,Paramètres!$A$1:$I$89,3,0)*0.475*44/12</f>
        <v>1.1587165265965174</v>
      </c>
      <c r="AB192" s="23">
        <f>EXP(-LN(2)/2)*AB191+(1-EXP(-LN(2)/2))/(LN(2)/2)*V192*Y192*VLOOKUP('Données projet'!$B$9,Paramètres!$A$1:$I$89,3,0)*0.475*44/12</f>
        <v>1.8302273022687263E-22</v>
      </c>
      <c r="AC192" s="24">
        <f t="shared" si="163"/>
        <v>11.739129252572788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2">
        <f t="shared" si="140"/>
        <v>27.851088016239451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70">
        <f t="shared" si="110"/>
        <v>522.52114496161767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6.7984728957526396E-14</v>
      </c>
      <c r="P193" s="14">
        <f t="shared" si="141"/>
        <v>1.0682447123141398E-12</v>
      </c>
      <c r="Q193" s="22">
        <f t="shared" si="162"/>
        <v>1.978932943548152E-12</v>
      </c>
      <c r="R193" s="62">
        <f t="shared" si="109"/>
        <v>293.3333333333353</v>
      </c>
      <c r="S193" s="62">
        <f ca="1">AVERAGE(OFFSET($R$3,0,0,'Données projet'!$E$9+1,1))-AVERAGE(OFFSET($H$3,0,0,'Données projet'!$E$9+1,1))</f>
        <v>157.19386117397545</v>
      </c>
      <c r="T193" s="62">
        <f t="shared" si="142"/>
        <v>153.10223389615993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10.372937285834416</v>
      </c>
      <c r="AA193" s="23">
        <f>EXP(-LN(2)/25)*AA192+(1-EXP(-LN(2)/25))/(LN(2)/25)*Calculateur!V193*Calculateur!X193*VLOOKUP('Données projet'!$B$9,Paramètres!$A$1:$I$89,3,0)*0.475*44/12</f>
        <v>1.1270313622424817</v>
      </c>
      <c r="AB193" s="23">
        <f>EXP(-LN(2)/2)*AB192+(1-EXP(-LN(2)/2))/(LN(2)/2)*V193*Y193*VLOOKUP('Données projet'!$B$9,Paramètres!$A$1:$I$89,3,0)*0.475*44/12</f>
        <v>1.2941661365469774E-22</v>
      </c>
      <c r="AC193" s="24">
        <f t="shared" si="163"/>
        <v>11.499968648076898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2">
        <f t="shared" si="140"/>
        <v>27.98057063677302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70">
        <f t="shared" si="110"/>
        <v>523.69761052571369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6.7984728957526396E-14</v>
      </c>
      <c r="P194" s="14">
        <f t="shared" si="141"/>
        <v>1.0682447123141398E-12</v>
      </c>
      <c r="Q194" s="22">
        <f t="shared" si="162"/>
        <v>1.978932943548152E-12</v>
      </c>
      <c r="R194" s="62">
        <f t="shared" si="109"/>
        <v>293.3333333333353</v>
      </c>
      <c r="S194" s="62">
        <f ca="1">AVERAGE(OFFSET($R$3,0,0,'Données projet'!$E$9+1,1))-AVERAGE(OFFSET($H$3,0,0,'Données projet'!$E$9+1,1))</f>
        <v>157.19386117397545</v>
      </c>
      <c r="T194" s="62">
        <f t="shared" si="142"/>
        <v>153.10223389615993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10.169530312526222</v>
      </c>
      <c r="AA194" s="23">
        <f>EXP(-LN(2)/25)*AA193+(1-EXP(-LN(2)/25))/(LN(2)/25)*Calculateur!V194*Calculateur!X194*VLOOKUP('Données projet'!$B$9,Paramètres!$A$1:$I$89,3,0)*0.475*44/12</f>
        <v>1.0962126303739574</v>
      </c>
      <c r="AB194" s="23">
        <f>EXP(-LN(2)/2)*AB193+(1-EXP(-LN(2)/2))/(LN(2)/2)*V194*Y194*VLOOKUP('Données projet'!$B$9,Paramètres!$A$1:$I$89,3,0)*0.475*44/12</f>
        <v>9.1511365113436316E-23</v>
      </c>
      <c r="AC194" s="24">
        <f t="shared" si="163"/>
        <v>11.265742942900179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2">
        <f t="shared" si="140"/>
        <v>28.10997437113782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70">
        <f t="shared" si="110"/>
        <v>524.87393869639902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6.7984728957526396E-14</v>
      </c>
      <c r="P195" s="14">
        <f t="shared" si="141"/>
        <v>1.0682447123141398E-12</v>
      </c>
      <c r="Q195" s="22">
        <f t="shared" si="162"/>
        <v>1.978932943548152E-12</v>
      </c>
      <c r="R195" s="62">
        <f t="shared" ref="R195:R203" si="191">Q195+(I195+J195)*44/12</f>
        <v>293.3333333333353</v>
      </c>
      <c r="S195" s="62">
        <f ca="1">AVERAGE(OFFSET($R$3,0,0,'Données projet'!$E$9+1,1))-AVERAGE(OFFSET($H$3,0,0,'Données projet'!$E$9+1,1))</f>
        <v>157.19386117397545</v>
      </c>
      <c r="T195" s="62">
        <f t="shared" si="142"/>
        <v>153.10223389615993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9.9701120258985974</v>
      </c>
      <c r="AA195" s="23">
        <f>EXP(-LN(2)/25)*AA194+(1-EXP(-LN(2)/25))/(LN(2)/25)*Calculateur!V195*Calculateur!X195*VLOOKUP('Données projet'!$B$9,Paramètres!$A$1:$I$89,3,0)*0.475*44/12</f>
        <v>1.0662366383490647</v>
      </c>
      <c r="AB195" s="23">
        <f>EXP(-LN(2)/2)*AB194+(1-EXP(-LN(2)/2))/(LN(2)/2)*V195*Y195*VLOOKUP('Données projet'!$B$9,Paramètres!$A$1:$I$89,3,0)*0.475*44/12</f>
        <v>6.4708306827348871E-23</v>
      </c>
      <c r="AC195" s="24">
        <f t="shared" si="163"/>
        <v>11.036348664247662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2">
        <f t="shared" si="140"/>
        <v>28.239299677889207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70">
        <f t="shared" ref="H196:H203" si="192">(B196+E196+F196)*44/12+(C196+D196)*0.475*44/12</f>
        <v>526.0501302723244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6.7984728957526396E-14</v>
      </c>
      <c r="P196" s="14">
        <f t="shared" si="141"/>
        <v>1.0682447123141398E-12</v>
      </c>
      <c r="Q196" s="22">
        <f t="shared" si="162"/>
        <v>1.978932943548152E-12</v>
      </c>
      <c r="R196" s="62">
        <f t="shared" si="191"/>
        <v>293.3333333333353</v>
      </c>
      <c r="S196" s="62">
        <f ca="1">AVERAGE(OFFSET($R$3,0,0,'Données projet'!$E$9+1,1))-AVERAGE(OFFSET($H$3,0,0,'Données projet'!$E$9+1,1))</f>
        <v>157.19386117397545</v>
      </c>
      <c r="T196" s="62">
        <f t="shared" si="142"/>
        <v>153.10223389615993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9.7746042102385964</v>
      </c>
      <c r="AA196" s="23">
        <f>EXP(-LN(2)/25)*AA195+(1-EXP(-LN(2)/25))/(LN(2)/25)*Calculateur!V196*Calculateur!X196*VLOOKUP('Données projet'!$B$9,Paramètres!$A$1:$I$89,3,0)*0.475*44/12</f>
        <v>1.0370803414024616</v>
      </c>
      <c r="AB196" s="23">
        <f>EXP(-LN(2)/2)*AB195+(1-EXP(-LN(2)/2))/(LN(2)/2)*V196*Y196*VLOOKUP('Données projet'!$B$9,Paramètres!$A$1:$I$89,3,0)*0.475*44/12</f>
        <v>4.5755682556718158E-23</v>
      </c>
      <c r="AC196" s="24">
        <f t="shared" si="163"/>
        <v>10.811684551641058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2">
        <f t="shared" ref="D197:D203" si="202">IFERROR(EXP(-1.0587+0.8836*LN(C197)+0.284),0)</f>
        <v>28.368547010555559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70">
        <f t="shared" si="192"/>
        <v>527.22618604338504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6.7984728957526396E-14</v>
      </c>
      <c r="P197" s="14">
        <f t="shared" ref="P197:P203" si="203">EXP(-1.0587+0.8836*LN(O197)+0.284)</f>
        <v>1.0682447123141398E-12</v>
      </c>
      <c r="Q197" s="22">
        <f t="shared" si="162"/>
        <v>1.978932943548152E-12</v>
      </c>
      <c r="R197" s="62">
        <f t="shared" si="191"/>
        <v>293.3333333333353</v>
      </c>
      <c r="S197" s="62">
        <f ca="1">AVERAGE(OFFSET($R$3,0,0,'Données projet'!$E$9+1,1))-AVERAGE(OFFSET($H$3,0,0,'Données projet'!$E$9+1,1))</f>
        <v>157.19386117397545</v>
      </c>
      <c r="T197" s="62">
        <f t="shared" ref="T197:T203" si="204">$T$3</f>
        <v>153.10223389615993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9.5829301835956944</v>
      </c>
      <c r="AA197" s="23">
        <f>EXP(-LN(2)/25)*AA196+(1-EXP(-LN(2)/25))/(LN(2)/25)*Calculateur!V197*Calculateur!X197*VLOOKUP('Données projet'!$B$9,Paramètres!$A$1:$I$89,3,0)*0.475*44/12</f>
        <v>1.0087213249291265</v>
      </c>
      <c r="AB197" s="23">
        <f>EXP(-LN(2)/2)*AB196+(1-EXP(-LN(2)/2))/(LN(2)/2)*V197*Y197*VLOOKUP('Données projet'!$B$9,Paramètres!$A$1:$I$89,3,0)*0.475*44/12</f>
        <v>3.2354153413674436E-23</v>
      </c>
      <c r="AC197" s="24">
        <f t="shared" si="163"/>
        <v>10.591651508524821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2">
        <f t="shared" si="202"/>
        <v>28.497716817719009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70">
        <f t="shared" si="192"/>
        <v>528.40210679086135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6.7984728957526396E-14</v>
      </c>
      <c r="P198" s="14">
        <f t="shared" si="203"/>
        <v>1.0682447123141398E-12</v>
      </c>
      <c r="Q198" s="22">
        <f t="shared" si="162"/>
        <v>1.978932943548152E-12</v>
      </c>
      <c r="R198" s="62">
        <f t="shared" si="191"/>
        <v>293.3333333333353</v>
      </c>
      <c r="S198" s="62">
        <f ca="1">AVERAGE(OFFSET($R$3,0,0,'Données projet'!$E$9+1,1))-AVERAGE(OFFSET($H$3,0,0,'Données projet'!$E$9+1,1))</f>
        <v>157.19386117397545</v>
      </c>
      <c r="T198" s="62">
        <f t="shared" si="204"/>
        <v>153.10223389615993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9.3950147677056481</v>
      </c>
      <c r="AA198" s="23">
        <f>EXP(-LN(2)/25)*AA197+(1-EXP(-LN(2)/25))/(LN(2)/25)*Calculateur!V198*Calculateur!X198*VLOOKUP('Données projet'!$B$9,Paramètres!$A$1:$I$89,3,0)*0.475*44/12</f>
        <v>0.98113778725259049</v>
      </c>
      <c r="AB198" s="23">
        <f>EXP(-LN(2)/2)*AB197+(1-EXP(-LN(2)/2))/(LN(2)/2)*V198*Y198*VLOOKUP('Données projet'!$B$9,Paramètres!$A$1:$I$89,3,0)*0.475*44/12</f>
        <v>2.2877841278359079E-23</v>
      </c>
      <c r="AC198" s="24">
        <f t="shared" si="163"/>
        <v>10.376152554958239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2">
        <f t="shared" si="202"/>
        <v>28.626809543094431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70">
        <f t="shared" si="192"/>
        <v>529.57789328755689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6.7984728957526396E-14</v>
      </c>
      <c r="P199" s="14">
        <f t="shared" si="203"/>
        <v>1.0682447123141398E-12</v>
      </c>
      <c r="Q199" s="22">
        <f t="shared" si="162"/>
        <v>1.978932943548152E-12</v>
      </c>
      <c r="R199" s="62">
        <f t="shared" si="191"/>
        <v>293.3333333333353</v>
      </c>
      <c r="S199" s="62">
        <f ca="1">AVERAGE(OFFSET($R$3,0,0,'Données projet'!$E$9+1,1))-AVERAGE(OFFSET($H$3,0,0,'Données projet'!$E$9+1,1))</f>
        <v>157.19386117397545</v>
      </c>
      <c r="T199" s="62">
        <f t="shared" si="204"/>
        <v>153.10223389615993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9.2107842585041197</v>
      </c>
      <c r="AA199" s="23">
        <f>EXP(-LN(2)/25)*AA198+(1-EXP(-LN(2)/25))/(LN(2)/25)*Calculateur!V199*Calculateur!X199*VLOOKUP('Données projet'!$B$9,Paramètres!$A$1:$I$89,3,0)*0.475*44/12</f>
        <v>0.95430852286437462</v>
      </c>
      <c r="AB199" s="23">
        <f>EXP(-LN(2)/2)*AB198+(1-EXP(-LN(2)/2))/(LN(2)/2)*V199*Y199*VLOOKUP('Données projet'!$B$9,Paramètres!$A$1:$I$89,3,0)*0.475*44/12</f>
        <v>1.6177076706837218E-23</v>
      </c>
      <c r="AC199" s="24">
        <f t="shared" si="163"/>
        <v>10.165092781368495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2">
        <f t="shared" si="202"/>
        <v>28.755825625606846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70">
        <f t="shared" si="192"/>
        <v>530.75354629793264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6.7984728957526396E-14</v>
      </c>
      <c r="P200" s="14">
        <f t="shared" si="203"/>
        <v>1.0682447123141398E-12</v>
      </c>
      <c r="Q200" s="22">
        <f t="shared" si="162"/>
        <v>1.978932943548152E-12</v>
      </c>
      <c r="R200" s="62">
        <f t="shared" si="191"/>
        <v>293.3333333333353</v>
      </c>
      <c r="S200" s="62">
        <f ca="1">AVERAGE(OFFSET($R$3,0,0,'Données projet'!$E$9+1,1))-AVERAGE(OFFSET($H$3,0,0,'Données projet'!$E$9+1,1))</f>
        <v>157.19386117397545</v>
      </c>
      <c r="T200" s="62">
        <f t="shared" si="204"/>
        <v>153.10223389615993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9.0301663972185171</v>
      </c>
      <c r="AA200" s="23">
        <f>EXP(-LN(2)/25)*AA199+(1-EXP(-LN(2)/25))/(LN(2)/25)*Calculateur!V200*Calculateur!X200*VLOOKUP('Données projet'!$B$9,Paramètres!$A$1:$I$89,3,0)*0.475*44/12</f>
        <v>0.92821290612174423</v>
      </c>
      <c r="AB200" s="23">
        <f>EXP(-LN(2)/2)*AB199+(1-EXP(-LN(2)/2))/(LN(2)/2)*V200*Y200*VLOOKUP('Données projet'!$B$9,Paramètres!$A$1:$I$89,3,0)*0.475*44/12</f>
        <v>1.143892063917954E-23</v>
      </c>
      <c r="AC200" s="24">
        <f t="shared" si="163"/>
        <v>9.9583793033402621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2">
        <f t="shared" si="202"/>
        <v>28.884765499467239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70">
        <f t="shared" si="192"/>
        <v>531.9290665782396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6.7984728957526396E-14</v>
      </c>
      <c r="P201" s="14">
        <f t="shared" si="203"/>
        <v>1.0682447123141398E-12</v>
      </c>
      <c r="Q201" s="22">
        <f t="shared" si="162"/>
        <v>1.978932943548152E-12</v>
      </c>
      <c r="R201" s="62">
        <f t="shared" si="191"/>
        <v>293.3333333333353</v>
      </c>
      <c r="S201" s="62">
        <f ca="1">AVERAGE(OFFSET($R$3,0,0,'Données projet'!$E$9+1,1))-AVERAGE(OFFSET($H$3,0,0,'Données projet'!$E$9+1,1))</f>
        <v>157.19386117397545</v>
      </c>
      <c r="T201" s="62">
        <f t="shared" si="204"/>
        <v>153.10223389615993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8.8530903420267091</v>
      </c>
      <c r="AA201" s="23">
        <f>EXP(-LN(2)/25)*AA200+(1-EXP(-LN(2)/25))/(LN(2)/25)*Calculateur!V201*Calculateur!X201*VLOOKUP('Données projet'!$B$9,Paramètres!$A$1:$I$89,3,0)*0.475*44/12</f>
        <v>0.90283087539124984</v>
      </c>
      <c r="AB201" s="23">
        <f>EXP(-LN(2)/2)*AB200+(1-EXP(-LN(2)/2))/(LN(2)/2)*V201*Y201*VLOOKUP('Données projet'!$B$9,Paramètres!$A$1:$I$89,3,0)*0.475*44/12</f>
        <v>8.0885383534186089E-24</v>
      </c>
      <c r="AC201" s="24">
        <f t="shared" si="163"/>
        <v>9.7559212174179581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2">
        <f t="shared" si="202"/>
        <v>29.013629594246641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70">
        <f t="shared" si="192"/>
        <v>533.10445487664697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6.7984728957526396E-14</v>
      </c>
      <c r="P202" s="14">
        <f t="shared" si="203"/>
        <v>1.0682447123141398E-12</v>
      </c>
      <c r="Q202" s="22">
        <f t="shared" si="162"/>
        <v>1.978932943548152E-12</v>
      </c>
      <c r="R202" s="62">
        <f t="shared" si="191"/>
        <v>293.3333333333353</v>
      </c>
      <c r="S202" s="62">
        <f ca="1">AVERAGE(OFFSET($R$3,0,0,'Données projet'!$E$9+1,1))-AVERAGE(OFFSET($H$3,0,0,'Données projet'!$E$9+1,1))</f>
        <v>157.19386117397545</v>
      </c>
      <c r="T202" s="62">
        <f t="shared" si="204"/>
        <v>153.10223389615993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8.6794866402714828</v>
      </c>
      <c r="AA202" s="23">
        <f>EXP(-LN(2)/25)*AA201+(1-EXP(-LN(2)/25))/(LN(2)/25)*Calculateur!V202*Calculateur!X202*VLOOKUP('Données projet'!$B$9,Paramètres!$A$1:$I$89,3,0)*0.475*44/12</f>
        <v>0.87814291762586383</v>
      </c>
      <c r="AB202" s="23">
        <f>EXP(-LN(2)/2)*AB201+(1-EXP(-LN(2)/2))/(LN(2)/2)*V202*Y202*VLOOKUP('Données projet'!$B$9,Paramètres!$A$1:$I$89,3,0)*0.475*44/12</f>
        <v>5.7194603195897698E-24</v>
      </c>
      <c r="AC202" s="24">
        <f t="shared" si="163"/>
        <v>9.5576295578973465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2">
        <f t="shared" si="202"/>
        <v>29.142418334948719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70">
        <f t="shared" si="192"/>
        <v>534.27971193336975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6.7984728957526396E-14</v>
      </c>
      <c r="P203" s="14">
        <f t="shared" si="203"/>
        <v>1.0682447123141398E-12</v>
      </c>
      <c r="Q203" s="22">
        <f t="shared" si="162"/>
        <v>1.978932943548152E-12</v>
      </c>
      <c r="R203" s="62">
        <f t="shared" si="191"/>
        <v>293.3333333333353</v>
      </c>
      <c r="S203" s="62">
        <f ca="1">AVERAGE(OFFSET($R$3,0,0,'Données projet'!$E$9+1,1))-AVERAGE(OFFSET($H$3,0,0,'Données projet'!$E$9+1,1))</f>
        <v>157.19386117397545</v>
      </c>
      <c r="T203" s="62">
        <f t="shared" si="204"/>
        <v>153.10223389615993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8.5092872012198733</v>
      </c>
      <c r="AA203" s="23">
        <f>EXP(-LN(2)/25)*AA202+(1-EXP(-LN(2)/25))/(LN(2)/25)*Calculateur!V203*Calculateur!X203*VLOOKUP('Données projet'!$B$9,Paramètres!$A$1:$I$89,3,0)*0.475*44/12</f>
        <v>0.85413005336385561</v>
      </c>
      <c r="AB203" s="23">
        <f>EXP(-LN(2)/2)*AB202+(1-EXP(-LN(2)/2))/(LN(2)/2)*V203*Y203*VLOOKUP('Données projet'!$B$9,Paramètres!$A$1:$I$89,3,0)*0.475*44/12</f>
        <v>4.0442691767093044E-24</v>
      </c>
      <c r="AC203" s="24">
        <f t="shared" si="163"/>
        <v>9.3634172545837284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1.3480061545972777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3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3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">
      <c r="A93" s="131" t="s">
        <v>208</v>
      </c>
    </row>
    <row r="94" spans="1:14" x14ac:dyDescent="0.3">
      <c r="A94" s="131" t="s">
        <v>209</v>
      </c>
    </row>
    <row r="95" spans="1:14" x14ac:dyDescent="0.3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abSelected="1" topLeftCell="A4" zoomScale="90" zoomScaleNormal="90" workbookViewId="0">
      <selection activeCell="K20" sqref="K20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Pin maritime</v>
      </c>
      <c r="B6" s="155">
        <f>'Données projet'!D9</f>
        <v>18.399999999999999</v>
      </c>
      <c r="C6" s="156">
        <f ca="1">IF(OR('Données projet'!B9="",'Données projet'!C9="",'Données projet'!C9=0%),0,Calculateur!S3)</f>
        <v>157.19386117397545</v>
      </c>
      <c r="D6" s="156">
        <f>IF(OR('Données projet'!B9="",'Données projet'!C9="",'Données projet'!C9=0%),0,Calculateur!T3)</f>
        <v>153.10223389615993</v>
      </c>
      <c r="E6" s="156">
        <f ca="1">MIN(C6,D6)</f>
        <v>153.10223389615993</v>
      </c>
      <c r="F6" s="156">
        <f ca="1">E6*B6</f>
        <v>2817.0811036893424</v>
      </c>
      <c r="G6" s="156">
        <f ca="1">F6*(100%-'Données projet'!$C$24)*(100%-'Données projet'!$C$25)*(100%-'Données projet'!$C$26)*(100%-'Données projet'!$C$27)</f>
        <v>2281.8356939883674</v>
      </c>
      <c r="H6" s="157">
        <f>IF(OR('Données projet'!B9="",'Données projet'!C9="",'Données projet'!C9=0%),0,AVERAGE(Calculateur!$AC$3:$AC$33)*B6)</f>
        <v>106.55554657981757</v>
      </c>
      <c r="I6" s="158">
        <f>H6*(100%-'Données projet'!$C$24)*(100%-'Données projet'!$C$25)*(100%-'Données projet'!$C$26)*(100%-'Données projet'!$C$27)</f>
        <v>86.309992729652237</v>
      </c>
      <c r="J6" s="159">
        <f>IF(OR('Données projet'!B9="",'Données projet'!C9="",'Données projet'!C9=0%),0,SUM(Calculateur!$V$3:$V$33)*VLOOKUP('Données projet'!$B$9,Paramètres!$A$1:$I$89,9,0)*B6)</f>
        <v>1074.7439999999999</v>
      </c>
      <c r="K6" s="160">
        <f>J6*(100%-'Données projet'!$C$24)*(100%-'Données projet'!$C$25)*(100%-'Données projet'!$C$26)*(100%-'Données projet'!$C$27)</f>
        <v>870.54264000000001</v>
      </c>
      <c r="L6" s="161">
        <f ca="1">G6+I6+K6</f>
        <v>3238.6883267180197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2817.0811036893424</v>
      </c>
      <c r="G16" s="175">
        <f t="shared" ca="1" si="3"/>
        <v>2281.8356939883674</v>
      </c>
      <c r="H16" s="176">
        <f t="shared" si="3"/>
        <v>106.55554657981757</v>
      </c>
      <c r="I16" s="176">
        <f t="shared" si="3"/>
        <v>86.309992729652237</v>
      </c>
      <c r="J16" s="177">
        <f t="shared" si="3"/>
        <v>1074.7439999999999</v>
      </c>
      <c r="K16" s="177">
        <f t="shared" si="3"/>
        <v>870.54264000000001</v>
      </c>
      <c r="L16" s="178">
        <f t="shared" ca="1" si="3"/>
        <v>3238.6883267180197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opLeftCell="L10" zoomScale="80" zoomScaleNormal="80" workbookViewId="0">
      <selection activeCell="M4" sqref="M4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2837.4654000626015</v>
      </c>
      <c r="U10" s="190">
        <f>'Données projet'!D9</f>
        <v>18.399999999999999</v>
      </c>
      <c r="V10" s="189">
        <f>U10*T10</f>
        <v>52209.36336115186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>
        <v>60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59.999999999999957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>
        <v>20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1199.9999999999991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1</v>
      </c>
      <c r="I20" s="204">
        <v>3700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2</v>
      </c>
      <c r="I21" s="204">
        <v>1000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3</v>
      </c>
      <c r="I22" s="204">
        <v>500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12</v>
      </c>
      <c r="B23" s="193">
        <f>'Données projet'!D36</f>
        <v>0</v>
      </c>
      <c r="C23" s="206"/>
      <c r="D23" s="194">
        <f>B23*C23</f>
        <v>0</v>
      </c>
      <c r="E23" s="206"/>
      <c r="F23" s="261"/>
      <c r="H23" s="203">
        <v>4</v>
      </c>
      <c r="I23" s="204">
        <v>500</v>
      </c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-52947.635846636651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16</v>
      </c>
      <c r="B24" s="193">
        <f>'Données projet'!D37</f>
        <v>0</v>
      </c>
      <c r="C24" s="206"/>
      <c r="D24" s="194">
        <f t="shared" ref="D24:D42" si="2">B24*C24</f>
        <v>0</v>
      </c>
      <c r="E24" s="206"/>
      <c r="F24" s="264"/>
      <c r="H24" s="203">
        <v>5</v>
      </c>
      <c r="I24" s="204">
        <v>500</v>
      </c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1574.0613028387345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20</v>
      </c>
      <c r="B25" s="193">
        <f>'Données projet'!D38</f>
        <v>28</v>
      </c>
      <c r="C25" s="206">
        <v>15</v>
      </c>
      <c r="D25" s="194">
        <f t="shared" si="2"/>
        <v>420</v>
      </c>
      <c r="E25" s="206">
        <v>150</v>
      </c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6">
        <f ca="1">T23-T24</f>
        <v>-54521.697149475389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24</v>
      </c>
      <c r="B26" s="193">
        <f>'Données projet'!D39</f>
        <v>32</v>
      </c>
      <c r="C26" s="206">
        <v>25</v>
      </c>
      <c r="D26" s="194">
        <f t="shared" si="2"/>
        <v>800</v>
      </c>
      <c r="E26" s="206">
        <v>150</v>
      </c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28</v>
      </c>
      <c r="B27" s="193">
        <f>'Données projet'!D40</f>
        <v>39</v>
      </c>
      <c r="C27" s="206">
        <v>27</v>
      </c>
      <c r="D27" s="194">
        <f t="shared" si="2"/>
        <v>1053</v>
      </c>
      <c r="E27" s="206">
        <v>150</v>
      </c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34</v>
      </c>
      <c r="B28" s="193">
        <f>'Données projet'!D41</f>
        <v>50</v>
      </c>
      <c r="C28" s="206">
        <v>30</v>
      </c>
      <c r="D28" s="194">
        <f t="shared" si="2"/>
        <v>1500</v>
      </c>
      <c r="E28" s="206">
        <v>150</v>
      </c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40</v>
      </c>
      <c r="B29" s="193">
        <f>'Données projet'!D42</f>
        <v>56</v>
      </c>
      <c r="C29" s="206">
        <v>35</v>
      </c>
      <c r="D29" s="194">
        <f t="shared" si="2"/>
        <v>1960</v>
      </c>
      <c r="E29" s="206">
        <v>150</v>
      </c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46</v>
      </c>
      <c r="B30" s="193">
        <f>'Données projet'!D43</f>
        <v>66</v>
      </c>
      <c r="C30" s="206">
        <v>40</v>
      </c>
      <c r="D30" s="194">
        <f t="shared" si="2"/>
        <v>2640</v>
      </c>
      <c r="E30" s="206">
        <v>150</v>
      </c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54</v>
      </c>
      <c r="B31" s="193">
        <f>'Données projet'!D44</f>
        <v>74</v>
      </c>
      <c r="C31" s="206">
        <v>45</v>
      </c>
      <c r="D31" s="194">
        <f t="shared" si="2"/>
        <v>3330</v>
      </c>
      <c r="E31" s="206">
        <v>150</v>
      </c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62</v>
      </c>
      <c r="B32" s="193">
        <f>'Données projet'!D45</f>
        <v>309</v>
      </c>
      <c r="C32" s="206">
        <v>50</v>
      </c>
      <c r="D32" s="194">
        <f t="shared" si="2"/>
        <v>15450</v>
      </c>
      <c r="E32" s="206">
        <v>150</v>
      </c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0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0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str">
        <f>IF(O95+1&lt;=MIN('Données projet'!$E$9:$E$18),O95+1,"STOP")</f>
        <v>STOP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Etienne VILLE</cp:lastModifiedBy>
  <dcterms:created xsi:type="dcterms:W3CDTF">2021-02-01T08:22:39Z</dcterms:created>
  <dcterms:modified xsi:type="dcterms:W3CDTF">2023-07-27T07:28:14Z</dcterms:modified>
</cp:coreProperties>
</file>